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customProperty51.bin" ContentType="application/vnd.openxmlformats-officedocument.spreadsheetml.customProperty"/>
  <Override PartName="/xl/customProperty52.bin" ContentType="application/vnd.openxmlformats-officedocument.spreadsheetml.customProperty"/>
  <Override PartName="/xl/customProperty53.bin" ContentType="application/vnd.openxmlformats-officedocument.spreadsheetml.customProperty"/>
  <Override PartName="/xl/customProperty54.bin" ContentType="application/vnd.openxmlformats-officedocument.spreadsheetml.customProperty"/>
  <Override PartName="/xl/customProperty55.bin" ContentType="application/vnd.openxmlformats-officedocument.spreadsheetml.customProperty"/>
  <Override PartName="/xl/customProperty56.bin" ContentType="application/vnd.openxmlformats-officedocument.spreadsheetml.customProperty"/>
  <Override PartName="/xl/customProperty57.bin" ContentType="application/vnd.openxmlformats-officedocument.spreadsheetml.customProperty"/>
  <Override PartName="/xl/customProperty58.bin" ContentType="application/vnd.openxmlformats-officedocument.spreadsheetml.customProperty"/>
  <Override PartName="/xl/customProperty59.bin" ContentType="application/vnd.openxmlformats-officedocument.spreadsheetml.customProperty"/>
  <Override PartName="/xl/customProperty60.bin" ContentType="application/vnd.openxmlformats-officedocument.spreadsheetml.customProperty"/>
  <Override PartName="/xl/customProperty61.bin" ContentType="application/vnd.openxmlformats-officedocument.spreadsheetml.customProperty"/>
  <Override PartName="/xl/customProperty62.bin" ContentType="application/vnd.openxmlformats-officedocument.spreadsheetml.customProperty"/>
  <Override PartName="/xl/customProperty63.bin" ContentType="application/vnd.openxmlformats-officedocument.spreadsheetml.customProperty"/>
  <Override PartName="/xl/customProperty64.bin" ContentType="application/vnd.openxmlformats-officedocument.spreadsheetml.customProperty"/>
  <Override PartName="/xl/customProperty65.bin" ContentType="application/vnd.openxmlformats-officedocument.spreadsheetml.customProperty"/>
  <Override PartName="/xl/customProperty66.bin" ContentType="application/vnd.openxmlformats-officedocument.spreadsheetml.customProperty"/>
  <Override PartName="/xl/customProperty67.bin" ContentType="application/vnd.openxmlformats-officedocument.spreadsheetml.customProperty"/>
  <Override PartName="/xl/customProperty68.bin" ContentType="application/vnd.openxmlformats-officedocument.spreadsheetml.customProperty"/>
  <Override PartName="/xl/customProperty69.bin" ContentType="application/vnd.openxmlformats-officedocument.spreadsheetml.customProperty"/>
  <Override PartName="/xl/customProperty70.bin" ContentType="application/vnd.openxmlformats-officedocument.spreadsheetml.customProperty"/>
  <Override PartName="/xl/customProperty71.bin" ContentType="application/vnd.openxmlformats-officedocument.spreadsheetml.customProperty"/>
  <Override PartName="/xl/customProperty72.bin" ContentType="application/vnd.openxmlformats-officedocument.spreadsheetml.customProperty"/>
  <Override PartName="/xl/customProperty73.bin" ContentType="application/vnd.openxmlformats-officedocument.spreadsheetml.customProperty"/>
  <Override PartName="/xl/customProperty74.bin" ContentType="application/vnd.openxmlformats-officedocument.spreadsheetml.customProperty"/>
  <Override PartName="/xl/customProperty75.bin" ContentType="application/vnd.openxmlformats-officedocument.spreadsheetml.customProperty"/>
  <Override PartName="/xl/customProperty76.bin" ContentType="application/vnd.openxmlformats-officedocument.spreadsheetml.customProperty"/>
  <Override PartName="/xl/customProperty77.bin" ContentType="application/vnd.openxmlformats-officedocument.spreadsheetml.customProperty"/>
  <Override PartName="/xl/customProperty78.bin" ContentType="application/vnd.openxmlformats-officedocument.spreadsheetml.customProperty"/>
  <Override PartName="/xl/customProperty79.bin" ContentType="application/vnd.openxmlformats-officedocument.spreadsheetml.customProperty"/>
  <Override PartName="/xl/customProperty80.bin" ContentType="application/vnd.openxmlformats-officedocument.spreadsheetml.customProperty"/>
  <Override PartName="/xl/customProperty81.bin" ContentType="application/vnd.openxmlformats-officedocument.spreadsheetml.customProperty"/>
  <Override PartName="/xl/customProperty82.bin" ContentType="application/vnd.openxmlformats-officedocument.spreadsheetml.customProperty"/>
  <Override PartName="/xl/customProperty83.bin" ContentType="application/vnd.openxmlformats-officedocument.spreadsheetml.customProperty"/>
  <Override PartName="/xl/customProperty84.bin" ContentType="application/vnd.openxmlformats-officedocument.spreadsheetml.customProperty"/>
  <Override PartName="/xl/customProperty85.bin" ContentType="application/vnd.openxmlformats-officedocument.spreadsheetml.customProperty"/>
  <Override PartName="/xl/customProperty86.bin" ContentType="application/vnd.openxmlformats-officedocument.spreadsheetml.customProperty"/>
  <Override PartName="/xl/customProperty87.bin" ContentType="application/vnd.openxmlformats-officedocument.spreadsheetml.customProperty"/>
  <Override PartName="/xl/customProperty88.bin" ContentType="application/vnd.openxmlformats-officedocument.spreadsheetml.customProperty"/>
  <Override PartName="/xl/customProperty89.bin" ContentType="application/vnd.openxmlformats-officedocument.spreadsheetml.customProperty"/>
  <Override PartName="/xl/customProperty90.bin" ContentType="application/vnd.openxmlformats-officedocument.spreadsheetml.customProperty"/>
  <Override PartName="/xl/customProperty91.bin" ContentType="application/vnd.openxmlformats-officedocument.spreadsheetml.customProperty"/>
  <Override PartName="/xl/customProperty92.bin" ContentType="application/vnd.openxmlformats-officedocument.spreadsheetml.customProperty"/>
  <Override PartName="/xl/customProperty93.bin" ContentType="application/vnd.openxmlformats-officedocument.spreadsheetml.customProperty"/>
  <Override PartName="/xl/customProperty94.bin" ContentType="application/vnd.openxmlformats-officedocument.spreadsheetml.customProperty"/>
  <Override PartName="/xl/customProperty95.bin" ContentType="application/vnd.openxmlformats-officedocument.spreadsheetml.customProperty"/>
  <Override PartName="/xl/customProperty96.bin" ContentType="application/vnd.openxmlformats-officedocument.spreadsheetml.customProperty"/>
  <Override PartName="/xl/customProperty97.bin" ContentType="application/vnd.openxmlformats-officedocument.spreadsheetml.customProperty"/>
  <Override PartName="/xl/customProperty98.bin" ContentType="application/vnd.openxmlformats-officedocument.spreadsheetml.customProperty"/>
  <Override PartName="/xl/customProperty99.bin" ContentType="application/vnd.openxmlformats-officedocument.spreadsheetml.customProperty"/>
  <Override PartName="/xl/customProperty100.bin" ContentType="application/vnd.openxmlformats-officedocument.spreadsheetml.customProperty"/>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https://d.docs.live.net/312bc092b9f26f63/Documents/Financial Models/AQR/"/>
    </mc:Choice>
  </mc:AlternateContent>
  <xr:revisionPtr revIDLastSave="841" documentId="11_B023FF4B683989712E3384800D926F4D5C0672B0" xr6:coauthVersionLast="47" xr6:coauthVersionMax="47" xr10:uidLastSave="{058DC6A7-7D4C-4420-9562-443150B5B5F3}"/>
  <bookViews>
    <workbookView xWindow="43080" yWindow="-5700" windowWidth="29040" windowHeight="15720" firstSheet="23" activeTab="26" xr2:uid="{00000000-000D-0000-FFFF-FFFF00000000}"/>
  </bookViews>
  <sheets>
    <sheet name="SQRNavigation" sheetId="48" r:id="rId1"/>
    <sheet name="SQRBindings" sheetId="49" r:id="rId2"/>
    <sheet name="SQRAnnual" sheetId="50" r:id="rId3"/>
    <sheet name="SQRMonthly" sheetId="47" r:id="rId4"/>
    <sheet name="Cover" sheetId="1" r:id="rId5"/>
    <sheet name="Contents" sheetId="2" r:id="rId6"/>
    <sheet name="InpC" sheetId="3" r:id="rId7"/>
    <sheet name="InpS" sheetId="4" r:id="rId8"/>
    <sheet name="InpT" sheetId="5" state="hidden" r:id="rId9"/>
    <sheet name="Time" sheetId="6" r:id="rId10"/>
    <sheet name="Unallocated" sheetId="7" state="hidden" r:id="rId11"/>
    <sheet name="Metrics" sheetId="8" r:id="rId12"/>
    <sheet name="Financials" sheetId="9" r:id="rId13"/>
    <sheet name="Customers" sheetId="10" r:id="rId14"/>
    <sheet name="Income" sheetId="11" r:id="rId15"/>
    <sheet name="Inventory" sheetId="12" r:id="rId16"/>
    <sheet name="Assets" sheetId="13" r:id="rId17"/>
    <sheet name="Expense" sheetId="14" r:id="rId18"/>
    <sheet name="Working Capital" sheetId="15" r:id="rId19"/>
    <sheet name="Invoice finance" sheetId="16" r:id="rId20"/>
    <sheet name="Supply Chain finance" sheetId="17" r:id="rId21"/>
    <sheet name="Asset Finance" sheetId="18" r:id="rId22"/>
    <sheet name="VAT" sheetId="19" r:id="rId23"/>
    <sheet name="Corporation tax" sheetId="20" r:id="rId24"/>
    <sheet name="Equity" sheetId="21" r:id="rId25"/>
    <sheet name="Model Checks and Alerts" sheetId="22" r:id="rId26"/>
    <sheet name="Income Statement Ann" sheetId="23" r:id="rId27"/>
    <sheet name="Balance Sheet Ann" sheetId="24" r:id="rId28"/>
    <sheet name="Cashflow Ann" sheetId="25" r:id="rId29"/>
    <sheet name="Inventory Report Ann" sheetId="26" r:id="rId30"/>
    <sheet name="Metrics Report Ann" sheetId="27" r:id="rId31"/>
    <sheet name="Income Statement" sheetId="28" r:id="rId32"/>
    <sheet name="Income Statement Qly" sheetId="29" r:id="rId33"/>
    <sheet name="Income Statement SemiAnnually" sheetId="30" r:id="rId34"/>
    <sheet name="Balance Sheet" sheetId="31" r:id="rId35"/>
    <sheet name="Balance Sheet Qly" sheetId="32" r:id="rId36"/>
    <sheet name="Balance Sheet SemiAnnually" sheetId="33" r:id="rId37"/>
    <sheet name="Cashflow" sheetId="34" r:id="rId38"/>
    <sheet name="Cashflow Qly" sheetId="35" r:id="rId39"/>
    <sheet name="Cashflow SemiAnnually" sheetId="36" r:id="rId40"/>
    <sheet name="Inventory Report" sheetId="37" r:id="rId41"/>
    <sheet name="Inventory Report Qly" sheetId="38" r:id="rId42"/>
    <sheet name="Inventory Report SemiAnnually" sheetId="39" r:id="rId43"/>
    <sheet name="Metrics Report" sheetId="40" r:id="rId44"/>
    <sheet name="Metrics Report Qly" sheetId="41" r:id="rId45"/>
    <sheet name="Metrics Report SemiAnnually" sheetId="42" r:id="rId46"/>
    <sheet name="Results Table" sheetId="43" r:id="rId47"/>
    <sheet name="Output" sheetId="44" r:id="rId48"/>
    <sheet name="Issues" sheetId="45" r:id="rId49"/>
    <sheet name="Styles" sheetId="46" r:id="rId50"/>
  </sheets>
  <definedNames>
    <definedName name="Asset_Finance_balance">'Asset Finance'!$J$15:$BQ$15</definedName>
    <definedName name="Asset_Finance_balance.BEG">'Asset Finance'!$J$11:$BQ$11</definedName>
    <definedName name="Asset_Finance_balance.FLOW">'Asset Finance'!$J$11:$BQ$11</definedName>
    <definedName name="Asset_Finance_drawdown">'Asset Finance'!$J$22:$BQ$22</definedName>
    <definedName name="Asset_Finance_interest">'Asset Finance'!$J$41:$BQ$41</definedName>
    <definedName name="Asset_Finance_interest.NEG">'Asset Finance'!$J$42:$BQ$42</definedName>
    <definedName name="Asset_Finance_interest_paid">'Asset Finance'!$J$47:$BQ$47</definedName>
    <definedName name="Asset_Finance_interest_paid.NEG">'Asset Finance'!$J$48:$BQ$48</definedName>
    <definedName name="Asset_Finance_principal_repayment">'Asset Finance'!$J$28:$BQ$28</definedName>
    <definedName name="Asset_Finance_principal_repayment.NEG">'Asset Finance'!$J$29:$BQ$29</definedName>
    <definedName name="Assets">'Balance Sheet'!$J$12:$BQ$12</definedName>
    <definedName name="CASE_ACTIVE">InpC!$F$4</definedName>
    <definedName name="CASE_COMPARISON">InpC!$F$5</definedName>
    <definedName name="Cash">Financials!$J$13:$BQ$13</definedName>
    <definedName name="Cash.BEG">Financials!$J$11:$BQ$11</definedName>
    <definedName name="Cash.FLOW">Financials!$J$11:$BQ$11</definedName>
    <definedName name="Cash_in_from_Sales">'Working Capital'!$J$22:$BQ$22</definedName>
    <definedName name="Cash_Low" xml:space="preserve"> Metrics!$F$10</definedName>
    <definedName name="Cash_out_on_Inventory">'Working Capital'!$J$14:$BQ$14</definedName>
    <definedName name="Cash_out_on_Inventory.NEG">'Working Capital'!$J$15:$BQ$15</definedName>
    <definedName name="Cash_out_on_Operating_Expense">'Working Capital'!$J$51:$BQ$51</definedName>
    <definedName name="Cash_out_on_Operating_Expense.NEG">'Working Capital'!$J$52:$BQ$52</definedName>
    <definedName name="CF_after_capex">Cashflow!$J$15:$BQ$15</definedName>
    <definedName name="CF_after_financing">Cashflow!$J$26:$BQ$26</definedName>
    <definedName name="Constants">InpS!$F$1</definedName>
    <definedName name="Corporation_tax">'Corporation tax'!$J$47:$BQ$47</definedName>
    <definedName name="Corporation_tax.NEG">'Corporation tax'!$J$48:$BQ$48</definedName>
    <definedName name="Corporation_tax_creditor">'Corporation tax'!$J$78:$BQ$78</definedName>
    <definedName name="Corporation_tax_creditor.BEG">'Corporation tax'!$J$75:$BQ$75</definedName>
    <definedName name="Corporation_tax_creditor.FLOW">'Corporation tax'!$J$75:$BQ$75</definedName>
    <definedName name="Corporation_tax_paid">'Corporation tax'!$J$68:$BQ$68</definedName>
    <definedName name="Corporation_tax_paid.NEG">'Corporation tax'!$J$69:$BQ$69</definedName>
    <definedName name="Creditors">'Working Capital'!$J$36:$BQ$36</definedName>
    <definedName name="Creditors.BEG">'Working Capital'!$J$28:$BQ$28</definedName>
    <definedName name="Creditors.FLOW">'Working Capital'!$J$28:$BQ$28</definedName>
    <definedName name="Customer_Orders_Awaiting_Fullfilment">Customers!$J$21:$BQ$21</definedName>
    <definedName name="Customer_Orders_Awaiting_Fullfilment.BEG">Customers!$J$17:$BQ$17</definedName>
    <definedName name="Customer_Orders_Awaiting_Fullfilment.FLOW">Customers!$J$17:$BQ$17</definedName>
    <definedName name="Debtors">'Working Capital'!$J$45:$BQ$45</definedName>
    <definedName name="Debtors.BEG">'Working Capital'!$J$41:$BQ$41</definedName>
    <definedName name="Debtors.FLOW">'Working Capital'!$J$41:$BQ$41</definedName>
    <definedName name="Deferred_Income">Income!$J$27:$BQ$27</definedName>
    <definedName name="Deferred_Income.BEG">Income!$J$24:$BQ$24</definedName>
    <definedName name="Deferred_Income.FLOW">Income!$J$24:$BQ$24</definedName>
    <definedName name="Deployed_units_returned">Inventory!$J$18:$BQ$18</definedName>
    <definedName name="Depreciation">Assets!$J$29:$BQ$29</definedName>
    <definedName name="Depreciation.BEG">Assets!$J$26:$BQ$26</definedName>
    <definedName name="Depreciation.FLOW">Assets!$J$26:$BQ$26</definedName>
    <definedName name="Depreciation.NEG">Assets!$J$30:$BQ$30</definedName>
    <definedName name="Depreciation_this_period">Assets!$J$11:$BQ$11</definedName>
    <definedName name="Depreciation_this_period.NEG">Assets!$J$12:$BQ$12</definedName>
    <definedName name="EBIT">'Income Statement'!$J$14:$BQ$14</definedName>
    <definedName name="EBITDA">'Income Statement'!$J$11:$BQ$11</definedName>
    <definedName name="ExampleInputRow">InpC!$14:$14</definedName>
    <definedName name="FirstDifferenceCell" localSheetId="6">InpC!$I$13</definedName>
    <definedName name="FirstRow" localSheetId="6">InpC!$A$14</definedName>
    <definedName name="FirstRow">InpS!$A$7</definedName>
    <definedName name="FirstTime">InpS!$J$1</definedName>
    <definedName name="Fixed_operating_expense">Expense!$J$19:$BQ$19</definedName>
    <definedName name="Fixed_operating_expense.NEG">Expense!$J$20:$BQ$20</definedName>
    <definedName name="Headings">InpS!$E$2:$E$5</definedName>
    <definedName name="Income">Income!$J$18:$BQ$18</definedName>
    <definedName name="InputChanges" localSheetId="6">InpC!$F$7</definedName>
    <definedName name="Inventory">Assets!$J$21:$BQ$21</definedName>
    <definedName name="Inventory.BEG">Assets!$J$18:$BQ$18</definedName>
    <definedName name="Inventory.FLOW">Assets!$J$18:$BQ$18</definedName>
    <definedName name="Invoice_finance_balance">'Invoice finance'!$J$15:$BQ$15</definedName>
    <definedName name="Invoice_finance_balance.BEG">'Invoice finance'!$J$11:$BQ$11</definedName>
    <definedName name="Invoice_finance_balance.FLOW">'Invoice finance'!$J$11:$BQ$11</definedName>
    <definedName name="Invoice_finance_drawdown">'Invoice finance'!$J$21:$BQ$21</definedName>
    <definedName name="Invoice_finance_interest">'Invoice finance'!$J$40:$BQ$40</definedName>
    <definedName name="Invoice_finance_interest.NEG">'Invoice finance'!$J$41:$BQ$41</definedName>
    <definedName name="Invoice_finance_interest_paid">'Invoice finance'!$J$46:$BQ$46</definedName>
    <definedName name="Invoice_finance_interest_paid.NEG">'Invoice finance'!$J$47:$BQ$47</definedName>
    <definedName name="Invoice_finance_principal_repayment">'Invoice finance'!$J$27:$BQ$27</definedName>
    <definedName name="Invoice_finance_principal_repayment.NEG">'Invoice finance'!$J$28:$BQ$28</definedName>
    <definedName name="Label">InpS!$E$1</definedName>
    <definedName name="Liabilities">'Balance Sheet'!$J$21:$BQ$21</definedName>
    <definedName name="MasterALERT" localSheetId="21">'Asset Finance'!$F$3</definedName>
    <definedName name="MasterALERT" localSheetId="16">Assets!$F$3</definedName>
    <definedName name="MasterALERT" localSheetId="34">'Balance Sheet'!$F$3</definedName>
    <definedName name="MasterALERT" localSheetId="27">'Balance Sheet Ann'!$F$3</definedName>
    <definedName name="MasterALERT" localSheetId="35">'Balance Sheet Qly'!$F$3</definedName>
    <definedName name="MasterALERT" localSheetId="36">'Balance Sheet SemiAnnually'!$F$3</definedName>
    <definedName name="MasterALERT" localSheetId="37">Cashflow!$F$3</definedName>
    <definedName name="MasterALERT" localSheetId="28">'Cashflow Ann'!$F$3</definedName>
    <definedName name="MasterALERT" localSheetId="38">'Cashflow Qly'!$F$3</definedName>
    <definedName name="MasterALERT" localSheetId="39">'Cashflow SemiAnnually'!$F$3</definedName>
    <definedName name="MasterALERT" localSheetId="23">'Corporation tax'!$F$3</definedName>
    <definedName name="MasterALERT" localSheetId="13">Customers!$F$3</definedName>
    <definedName name="MasterALERT" localSheetId="24">Equity!$F$3</definedName>
    <definedName name="MasterALERT" localSheetId="17">Expense!$F$3</definedName>
    <definedName name="MasterALERT" localSheetId="12">Financials!$F$3</definedName>
    <definedName name="MasterALERT" localSheetId="14">Income!$F$3</definedName>
    <definedName name="MasterALERT" localSheetId="31">'Income Statement'!$F$3</definedName>
    <definedName name="MasterALERT" localSheetId="26">'Income Statement Ann'!$F$3</definedName>
    <definedName name="MasterALERT" localSheetId="32">'Income Statement Qly'!$F$3</definedName>
    <definedName name="MasterALERT" localSheetId="33">'Income Statement SemiAnnually'!$F$3</definedName>
    <definedName name="MasterALERT" localSheetId="7">InpS!$F$3</definedName>
    <definedName name="MasterALERT" localSheetId="8">InpT!$F$3</definedName>
    <definedName name="MasterALERT" localSheetId="15">Inventory!$F$3</definedName>
    <definedName name="MasterALERT" localSheetId="40">'Inventory Report'!$F$3</definedName>
    <definedName name="MasterALERT" localSheetId="29">'Inventory Report Ann'!$F$3</definedName>
    <definedName name="MasterALERT" localSheetId="41">'Inventory Report Qly'!$F$3</definedName>
    <definedName name="MasterALERT" localSheetId="42">'Inventory Report SemiAnnually'!$F$3</definedName>
    <definedName name="MasterALERT" localSheetId="19">'Invoice finance'!$F$3</definedName>
    <definedName name="MasterALERT" localSheetId="11">Metrics!$F$3</definedName>
    <definedName name="MasterALERT" localSheetId="43">'Metrics Report'!$F$3</definedName>
    <definedName name="MasterALERT" localSheetId="30">'Metrics Report Ann'!$F$3</definedName>
    <definedName name="MasterALERT" localSheetId="44">'Metrics Report Qly'!$F$3</definedName>
    <definedName name="MasterALERT" localSheetId="45">'Metrics Report SemiAnnually'!$F$3</definedName>
    <definedName name="MasterALERT" localSheetId="25">'Model Checks and Alerts'!$F$3</definedName>
    <definedName name="MasterALERT" localSheetId="46">'Results Table'!$F$3</definedName>
    <definedName name="MasterALERT" localSheetId="20">'Supply Chain finance'!$F$3</definedName>
    <definedName name="MasterALERT" localSheetId="9">Time!$F$3</definedName>
    <definedName name="MasterALERT" localSheetId="10">Unallocated!$F$3</definedName>
    <definedName name="MasterALERT" localSheetId="22">VAT!$F$3</definedName>
    <definedName name="MasterALERT" localSheetId="18">'Working Capital'!$F$3</definedName>
    <definedName name="MasterCHK" localSheetId="21">'Asset Finance'!$F$2</definedName>
    <definedName name="MasterCHK" localSheetId="16">Assets!$F$2</definedName>
    <definedName name="MasterCHK" localSheetId="34">'Balance Sheet'!$F$2</definedName>
    <definedName name="MasterCHK" localSheetId="27">'Balance Sheet Ann'!$F$2</definedName>
    <definedName name="MasterCHK" localSheetId="35">'Balance Sheet Qly'!$F$2</definedName>
    <definedName name="MasterCHK" localSheetId="36">'Balance Sheet SemiAnnually'!$F$2</definedName>
    <definedName name="MasterCHK" localSheetId="37">Cashflow!$F$2</definedName>
    <definedName name="MasterCHK" localSheetId="28">'Cashflow Ann'!$F$2</definedName>
    <definedName name="MasterCHK" localSheetId="38">'Cashflow Qly'!$F$2</definedName>
    <definedName name="MasterCHK" localSheetId="39">'Cashflow SemiAnnually'!$F$2</definedName>
    <definedName name="MasterCHK" localSheetId="23">'Corporation tax'!$F$2</definedName>
    <definedName name="MasterCHK" localSheetId="13">Customers!$F$2</definedName>
    <definedName name="MasterCHK" localSheetId="24">Equity!$F$2</definedName>
    <definedName name="MasterCHK" localSheetId="17">Expense!$F$2</definedName>
    <definedName name="MasterCHK" localSheetId="12">Financials!$F$2</definedName>
    <definedName name="MasterCHK" localSheetId="14">Income!$F$2</definedName>
    <definedName name="MasterCHK" localSheetId="31">'Income Statement'!$F$2</definedName>
    <definedName name="MasterCHK" localSheetId="26">'Income Statement Ann'!$F$2</definedName>
    <definedName name="MasterCHK" localSheetId="32">'Income Statement Qly'!$F$2</definedName>
    <definedName name="MasterCHK" localSheetId="33">'Income Statement SemiAnnually'!$F$2</definedName>
    <definedName name="MasterCHK" localSheetId="7">InpS!$F$2</definedName>
    <definedName name="MasterCHK" localSheetId="8">InpT!$F$2</definedName>
    <definedName name="MasterCHK" localSheetId="15">Inventory!$F$2</definedName>
    <definedName name="MasterCHK" localSheetId="40">'Inventory Report'!$F$2</definedName>
    <definedName name="MasterCHK" localSheetId="29">'Inventory Report Ann'!$F$2</definedName>
    <definedName name="MasterCHK" localSheetId="41">'Inventory Report Qly'!$F$2</definedName>
    <definedName name="MasterCHK" localSheetId="42">'Inventory Report SemiAnnually'!$F$2</definedName>
    <definedName name="MasterCHK" localSheetId="19">'Invoice finance'!$F$2</definedName>
    <definedName name="MasterCHK" localSheetId="11">Metrics!$F$2</definedName>
    <definedName name="MasterCHK" localSheetId="43">'Metrics Report'!$F$2</definedName>
    <definedName name="MasterCHK" localSheetId="30">'Metrics Report Ann'!$F$2</definedName>
    <definedName name="MasterCHK" localSheetId="44">'Metrics Report Qly'!$F$2</definedName>
    <definedName name="MasterCHK" localSheetId="45">'Metrics Report SemiAnnually'!$F$2</definedName>
    <definedName name="MasterCHK" localSheetId="25">'Model Checks and Alerts'!$F$2</definedName>
    <definedName name="MasterCHK" localSheetId="46">'Results Table'!$F$2</definedName>
    <definedName name="MasterCHK" localSheetId="20">'Supply Chain finance'!$F$2</definedName>
    <definedName name="MasterCHK" localSheetId="9">Time!$F$2</definedName>
    <definedName name="MasterCHK" localSheetId="10">Unallocated!$F$2</definedName>
    <definedName name="MasterCHK" localSheetId="22">VAT!$F$2</definedName>
    <definedName name="MasterCHK" localSheetId="18">'Working Capital'!$F$2</definedName>
    <definedName name="Net_Assets">Financials!$J$24:$BQ$24</definedName>
    <definedName name="Net_Cashflow">Cashflow!$J$29:$BQ$29</definedName>
    <definedName name="New_customers_orders">Customers!$J$11:$BQ$11</definedName>
    <definedName name="New_share_capital_issued">InpS!$J$11:$BQ$11</definedName>
    <definedName name="obxIssuesLog">Issues!$A$5</definedName>
    <definedName name="Operating_Cashflow">Cashflow!$J$12:$BQ$12</definedName>
    <definedName name="Profit_before_tax">'Income Statement'!$J$19:$BQ$19</definedName>
    <definedName name="Renewing_Customer_Orders">Customers!$J$32:$BQ$32</definedName>
    <definedName name="ReportBarFormat">Contents!$A$5</definedName>
    <definedName name="Retained_Earnings">Financials!$J$38:$BQ$38</definedName>
    <definedName name="Retained_Earnings.BEG">Financials!$J$36:$BQ$36</definedName>
    <definedName name="Retained_Earnings.FLOW">Financials!$J$36:$BQ$36</definedName>
    <definedName name="Retained_Earnings_this_period">'Income Statement'!$J$22:$BQ$22</definedName>
    <definedName name="scenario">InpC!$I$4</definedName>
    <definedName name="ScenarioPointer">InpC!$K$2</definedName>
    <definedName name="SensitivityInputs">InpC!$O$13:$R$13</definedName>
    <definedName name="Share_Capital">Equity!$J$13:$BQ$13</definedName>
    <definedName name="Share_Capital.BEG">Equity!$J$11:$BQ$11</definedName>
    <definedName name="Share_Capital.FLOW">Equity!$J$11:$BQ$11</definedName>
    <definedName name="Shareholder_Equity">Financials!$J$30:$BQ$30</definedName>
    <definedName name="Supply_Chain_Finance_balance">'Supply Chain finance'!$J$15:$BQ$15</definedName>
    <definedName name="Supply_Chain_Finance_balance.BEG">'Supply Chain finance'!$J$11:$BQ$11</definedName>
    <definedName name="Supply_Chain_Finance_balance.FLOW">'Supply Chain finance'!$J$11:$BQ$11</definedName>
    <definedName name="Supply_Chain_Finance_drawdown">'Supply Chain finance'!$J$22:$BQ$22</definedName>
    <definedName name="Supply_Chain_Finance_interest">'Supply Chain finance'!$J$41:$BQ$41</definedName>
    <definedName name="Supply_Chain_Finance_interest.NEG">'Supply Chain finance'!$J$42:$BQ$42</definedName>
    <definedName name="Supply_Chain_Finance_interest_paid">'Supply Chain finance'!$J$47:$BQ$47</definedName>
    <definedName name="Supply_Chain_Finance_interest_paid.NEG">'Supply Chain finance'!$J$48:$BQ$48</definedName>
    <definedName name="Supply_Chain_Finance_principal_repayment">'Supply Chain finance'!$J$28:$BQ$28</definedName>
    <definedName name="Supply_Chain_Finance_principal_repayment.NEG">'Supply Chain finance'!$J$29:$BQ$29</definedName>
    <definedName name="TimeRow">InpS!$A$2</definedName>
    <definedName name="TOCFirstLine">Contents!$A$6</definedName>
    <definedName name="TOCobxAsset_Finance">'Asset Finance'!$A$1</definedName>
    <definedName name="TOCobxAssets">Assets!$A$1</definedName>
    <definedName name="TOCobxCorporation_tax">'Corporation tax'!$A$1</definedName>
    <definedName name="TOCobxCorporation_tax.Corporation_tax_creditor">'Corporation tax'!$A$65</definedName>
    <definedName name="TOCobxCorporation_tax.Tax_losses">'Corporation tax'!$A$19</definedName>
    <definedName name="TOCobxCustomers">Customers!$A$1</definedName>
    <definedName name="TOCobxEquity">Equity!$A$1</definedName>
    <definedName name="TOCobxExpense">Expense!$A$1</definedName>
    <definedName name="TOCobxFinancials">Financials!$A$1</definedName>
    <definedName name="TOCobxIncome">Income!$A$1</definedName>
    <definedName name="TOCobxInputs">InpS!$A$1</definedName>
    <definedName name="TOCobxInputs.Corporation_Tax">InpC!$A$87</definedName>
    <definedName name="TOCobxInputs.Customer_Orders">InpC!$A$13</definedName>
    <definedName name="TOCobxInputs.Debt">InpC!$A$54</definedName>
    <definedName name="TOCobxInputs.Debt.Asset_Finance">InpC!$B$72</definedName>
    <definedName name="TOCobxInputs.Debt.Invoice_Finance">InpC!$B$58</definedName>
    <definedName name="TOCobxInputs.Debt.Supply_Chain_Finance">InpC!$B$65</definedName>
    <definedName name="TOCobxInputs.Equity">InpS!$A$10</definedName>
    <definedName name="TOCobxInputs.Expense">InpC!$A$24</definedName>
    <definedName name="TOCobxInputs.Inventory">InpC!$A$37</definedName>
    <definedName name="TOCobxInputs.Model_Constants">InpC!$A$96</definedName>
    <definedName name="TOCobxInputs.Opening_Balances">InpC!$A$43</definedName>
    <definedName name="TOCobxInputs.Short_term_forecast">InpC!$A$93</definedName>
    <definedName name="TOCobxInputs.Supplier_orders">InpC!$A$30</definedName>
    <definedName name="TOCobxInputs.VAT">InpC!$A$80</definedName>
    <definedName name="TOCobxInventory">Inventory!$A$1</definedName>
    <definedName name="TOCobxInvoice_finance">'Invoice finance'!$A$1</definedName>
    <definedName name="TOCobxMetrics">Metrics!$A$1</definedName>
    <definedName name="TOCobxModel_Checks_and_Alerts">'Model Checks and Alerts'!$A$1</definedName>
    <definedName name="TOCobxModel_Checks_and_Alerts.Model_Checks">'Model Checks and Alerts'!$A$9</definedName>
    <definedName name="TOCobxSupply_Chain_finance">'Supply Chain finance'!$A$1</definedName>
    <definedName name="TOCobxTime">Time!$A$1</definedName>
    <definedName name="TOCobxTime.Customer_Order_Growth_index">Time!$A$112</definedName>
    <definedName name="TOCobxTime.Debts_flags">Time!$A$224</definedName>
    <definedName name="TOCobxTime.Fixed_Operating_Cost_Growth_Rate_index">Time!$A$168</definedName>
    <definedName name="TOCobxTime.Headers">Time!$A$16</definedName>
    <definedName name="TOCobxTime.Model_timelines">Time!$A$289</definedName>
    <definedName name="TOCobxTime.Use_short_term_forecast_flag">Time!$A$282</definedName>
    <definedName name="TOCobxTime.VAT_return_this_period_flag">Time!$A$249</definedName>
    <definedName name="TOCobxUnallocated">Unallocated!$A$1</definedName>
    <definedName name="TOCobxVAT">VAT!$A$1</definedName>
    <definedName name="TOCobxWorking_Capital">'Working Capital'!$A$1</definedName>
    <definedName name="TOCrepobxBalance_Sheet_base_1_Quarter">'Balance Sheet Qly'!$A$8</definedName>
    <definedName name="TOCrepobxBalance_Sheet_base_2_SemiAnnual">'Balance Sheet SemiAnnually'!$A$8</definedName>
    <definedName name="TOCrepobxBalance_Sheet_base_Month">'Balance Sheet'!$A$8</definedName>
    <definedName name="TOCrepobxBalance_Sheet_Year">'Balance Sheet Ann'!$A$8</definedName>
    <definedName name="TOCrepobxCashflow_base_1_Quarter">'Cashflow Qly'!$A$8</definedName>
    <definedName name="TOCrepobxCashflow_base_2_SemiAnnual">'Cashflow SemiAnnually'!$A$8</definedName>
    <definedName name="TOCrepobxCashflow_base_Month">Cashflow!$A$8</definedName>
    <definedName name="TOCrepobxCashflow_Year">'Cashflow Ann'!$A$8</definedName>
    <definedName name="TOCrepobxIncome_Statement_base_1_Quarter">'Income Statement Qly'!$A$8</definedName>
    <definedName name="TOCrepobxIncome_Statement_base_2_SemiAnnual">'Income Statement SemiAnnually'!$A$8</definedName>
    <definedName name="TOCrepobxIncome_Statement_base_Month">'Income Statement'!$A$8</definedName>
    <definedName name="TOCrepobxIncome_Statement_Year">'Income Statement Ann'!$A$8</definedName>
    <definedName name="TOCrepobxInventory_Report_base_1_Quarter">'Inventory Report Qly'!$A$8</definedName>
    <definedName name="TOCrepobxInventory_Report_base_2_SemiAnnual">'Inventory Report SemiAnnually'!$A$8</definedName>
    <definedName name="TOCrepobxInventory_Report_base_Month">'Inventory Report'!$A$8</definedName>
    <definedName name="TOCrepobxInventory_Report_Year">'Inventory Report Ann'!$A$8</definedName>
    <definedName name="TOCrepobxMetrics_Report_base_1_Quarter">'Metrics Report Qly'!$A$8</definedName>
    <definedName name="TOCrepobxMetrics_Report_base_2_SemiAnnual">'Metrics Report SemiAnnually'!$A$8</definedName>
    <definedName name="TOCrepobxMetrics_Report_base_Month">'Metrics Report'!$A$8</definedName>
    <definedName name="TOCrepobxMetrics_Report_Year">'Metrics Report Ann'!$A$8</definedName>
    <definedName name="Totals">InpS!$H$5</definedName>
    <definedName name="Units">InpS!$G$1</definedName>
    <definedName name="Units_delivered">Inventory!$J$32:$BQ$32</definedName>
    <definedName name="Units_deployed">Inventory!$J$45:$BQ$45</definedName>
    <definedName name="Units_in_stock">Inventory!$J$56:$BQ$56</definedName>
    <definedName name="Units_in_stock.BEG">Inventory!$J$51:$BQ$51</definedName>
    <definedName name="Units_in_stock.FLOW">Inventory!$J$51:$BQ$51</definedName>
    <definedName name="Units_in_use">Inventory!$J$64:$BQ$64</definedName>
    <definedName name="Units_in_use.BEG">Inventory!$J$61:$BQ$61</definedName>
    <definedName name="Units_in_use.FLOW">Inventory!$J$61:$BQ$61</definedName>
    <definedName name="Units_on_order">Inventory!$J$41:$BQ$41</definedName>
    <definedName name="Units_on_order.BEG">Inventory!$J$38:$BQ$38</definedName>
    <definedName name="Units_on_order.FLOW">Inventory!$J$38:$BQ$38</definedName>
    <definedName name="Units_ordered">Inventory!$J$26:$BQ$26</definedName>
    <definedName name="Units_retired">Inventory!$J$68:$BQ$68</definedName>
    <definedName name="Variable_Operating_expense">Expense!$J$26:$BQ$26</definedName>
    <definedName name="Variable_Operating_expense.NEG">Expense!$J$27:$BQ$27</definedName>
    <definedName name="VAT_balance">VAT!$J$32:$BQ$32</definedName>
    <definedName name="VAT_balance.BEG">VAT!$J$29:$BQ$29</definedName>
    <definedName name="VAT_balance.FLOW">VAT!$J$29:$BQ$29</definedName>
    <definedName name="VAT_paid">VAT!$J$37:$BQ$37</definedName>
    <definedName name="VAT_paid.NEG">VAT!$J$38:$BQ$38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6" i="49" l="1" a="1"/>
  <c r="D86" i="49" s="1"/>
  <c r="D74" i="49" a="1"/>
  <c r="D74" i="49" s="1"/>
  <c r="E72" i="49" a="1"/>
  <c r="E72" i="49" s="1"/>
  <c r="B48" i="47"/>
  <c r="B49" i="47"/>
  <c r="B50" i="47"/>
  <c r="D50" i="47"/>
  <c r="B51" i="47"/>
  <c r="B53" i="47"/>
  <c r="B54" i="47"/>
  <c r="B56" i="47"/>
  <c r="B57" i="47"/>
  <c r="B58" i="47"/>
  <c r="B59" i="47"/>
  <c r="B60" i="47"/>
  <c r="B61" i="47"/>
  <c r="D61" i="47"/>
  <c r="B62" i="47"/>
  <c r="D62" i="47"/>
  <c r="B63" i="47"/>
  <c r="D63" i="47"/>
  <c r="B64" i="47"/>
  <c r="D64" i="47"/>
  <c r="B65" i="47"/>
  <c r="B67"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AH67" i="47"/>
  <c r="AI67" i="47"/>
  <c r="AJ67" i="47"/>
  <c r="AK67" i="47"/>
  <c r="AL67" i="47"/>
  <c r="AM67" i="47"/>
  <c r="AN67" i="47"/>
  <c r="AO67" i="47"/>
  <c r="AP67" i="47"/>
  <c r="AQ67" i="47"/>
  <c r="AR67" i="47"/>
  <c r="AS67" i="47"/>
  <c r="AT67" i="47"/>
  <c r="AU67" i="47"/>
  <c r="AV67" i="47"/>
  <c r="AW67" i="47"/>
  <c r="AX67" i="47"/>
  <c r="AY67" i="47"/>
  <c r="AZ67" i="47"/>
  <c r="BA67" i="47"/>
  <c r="BB67" i="47"/>
  <c r="BC67" i="47"/>
  <c r="BD67" i="47"/>
  <c r="BE67" i="47"/>
  <c r="BF67" i="47"/>
  <c r="BG67" i="47"/>
  <c r="BH67" i="47"/>
  <c r="BI67" i="47"/>
  <c r="BJ67" i="47"/>
  <c r="BK67" i="47"/>
  <c r="B68" i="47"/>
  <c r="B47" i="47"/>
  <c r="B24" i="47"/>
  <c r="B25" i="47"/>
  <c r="B26" i="47"/>
  <c r="B27" i="47"/>
  <c r="B29" i="47"/>
  <c r="B30" i="47"/>
  <c r="B31" i="47"/>
  <c r="B32" i="47"/>
  <c r="B33" i="47"/>
  <c r="B34" i="47"/>
  <c r="B35" i="47"/>
  <c r="B36" i="47"/>
  <c r="B38" i="47"/>
  <c r="B40" i="47"/>
  <c r="B41" i="47"/>
  <c r="D41" i="47"/>
  <c r="E41" i="47"/>
  <c r="F41" i="47"/>
  <c r="G41" i="47"/>
  <c r="H41" i="47"/>
  <c r="I41" i="47"/>
  <c r="J41" i="47"/>
  <c r="K41" i="47"/>
  <c r="L41" i="47"/>
  <c r="M41" i="47"/>
  <c r="N41" i="47"/>
  <c r="O41" i="47"/>
  <c r="P41" i="47"/>
  <c r="Q41" i="47"/>
  <c r="R41" i="47"/>
  <c r="S41" i="47"/>
  <c r="T41" i="47"/>
  <c r="U41" i="47"/>
  <c r="V41" i="47"/>
  <c r="W41" i="47"/>
  <c r="X41" i="47"/>
  <c r="Y41" i="47"/>
  <c r="Z41" i="47"/>
  <c r="AA41" i="47"/>
  <c r="AB41" i="47"/>
  <c r="AC41" i="47"/>
  <c r="AD41" i="47"/>
  <c r="AE41" i="47"/>
  <c r="AF41" i="47"/>
  <c r="AG41" i="47"/>
  <c r="AH41" i="47"/>
  <c r="AI41" i="47"/>
  <c r="AJ41" i="47"/>
  <c r="AK41" i="47"/>
  <c r="AL41" i="47"/>
  <c r="AM41" i="47"/>
  <c r="AN41" i="47"/>
  <c r="AO41" i="47"/>
  <c r="AP41" i="47"/>
  <c r="AQ41" i="47"/>
  <c r="AR41" i="47"/>
  <c r="AS41" i="47"/>
  <c r="AT41" i="47"/>
  <c r="AU41" i="47"/>
  <c r="AV41" i="47"/>
  <c r="AW41" i="47"/>
  <c r="AX41" i="47"/>
  <c r="AY41" i="47"/>
  <c r="AZ41" i="47"/>
  <c r="BA41" i="47"/>
  <c r="BB41" i="47"/>
  <c r="BC41" i="47"/>
  <c r="BD41" i="47"/>
  <c r="BE41" i="47"/>
  <c r="BF41" i="47"/>
  <c r="BG41" i="47"/>
  <c r="BH41" i="47"/>
  <c r="BI41" i="47"/>
  <c r="BJ41" i="47"/>
  <c r="BK41" i="47"/>
  <c r="B42" i="47"/>
  <c r="B5" i="47"/>
  <c r="B6"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AF6" i="47"/>
  <c r="AG6" i="47"/>
  <c r="AH6" i="47"/>
  <c r="AI6" i="47"/>
  <c r="AJ6" i="47"/>
  <c r="AK6" i="47"/>
  <c r="AL6" i="47"/>
  <c r="AM6" i="47"/>
  <c r="AN6" i="47"/>
  <c r="AO6" i="47"/>
  <c r="AP6" i="47"/>
  <c r="AQ6" i="47"/>
  <c r="AR6" i="47"/>
  <c r="AS6" i="47"/>
  <c r="AT6" i="47"/>
  <c r="AU6" i="47"/>
  <c r="AV6" i="47"/>
  <c r="AW6" i="47"/>
  <c r="AX6" i="47"/>
  <c r="AY6" i="47"/>
  <c r="AZ6" i="47"/>
  <c r="BA6" i="47"/>
  <c r="BB6" i="47"/>
  <c r="BC6" i="47"/>
  <c r="BD6" i="47"/>
  <c r="BE6" i="47"/>
  <c r="BF6" i="47"/>
  <c r="BG6" i="47"/>
  <c r="BH6" i="47"/>
  <c r="BI6" i="47"/>
  <c r="BJ6" i="47"/>
  <c r="BK6" i="47"/>
  <c r="B7" i="47"/>
  <c r="B9" i="47"/>
  <c r="D9" i="47"/>
  <c r="B10" i="47"/>
  <c r="B12" i="47"/>
  <c r="D12" i="47"/>
  <c r="B13" i="47"/>
  <c r="D13" i="47"/>
  <c r="B14" i="47"/>
  <c r="D14" i="47"/>
  <c r="B15" i="47"/>
  <c r="B17" i="47"/>
  <c r="B18" i="47"/>
  <c r="B48" i="50"/>
  <c r="B49" i="50"/>
  <c r="B50" i="50"/>
  <c r="B51" i="50"/>
  <c r="B53" i="50"/>
  <c r="B54" i="50"/>
  <c r="B56" i="50"/>
  <c r="B57" i="50"/>
  <c r="B58" i="50"/>
  <c r="B59" i="50"/>
  <c r="B60" i="50"/>
  <c r="B61" i="50"/>
  <c r="B62" i="50"/>
  <c r="B63" i="50"/>
  <c r="B64" i="50"/>
  <c r="B65" i="50"/>
  <c r="B67" i="50"/>
  <c r="D67" i="50"/>
  <c r="E67" i="50"/>
  <c r="F67" i="50"/>
  <c r="G67" i="50"/>
  <c r="H67" i="50"/>
  <c r="B68" i="50"/>
  <c r="B24" i="50"/>
  <c r="B25" i="50"/>
  <c r="B26" i="50"/>
  <c r="B27" i="50"/>
  <c r="B29" i="50"/>
  <c r="B30" i="50"/>
  <c r="B31" i="50"/>
  <c r="B32" i="50"/>
  <c r="B33" i="50"/>
  <c r="B34" i="50"/>
  <c r="B35" i="50"/>
  <c r="B36" i="50"/>
  <c r="B38" i="50"/>
  <c r="B40" i="50"/>
  <c r="B41" i="50"/>
  <c r="D41" i="50"/>
  <c r="E41" i="50"/>
  <c r="F41" i="50"/>
  <c r="G41" i="50"/>
  <c r="H41" i="50"/>
  <c r="B42" i="50"/>
  <c r="B5" i="50"/>
  <c r="B6" i="50"/>
  <c r="D6" i="50"/>
  <c r="E6" i="50"/>
  <c r="F6" i="50"/>
  <c r="G6" i="50"/>
  <c r="H6" i="50"/>
  <c r="B7" i="50"/>
  <c r="B9" i="50"/>
  <c r="B10" i="50"/>
  <c r="B12" i="50"/>
  <c r="B13" i="50"/>
  <c r="B14" i="50"/>
  <c r="B15" i="50"/>
  <c r="B17" i="50"/>
  <c r="B18" i="50"/>
  <c r="B23" i="47"/>
  <c r="B4" i="47"/>
  <c r="BK2" i="47"/>
  <c r="BK45" i="47" s="1"/>
  <c r="BJ2" i="47"/>
  <c r="BJ45" i="47" s="1"/>
  <c r="BI2" i="47"/>
  <c r="BI21" i="47" s="1"/>
  <c r="BH2" i="47"/>
  <c r="BH45" i="47" s="1"/>
  <c r="BG2" i="47"/>
  <c r="BG45" i="47" s="1"/>
  <c r="BF2" i="47"/>
  <c r="BF45" i="47" s="1"/>
  <c r="BE2" i="47"/>
  <c r="BE45" i="47" s="1"/>
  <c r="BD2" i="47"/>
  <c r="BD21" i="47" s="1"/>
  <c r="BC2" i="47"/>
  <c r="BC21" i="47" s="1"/>
  <c r="BB2" i="47"/>
  <c r="BB21" i="47" s="1"/>
  <c r="BA2" i="47"/>
  <c r="BA21" i="47" s="1"/>
  <c r="AZ2" i="47"/>
  <c r="AZ45" i="47" s="1"/>
  <c r="AY2" i="47"/>
  <c r="AY45" i="47" s="1"/>
  <c r="AX2" i="47"/>
  <c r="AX45" i="47" s="1"/>
  <c r="AW2" i="47"/>
  <c r="AW21" i="47" s="1"/>
  <c r="AV2" i="47"/>
  <c r="AV45" i="47" s="1"/>
  <c r="AU2" i="47"/>
  <c r="AU21" i="47" s="1"/>
  <c r="AT2" i="47"/>
  <c r="AT21" i="47" s="1"/>
  <c r="AS2" i="47"/>
  <c r="AS45" i="47" s="1"/>
  <c r="AR2" i="47"/>
  <c r="AR45" i="47" s="1"/>
  <c r="AQ2" i="47"/>
  <c r="AQ21" i="47" s="1"/>
  <c r="AP2" i="47"/>
  <c r="AP45" i="47" s="1"/>
  <c r="AO2" i="47"/>
  <c r="AO21" i="47" s="1"/>
  <c r="AN2" i="47"/>
  <c r="AN45" i="47" s="1"/>
  <c r="AM2" i="47"/>
  <c r="AM21" i="47" s="1"/>
  <c r="AL2" i="47"/>
  <c r="AL21" i="47" s="1"/>
  <c r="AK2" i="47"/>
  <c r="AK45" i="47" s="1"/>
  <c r="AJ2" i="47"/>
  <c r="AJ45" i="47" s="1"/>
  <c r="AI2" i="47"/>
  <c r="AI45" i="47" s="1"/>
  <c r="AH2" i="47"/>
  <c r="AH45" i="47" s="1"/>
  <c r="AG2" i="47"/>
  <c r="AG21" i="47" s="1"/>
  <c r="AF2" i="47"/>
  <c r="AF21" i="47" s="1"/>
  <c r="AE2" i="47"/>
  <c r="AE21" i="47" s="1"/>
  <c r="AD2" i="47"/>
  <c r="AD21" i="47" s="1"/>
  <c r="AC2" i="47"/>
  <c r="AC21" i="47" s="1"/>
  <c r="AB2" i="47"/>
  <c r="AB45" i="47" s="1"/>
  <c r="AA2" i="47"/>
  <c r="AA45" i="47" s="1"/>
  <c r="Z2" i="47"/>
  <c r="Z45" i="47" s="1"/>
  <c r="Y2" i="47"/>
  <c r="Y21" i="47" s="1"/>
  <c r="X2" i="47"/>
  <c r="X21" i="47" s="1"/>
  <c r="W2" i="47"/>
  <c r="W21" i="47" s="1"/>
  <c r="V2" i="47"/>
  <c r="V21" i="47" s="1"/>
  <c r="U2" i="47"/>
  <c r="U21" i="47" s="1"/>
  <c r="T2" i="47"/>
  <c r="T45" i="47" s="1"/>
  <c r="S2" i="47"/>
  <c r="S21" i="47" s="1"/>
  <c r="R2" i="47"/>
  <c r="R45" i="47" s="1"/>
  <c r="Q2" i="47"/>
  <c r="Q21" i="47" s="1"/>
  <c r="P2" i="47"/>
  <c r="P21" i="47" s="1"/>
  <c r="O2" i="47"/>
  <c r="O21" i="47" s="1"/>
  <c r="N2" i="47"/>
  <c r="N21" i="47" s="1"/>
  <c r="M2" i="47"/>
  <c r="M21" i="47" s="1"/>
  <c r="L2" i="47"/>
  <c r="L45" i="47" s="1"/>
  <c r="K2" i="47"/>
  <c r="K45" i="47" s="1"/>
  <c r="J2" i="47"/>
  <c r="J45" i="47" s="1"/>
  <c r="I2" i="47"/>
  <c r="I45" i="47" s="1"/>
  <c r="H2" i="47"/>
  <c r="H45" i="47" s="1"/>
  <c r="G2" i="47"/>
  <c r="G45" i="47" s="1"/>
  <c r="F2" i="47"/>
  <c r="F21" i="47" s="1"/>
  <c r="E2" i="47"/>
  <c r="E21" i="47" s="1"/>
  <c r="D2" i="47"/>
  <c r="D45" i="47" s="1"/>
  <c r="B47" i="50"/>
  <c r="H45" i="50"/>
  <c r="G45" i="50"/>
  <c r="F45" i="50"/>
  <c r="E45" i="50"/>
  <c r="D45" i="50"/>
  <c r="B23" i="50"/>
  <c r="H21" i="50"/>
  <c r="G21" i="50"/>
  <c r="F21" i="50"/>
  <c r="E21" i="50"/>
  <c r="D21" i="50"/>
  <c r="B4" i="50"/>
  <c r="H2" i="50"/>
  <c r="G2" i="50"/>
  <c r="F2" i="50"/>
  <c r="E2" i="50"/>
  <c r="D2" i="50"/>
  <c r="I3" i="49"/>
  <c r="I4" i="49"/>
  <c r="I5" i="49"/>
  <c r="I8" i="49"/>
  <c r="I9" i="49"/>
  <c r="I10" i="49"/>
  <c r="I14" i="49"/>
  <c r="I15" i="49"/>
  <c r="I17" i="49"/>
  <c r="I20" i="49"/>
  <c r="I21" i="49"/>
  <c r="I22" i="49"/>
  <c r="I23" i="49"/>
  <c r="I24" i="49"/>
  <c r="E29" i="49"/>
  <c r="I45" i="49" s="1"/>
  <c r="E32" i="49"/>
  <c r="I46" i="49" s="1"/>
  <c r="E36" i="49"/>
  <c r="E39" i="49"/>
  <c r="I52" i="49" s="1"/>
  <c r="E43" i="49"/>
  <c r="E46" i="49"/>
  <c r="I47" i="49"/>
  <c r="I48" i="49"/>
  <c r="I53" i="49"/>
  <c r="I55" i="49"/>
  <c r="I56" i="49"/>
  <c r="B6" i="48"/>
  <c r="C6" i="48"/>
  <c r="C11" i="48" s="1"/>
  <c r="D6" i="48"/>
  <c r="E6" i="48"/>
  <c r="B12" i="48"/>
  <c r="C12" i="48"/>
  <c r="C17" i="48" s="1"/>
  <c r="C18" i="48" s="1"/>
  <c r="C23" i="48" s="1"/>
  <c r="D12" i="48"/>
  <c r="E12" i="48"/>
  <c r="B18" i="48"/>
  <c r="D18" i="48"/>
  <c r="E18" i="48"/>
  <c r="H21" i="47"/>
  <c r="Z21" i="47"/>
  <c r="AP21" i="47"/>
  <c r="AV21" i="47"/>
  <c r="AY21" i="47"/>
  <c r="X45" i="47"/>
  <c r="BB45" i="47"/>
  <c r="BD45" i="47"/>
  <c r="H11" i="4"/>
  <c r="A1" i="4"/>
  <c r="M7" i="3"/>
  <c r="L7" i="3"/>
  <c r="K7" i="3"/>
  <c r="I5" i="3"/>
  <c r="I4" i="3"/>
  <c r="A1" i="3"/>
  <c r="A1" i="45"/>
  <c r="H21" i="44"/>
  <c r="H20" i="44"/>
  <c r="J5" i="44"/>
  <c r="K13" i="44" s="1"/>
  <c r="J2" i="44"/>
  <c r="H2" i="44"/>
  <c r="F1" i="43"/>
  <c r="A1" i="43"/>
  <c r="G8" i="42"/>
  <c r="E8" i="42"/>
  <c r="F1" i="42"/>
  <c r="A1" i="42"/>
  <c r="G8" i="41"/>
  <c r="E8" i="41"/>
  <c r="F1" i="41"/>
  <c r="A1" i="41"/>
  <c r="G8" i="40"/>
  <c r="E8" i="40"/>
  <c r="F1" i="40"/>
  <c r="A1" i="40"/>
  <c r="I18" i="39"/>
  <c r="G18" i="39"/>
  <c r="F18" i="39"/>
  <c r="E18" i="39"/>
  <c r="H17" i="39"/>
  <c r="G17" i="39"/>
  <c r="F17" i="39"/>
  <c r="E17" i="39"/>
  <c r="I16" i="39"/>
  <c r="G16" i="39"/>
  <c r="F16" i="39"/>
  <c r="E16" i="39"/>
  <c r="H15" i="39"/>
  <c r="G15" i="39"/>
  <c r="F15" i="39"/>
  <c r="E15" i="39"/>
  <c r="I14" i="39"/>
  <c r="G14" i="39"/>
  <c r="F14" i="39"/>
  <c r="E14" i="39"/>
  <c r="I13" i="39"/>
  <c r="G13" i="39"/>
  <c r="F13" i="39"/>
  <c r="E13" i="39"/>
  <c r="H12" i="39"/>
  <c r="G12" i="39"/>
  <c r="F12" i="39"/>
  <c r="E12" i="39"/>
  <c r="I11" i="39"/>
  <c r="G11" i="39"/>
  <c r="F11" i="39"/>
  <c r="E11" i="39"/>
  <c r="H10" i="39"/>
  <c r="G10" i="39"/>
  <c r="F10" i="39"/>
  <c r="E10" i="39"/>
  <c r="I9" i="39"/>
  <c r="G9" i="39"/>
  <c r="F9" i="39"/>
  <c r="E9" i="39"/>
  <c r="I8" i="39"/>
  <c r="G8" i="39"/>
  <c r="F8" i="39"/>
  <c r="E8" i="39"/>
  <c r="F1" i="39"/>
  <c r="A1" i="39"/>
  <c r="I18" i="38"/>
  <c r="G18" i="38"/>
  <c r="F18" i="38"/>
  <c r="E18" i="38"/>
  <c r="H17" i="38"/>
  <c r="G17" i="38"/>
  <c r="F17" i="38"/>
  <c r="E17" i="38"/>
  <c r="I16" i="38"/>
  <c r="G16" i="38"/>
  <c r="F16" i="38"/>
  <c r="E16" i="38"/>
  <c r="H15" i="38"/>
  <c r="G15" i="38"/>
  <c r="F15" i="38"/>
  <c r="E15" i="38"/>
  <c r="I14" i="38"/>
  <c r="G14" i="38"/>
  <c r="F14" i="38"/>
  <c r="E14" i="38"/>
  <c r="I13" i="38"/>
  <c r="G13" i="38"/>
  <c r="F13" i="38"/>
  <c r="E13" i="38"/>
  <c r="H12" i="38"/>
  <c r="G12" i="38"/>
  <c r="F12" i="38"/>
  <c r="E12" i="38"/>
  <c r="I11" i="38"/>
  <c r="G11" i="38"/>
  <c r="F11" i="38"/>
  <c r="E11" i="38"/>
  <c r="H10" i="38"/>
  <c r="G10" i="38"/>
  <c r="F10" i="38"/>
  <c r="E10" i="38"/>
  <c r="I9" i="38"/>
  <c r="G9" i="38"/>
  <c r="F9" i="38"/>
  <c r="E9" i="38"/>
  <c r="I8" i="38"/>
  <c r="G8" i="38"/>
  <c r="F8" i="38"/>
  <c r="E8" i="38"/>
  <c r="F1" i="38"/>
  <c r="A1" i="38"/>
  <c r="I18" i="37"/>
  <c r="G18" i="37"/>
  <c r="F18" i="37"/>
  <c r="E18" i="37"/>
  <c r="H17" i="37"/>
  <c r="G17" i="37"/>
  <c r="F17" i="37"/>
  <c r="E17" i="37"/>
  <c r="I16" i="37"/>
  <c r="G16" i="37"/>
  <c r="F16" i="37"/>
  <c r="E16" i="37"/>
  <c r="H15" i="37"/>
  <c r="G15" i="37"/>
  <c r="F15" i="37"/>
  <c r="E15" i="37"/>
  <c r="I14" i="37"/>
  <c r="G14" i="37"/>
  <c r="F14" i="37"/>
  <c r="E14" i="37"/>
  <c r="I13" i="37"/>
  <c r="G13" i="37"/>
  <c r="F13" i="37"/>
  <c r="E13" i="37"/>
  <c r="H12" i="37"/>
  <c r="G12" i="37"/>
  <c r="F12" i="37"/>
  <c r="E12" i="37"/>
  <c r="I11" i="37"/>
  <c r="G11" i="37"/>
  <c r="F11" i="37"/>
  <c r="E11" i="37"/>
  <c r="H10" i="37"/>
  <c r="G10" i="37"/>
  <c r="F10" i="37"/>
  <c r="E10" i="37"/>
  <c r="I9" i="37"/>
  <c r="G9" i="37"/>
  <c r="F9" i="37"/>
  <c r="E9" i="37"/>
  <c r="I8" i="37"/>
  <c r="G8" i="37"/>
  <c r="F8" i="37"/>
  <c r="E8" i="37"/>
  <c r="F1" i="37"/>
  <c r="A1" i="37"/>
  <c r="I28" i="36"/>
  <c r="G28" i="36"/>
  <c r="F28" i="36"/>
  <c r="E28" i="36"/>
  <c r="I25" i="36"/>
  <c r="F25" i="36"/>
  <c r="I24" i="36"/>
  <c r="F24" i="36"/>
  <c r="I23" i="36"/>
  <c r="F23" i="36"/>
  <c r="I22" i="36"/>
  <c r="F22" i="36"/>
  <c r="I21" i="36"/>
  <c r="G21" i="36"/>
  <c r="F21" i="36"/>
  <c r="E21" i="36"/>
  <c r="I20" i="36"/>
  <c r="F20" i="36"/>
  <c r="I19" i="36"/>
  <c r="G19" i="36"/>
  <c r="F19" i="36"/>
  <c r="E19" i="36"/>
  <c r="I18" i="36"/>
  <c r="F18" i="36"/>
  <c r="I17" i="36"/>
  <c r="G17" i="36"/>
  <c r="F17" i="36"/>
  <c r="E17" i="36"/>
  <c r="I14" i="36"/>
  <c r="F14" i="36"/>
  <c r="I11" i="36"/>
  <c r="F11" i="36"/>
  <c r="I10" i="36"/>
  <c r="F10" i="36"/>
  <c r="I9" i="36"/>
  <c r="F9" i="36"/>
  <c r="I8" i="36"/>
  <c r="G8" i="36"/>
  <c r="F8" i="36"/>
  <c r="E8" i="36"/>
  <c r="F1" i="36"/>
  <c r="A1" i="36"/>
  <c r="I28" i="35"/>
  <c r="G28" i="35"/>
  <c r="F28" i="35"/>
  <c r="E28" i="35"/>
  <c r="I25" i="35"/>
  <c r="F25" i="35"/>
  <c r="I24" i="35"/>
  <c r="F24" i="35"/>
  <c r="I23" i="35"/>
  <c r="F23" i="35"/>
  <c r="I22" i="35"/>
  <c r="F22" i="35"/>
  <c r="I21" i="35"/>
  <c r="G21" i="35"/>
  <c r="F21" i="35"/>
  <c r="E21" i="35"/>
  <c r="I20" i="35"/>
  <c r="F20" i="35"/>
  <c r="I19" i="35"/>
  <c r="G19" i="35"/>
  <c r="F19" i="35"/>
  <c r="E19" i="35"/>
  <c r="I18" i="35"/>
  <c r="F18" i="35"/>
  <c r="I17" i="35"/>
  <c r="G17" i="35"/>
  <c r="F17" i="35"/>
  <c r="E17" i="35"/>
  <c r="I14" i="35"/>
  <c r="F14" i="35"/>
  <c r="I11" i="35"/>
  <c r="F11" i="35"/>
  <c r="I10" i="35"/>
  <c r="F10" i="35"/>
  <c r="I9" i="35"/>
  <c r="F9" i="35"/>
  <c r="I8" i="35"/>
  <c r="G8" i="35"/>
  <c r="F8" i="35"/>
  <c r="E8" i="35"/>
  <c r="F1" i="35"/>
  <c r="A1" i="35"/>
  <c r="BQ28" i="34"/>
  <c r="BP28" i="34"/>
  <c r="BO28" i="34"/>
  <c r="BN28" i="34"/>
  <c r="BM28" i="34"/>
  <c r="BL28" i="34"/>
  <c r="BK28" i="34"/>
  <c r="BJ28" i="34"/>
  <c r="BI28" i="34"/>
  <c r="BH28" i="34"/>
  <c r="BG28" i="34"/>
  <c r="BF28" i="34"/>
  <c r="BE28" i="34"/>
  <c r="BD28" i="34"/>
  <c r="BC28" i="34"/>
  <c r="BB28" i="34"/>
  <c r="BA28" i="34"/>
  <c r="AZ28" i="34"/>
  <c r="AY28" i="34"/>
  <c r="AX28" i="34"/>
  <c r="AW28" i="34"/>
  <c r="AV28" i="34"/>
  <c r="AU28" i="34"/>
  <c r="AT28" i="34"/>
  <c r="AS28" i="34"/>
  <c r="AR28" i="34"/>
  <c r="AQ28" i="34"/>
  <c r="AP28" i="34"/>
  <c r="AO28" i="34"/>
  <c r="AN28" i="34"/>
  <c r="AM28" i="34"/>
  <c r="AL28" i="34"/>
  <c r="AK28" i="34"/>
  <c r="AJ28" i="34"/>
  <c r="AI28" i="34"/>
  <c r="AH28" i="34"/>
  <c r="AG28" i="34"/>
  <c r="AF28" i="34"/>
  <c r="AE28" i="34"/>
  <c r="AD28" i="34"/>
  <c r="AC28" i="34"/>
  <c r="AB28" i="34"/>
  <c r="AA28" i="34"/>
  <c r="Z28" i="34"/>
  <c r="Y28" i="34"/>
  <c r="X28" i="34"/>
  <c r="W28" i="34"/>
  <c r="V28" i="34"/>
  <c r="U28" i="34"/>
  <c r="T28" i="34"/>
  <c r="S28" i="34"/>
  <c r="R28" i="34"/>
  <c r="Q28" i="34"/>
  <c r="P28" i="34"/>
  <c r="O28" i="34"/>
  <c r="N28" i="34"/>
  <c r="M28" i="34"/>
  <c r="L28" i="34"/>
  <c r="K28" i="34"/>
  <c r="J28" i="34"/>
  <c r="I28" i="34"/>
  <c r="G28" i="34"/>
  <c r="F28" i="34"/>
  <c r="E28" i="34"/>
  <c r="I25" i="34"/>
  <c r="F25" i="34"/>
  <c r="I24" i="34"/>
  <c r="F24" i="34"/>
  <c r="I23" i="34"/>
  <c r="F23" i="34"/>
  <c r="I22" i="34"/>
  <c r="F22" i="34"/>
  <c r="I21" i="34"/>
  <c r="G21" i="34"/>
  <c r="F21" i="34"/>
  <c r="E21" i="34"/>
  <c r="I20" i="34"/>
  <c r="F20" i="34"/>
  <c r="I19" i="34"/>
  <c r="G19" i="34"/>
  <c r="F19" i="34"/>
  <c r="E19" i="34"/>
  <c r="I18" i="34"/>
  <c r="F18" i="34"/>
  <c r="I17" i="34"/>
  <c r="G17" i="34"/>
  <c r="F17" i="34"/>
  <c r="E17" i="34"/>
  <c r="I14" i="34"/>
  <c r="F14" i="34"/>
  <c r="I11" i="34"/>
  <c r="F11" i="34"/>
  <c r="I10" i="34"/>
  <c r="F10" i="34"/>
  <c r="I9" i="34"/>
  <c r="F9" i="34"/>
  <c r="I8" i="34"/>
  <c r="G8" i="34"/>
  <c r="F8" i="34"/>
  <c r="E8" i="34"/>
  <c r="F1" i="34"/>
  <c r="A1" i="34"/>
  <c r="I27" i="33"/>
  <c r="H27" i="33"/>
  <c r="G27" i="33"/>
  <c r="E27" i="33"/>
  <c r="H26" i="33"/>
  <c r="G26" i="33"/>
  <c r="F26" i="33"/>
  <c r="E26" i="33"/>
  <c r="H25" i="33"/>
  <c r="G25" i="33"/>
  <c r="F25" i="33"/>
  <c r="E25" i="33"/>
  <c r="I23" i="33"/>
  <c r="H23" i="33"/>
  <c r="G23" i="33"/>
  <c r="E23" i="33"/>
  <c r="H20" i="33"/>
  <c r="G20" i="33"/>
  <c r="F20" i="33"/>
  <c r="E20" i="33"/>
  <c r="H19" i="33"/>
  <c r="G19" i="33"/>
  <c r="F19" i="33"/>
  <c r="E19" i="33"/>
  <c r="H18" i="33"/>
  <c r="G18" i="33"/>
  <c r="F18" i="33"/>
  <c r="E18" i="33"/>
  <c r="H17" i="33"/>
  <c r="G17" i="33"/>
  <c r="F17" i="33"/>
  <c r="E17" i="33"/>
  <c r="H16" i="33"/>
  <c r="G16" i="33"/>
  <c r="F16" i="33"/>
  <c r="E16" i="33"/>
  <c r="H15" i="33"/>
  <c r="G15" i="33"/>
  <c r="F15" i="33"/>
  <c r="E15" i="33"/>
  <c r="H14" i="33"/>
  <c r="G14" i="33"/>
  <c r="F14" i="33"/>
  <c r="E14" i="33"/>
  <c r="H11" i="33"/>
  <c r="G11" i="33"/>
  <c r="F11" i="33"/>
  <c r="E11" i="33"/>
  <c r="H10" i="33"/>
  <c r="G10" i="33"/>
  <c r="F10" i="33"/>
  <c r="E10" i="33"/>
  <c r="I9" i="33"/>
  <c r="H9" i="33"/>
  <c r="F9" i="33"/>
  <c r="H8" i="33"/>
  <c r="G8" i="33"/>
  <c r="F8" i="33"/>
  <c r="E8" i="33"/>
  <c r="F1" i="33"/>
  <c r="A1" i="33"/>
  <c r="I27" i="32"/>
  <c r="H27" i="32"/>
  <c r="G27" i="32"/>
  <c r="E27" i="32"/>
  <c r="H26" i="32"/>
  <c r="G26" i="32"/>
  <c r="F26" i="32"/>
  <c r="E26" i="32"/>
  <c r="H25" i="32"/>
  <c r="G25" i="32"/>
  <c r="F25" i="32"/>
  <c r="E25" i="32"/>
  <c r="I23" i="32"/>
  <c r="H23" i="32"/>
  <c r="G23" i="32"/>
  <c r="E23" i="32"/>
  <c r="H20" i="32"/>
  <c r="G20" i="32"/>
  <c r="F20" i="32"/>
  <c r="E20" i="32"/>
  <c r="H19" i="32"/>
  <c r="G19" i="32"/>
  <c r="F19" i="32"/>
  <c r="E19" i="32"/>
  <c r="H18" i="32"/>
  <c r="G18" i="32"/>
  <c r="F18" i="32"/>
  <c r="E18" i="32"/>
  <c r="H17" i="32"/>
  <c r="G17" i="32"/>
  <c r="F17" i="32"/>
  <c r="E17" i="32"/>
  <c r="H16" i="32"/>
  <c r="G16" i="32"/>
  <c r="F16" i="32"/>
  <c r="E16" i="32"/>
  <c r="H15" i="32"/>
  <c r="G15" i="32"/>
  <c r="F15" i="32"/>
  <c r="E15" i="32"/>
  <c r="H14" i="32"/>
  <c r="G14" i="32"/>
  <c r="F14" i="32"/>
  <c r="E14" i="32"/>
  <c r="H11" i="32"/>
  <c r="G11" i="32"/>
  <c r="F11" i="32"/>
  <c r="E11" i="32"/>
  <c r="H10" i="32"/>
  <c r="G10" i="32"/>
  <c r="F10" i="32"/>
  <c r="E10" i="32"/>
  <c r="I9" i="32"/>
  <c r="H9" i="32"/>
  <c r="F9" i="32"/>
  <c r="H8" i="32"/>
  <c r="G8" i="32"/>
  <c r="F8" i="32"/>
  <c r="E8" i="32"/>
  <c r="F1" i="32"/>
  <c r="A1" i="32"/>
  <c r="I27" i="31"/>
  <c r="H27" i="31"/>
  <c r="G27" i="31"/>
  <c r="E27" i="31"/>
  <c r="H26" i="31"/>
  <c r="G26" i="31"/>
  <c r="F26" i="31"/>
  <c r="E26" i="31"/>
  <c r="H25" i="31"/>
  <c r="G25" i="31"/>
  <c r="F25" i="31"/>
  <c r="E25" i="31"/>
  <c r="I23" i="31"/>
  <c r="H23" i="31"/>
  <c r="G23" i="31"/>
  <c r="E23" i="31"/>
  <c r="H20" i="31"/>
  <c r="G20" i="31"/>
  <c r="F20" i="31"/>
  <c r="E20" i="31"/>
  <c r="H19" i="31"/>
  <c r="G19" i="31"/>
  <c r="F19" i="31"/>
  <c r="E19" i="31"/>
  <c r="H18" i="31"/>
  <c r="G18" i="31"/>
  <c r="F18" i="31"/>
  <c r="E18" i="31"/>
  <c r="H17" i="31"/>
  <c r="G17" i="31"/>
  <c r="F17" i="31"/>
  <c r="E17" i="31"/>
  <c r="H16" i="31"/>
  <c r="G16" i="31"/>
  <c r="F16" i="31"/>
  <c r="E16" i="31"/>
  <c r="H15" i="31"/>
  <c r="G15" i="31"/>
  <c r="F15" i="31"/>
  <c r="E15" i="31"/>
  <c r="H14" i="31"/>
  <c r="G14" i="31"/>
  <c r="F14" i="31"/>
  <c r="E14" i="31"/>
  <c r="H11" i="31"/>
  <c r="G11" i="31"/>
  <c r="F11" i="31"/>
  <c r="E11" i="31"/>
  <c r="H10" i="31"/>
  <c r="G10" i="31"/>
  <c r="F10" i="31"/>
  <c r="E10" i="31"/>
  <c r="I9" i="31"/>
  <c r="H9" i="31"/>
  <c r="F9" i="31"/>
  <c r="H8" i="31"/>
  <c r="G8" i="31"/>
  <c r="F8" i="31"/>
  <c r="E8" i="31"/>
  <c r="F1" i="31"/>
  <c r="A1" i="31"/>
  <c r="I21" i="30"/>
  <c r="F21" i="30"/>
  <c r="I18" i="30"/>
  <c r="F18" i="30"/>
  <c r="I17" i="30"/>
  <c r="F17" i="30"/>
  <c r="I16" i="30"/>
  <c r="F16" i="30"/>
  <c r="I13" i="30"/>
  <c r="F13" i="30"/>
  <c r="I10" i="30"/>
  <c r="F10" i="30"/>
  <c r="I9" i="30"/>
  <c r="F9" i="30"/>
  <c r="I8" i="30"/>
  <c r="G8" i="30"/>
  <c r="F8" i="30"/>
  <c r="E8" i="30"/>
  <c r="F1" i="30"/>
  <c r="A1" i="30"/>
  <c r="I21" i="29"/>
  <c r="F21" i="29"/>
  <c r="I18" i="29"/>
  <c r="F18" i="29"/>
  <c r="I17" i="29"/>
  <c r="F17" i="29"/>
  <c r="I16" i="29"/>
  <c r="F16" i="29"/>
  <c r="I13" i="29"/>
  <c r="F13" i="29"/>
  <c r="I10" i="29"/>
  <c r="F10" i="29"/>
  <c r="I9" i="29"/>
  <c r="F9" i="29"/>
  <c r="I8" i="29"/>
  <c r="G8" i="29"/>
  <c r="F8" i="29"/>
  <c r="E8" i="29"/>
  <c r="F1" i="29"/>
  <c r="A1" i="29"/>
  <c r="I21" i="28"/>
  <c r="F21" i="28"/>
  <c r="I18" i="28"/>
  <c r="F18" i="28"/>
  <c r="I17" i="28"/>
  <c r="F17" i="28"/>
  <c r="I16" i="28"/>
  <c r="F16" i="28"/>
  <c r="I13" i="28"/>
  <c r="F13" i="28"/>
  <c r="I10" i="28"/>
  <c r="F10" i="28"/>
  <c r="I9" i="28"/>
  <c r="F9" i="28"/>
  <c r="I8" i="28"/>
  <c r="G8" i="28"/>
  <c r="F8" i="28"/>
  <c r="E8" i="28"/>
  <c r="F1" i="28"/>
  <c r="A1" i="28"/>
  <c r="G8" i="27"/>
  <c r="E8" i="27"/>
  <c r="F1" i="27"/>
  <c r="A1" i="27"/>
  <c r="I18" i="26"/>
  <c r="G18" i="26"/>
  <c r="F18" i="26"/>
  <c r="E18" i="26"/>
  <c r="H17" i="26"/>
  <c r="G17" i="26"/>
  <c r="F17" i="26"/>
  <c r="E17" i="26"/>
  <c r="I16" i="26"/>
  <c r="G16" i="26"/>
  <c r="F16" i="26"/>
  <c r="E16" i="26"/>
  <c r="H15" i="26"/>
  <c r="G15" i="26"/>
  <c r="F15" i="26"/>
  <c r="E15" i="26"/>
  <c r="I14" i="26"/>
  <c r="G14" i="26"/>
  <c r="F14" i="26"/>
  <c r="E14" i="26"/>
  <c r="I13" i="26"/>
  <c r="G13" i="26"/>
  <c r="F13" i="26"/>
  <c r="E13" i="26"/>
  <c r="H12" i="26"/>
  <c r="G12" i="26"/>
  <c r="F12" i="26"/>
  <c r="E12" i="26"/>
  <c r="I11" i="26"/>
  <c r="G11" i="26"/>
  <c r="F11" i="26"/>
  <c r="E11" i="26"/>
  <c r="H10" i="26"/>
  <c r="G10" i="26"/>
  <c r="F10" i="26"/>
  <c r="E10" i="26"/>
  <c r="I9" i="26"/>
  <c r="G9" i="26"/>
  <c r="F9" i="26"/>
  <c r="E9" i="26"/>
  <c r="I8" i="26"/>
  <c r="G8" i="26"/>
  <c r="F8" i="26"/>
  <c r="E8" i="26"/>
  <c r="F1" i="26"/>
  <c r="A1" i="26"/>
  <c r="I28" i="25"/>
  <c r="G28" i="25"/>
  <c r="F28" i="25"/>
  <c r="E28" i="25"/>
  <c r="I25" i="25"/>
  <c r="F25" i="25"/>
  <c r="I24" i="25"/>
  <c r="F24" i="25"/>
  <c r="I23" i="25"/>
  <c r="F23" i="25"/>
  <c r="I22" i="25"/>
  <c r="F22" i="25"/>
  <c r="I21" i="25"/>
  <c r="G21" i="25"/>
  <c r="F21" i="25"/>
  <c r="E21" i="25"/>
  <c r="I20" i="25"/>
  <c r="F20" i="25"/>
  <c r="I19" i="25"/>
  <c r="G19" i="25"/>
  <c r="F19" i="25"/>
  <c r="E19" i="25"/>
  <c r="I18" i="25"/>
  <c r="F18" i="25"/>
  <c r="I17" i="25"/>
  <c r="G17" i="25"/>
  <c r="F17" i="25"/>
  <c r="E17" i="25"/>
  <c r="I14" i="25"/>
  <c r="F14" i="25"/>
  <c r="I11" i="25"/>
  <c r="F11" i="25"/>
  <c r="I10" i="25"/>
  <c r="F10" i="25"/>
  <c r="I9" i="25"/>
  <c r="F9" i="25"/>
  <c r="I8" i="25"/>
  <c r="G8" i="25"/>
  <c r="F8" i="25"/>
  <c r="E8" i="25"/>
  <c r="F1" i="25"/>
  <c r="A1" i="25"/>
  <c r="I27" i="24"/>
  <c r="H27" i="24"/>
  <c r="G27" i="24"/>
  <c r="E27" i="24"/>
  <c r="H26" i="24"/>
  <c r="G26" i="24"/>
  <c r="F26" i="24"/>
  <c r="E26" i="24"/>
  <c r="H25" i="24"/>
  <c r="G25" i="24"/>
  <c r="F25" i="24"/>
  <c r="E25" i="24"/>
  <c r="I23" i="24"/>
  <c r="H23" i="24"/>
  <c r="G23" i="24"/>
  <c r="E23" i="24"/>
  <c r="H20" i="24"/>
  <c r="G20" i="24"/>
  <c r="F20" i="24"/>
  <c r="E20" i="24"/>
  <c r="H19" i="24"/>
  <c r="G19" i="24"/>
  <c r="F19" i="24"/>
  <c r="E19" i="24"/>
  <c r="H18" i="24"/>
  <c r="G18" i="24"/>
  <c r="F18" i="24"/>
  <c r="E18" i="24"/>
  <c r="H17" i="24"/>
  <c r="G17" i="24"/>
  <c r="F17" i="24"/>
  <c r="E17" i="24"/>
  <c r="H16" i="24"/>
  <c r="G16" i="24"/>
  <c r="F16" i="24"/>
  <c r="E16" i="24"/>
  <c r="H15" i="24"/>
  <c r="G15" i="24"/>
  <c r="F15" i="24"/>
  <c r="E15" i="24"/>
  <c r="H14" i="24"/>
  <c r="G14" i="24"/>
  <c r="F14" i="24"/>
  <c r="E14" i="24"/>
  <c r="H11" i="24"/>
  <c r="G11" i="24"/>
  <c r="F11" i="24"/>
  <c r="E11" i="24"/>
  <c r="H10" i="24"/>
  <c r="G10" i="24"/>
  <c r="F10" i="24"/>
  <c r="E10" i="24"/>
  <c r="I9" i="24"/>
  <c r="H9" i="24"/>
  <c r="F9" i="24"/>
  <c r="H8" i="24"/>
  <c r="G8" i="24"/>
  <c r="F8" i="24"/>
  <c r="E8" i="24"/>
  <c r="F1" i="24"/>
  <c r="A1" i="24"/>
  <c r="I21" i="23"/>
  <c r="F21" i="23"/>
  <c r="I18" i="23"/>
  <c r="F18" i="23"/>
  <c r="I17" i="23"/>
  <c r="F17" i="23"/>
  <c r="I16" i="23"/>
  <c r="F16" i="23"/>
  <c r="I13" i="23"/>
  <c r="F13" i="23"/>
  <c r="I10" i="23"/>
  <c r="F10" i="23"/>
  <c r="I9" i="23"/>
  <c r="F9" i="23"/>
  <c r="I8" i="23"/>
  <c r="G8" i="23"/>
  <c r="F8" i="23"/>
  <c r="E8" i="23"/>
  <c r="F1" i="23"/>
  <c r="A1" i="23"/>
  <c r="I21" i="22"/>
  <c r="H21" i="22"/>
  <c r="G21" i="22"/>
  <c r="F21" i="22"/>
  <c r="E21" i="22"/>
  <c r="I16" i="22"/>
  <c r="H16" i="22"/>
  <c r="G16" i="22"/>
  <c r="F16" i="22"/>
  <c r="E16" i="22"/>
  <c r="I15" i="22"/>
  <c r="H15" i="22"/>
  <c r="G15" i="22"/>
  <c r="F15" i="22"/>
  <c r="E15" i="22"/>
  <c r="G10" i="22"/>
  <c r="E10" i="22"/>
  <c r="F1" i="22"/>
  <c r="A1" i="22"/>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G12" i="21"/>
  <c r="F12" i="21"/>
  <c r="E12" i="21"/>
  <c r="I10" i="21"/>
  <c r="H10" i="21"/>
  <c r="G10" i="21"/>
  <c r="F10" i="21"/>
  <c r="E10" i="21"/>
  <c r="G9" i="21"/>
  <c r="E9" i="21"/>
  <c r="F1" i="21"/>
  <c r="A1" i="21"/>
  <c r="I82" i="20"/>
  <c r="G82" i="20"/>
  <c r="F82" i="20"/>
  <c r="E82" i="20"/>
  <c r="I81" i="20"/>
  <c r="G81" i="20"/>
  <c r="F81" i="20"/>
  <c r="E81" i="20"/>
  <c r="I77" i="20"/>
  <c r="G77" i="20"/>
  <c r="F77" i="20"/>
  <c r="E77" i="20"/>
  <c r="I76" i="20"/>
  <c r="G76" i="20"/>
  <c r="F76" i="20"/>
  <c r="E76" i="20"/>
  <c r="I74" i="20"/>
  <c r="H74" i="20"/>
  <c r="G74" i="20"/>
  <c r="F74" i="20"/>
  <c r="E74" i="20"/>
  <c r="G73" i="20"/>
  <c r="E73" i="20"/>
  <c r="G69" i="20"/>
  <c r="E69" i="20"/>
  <c r="I67" i="20"/>
  <c r="G67" i="20"/>
  <c r="F67" i="20"/>
  <c r="E67" i="20"/>
  <c r="I66" i="20"/>
  <c r="H66" i="20"/>
  <c r="G66" i="20"/>
  <c r="F66" i="20"/>
  <c r="E66" i="20"/>
  <c r="I60" i="20"/>
  <c r="H60" i="20"/>
  <c r="G60" i="20"/>
  <c r="F60" i="20"/>
  <c r="E60" i="20"/>
  <c r="I59" i="20"/>
  <c r="H59" i="20"/>
  <c r="G59" i="20"/>
  <c r="F59" i="20"/>
  <c r="E59" i="20"/>
  <c r="I58" i="20"/>
  <c r="H58" i="20"/>
  <c r="G58" i="20"/>
  <c r="F58" i="20"/>
  <c r="E58" i="20"/>
  <c r="I53" i="20"/>
  <c r="H53" i="20"/>
  <c r="G53" i="20"/>
  <c r="F53" i="20"/>
  <c r="E53" i="20"/>
  <c r="G52" i="20"/>
  <c r="E52" i="20"/>
  <c r="G48" i="20"/>
  <c r="E48" i="20"/>
  <c r="I46" i="20"/>
  <c r="G46" i="20"/>
  <c r="F46" i="20"/>
  <c r="E46" i="20"/>
  <c r="G45" i="20"/>
  <c r="E45" i="20"/>
  <c r="I40" i="20"/>
  <c r="G40" i="20"/>
  <c r="F40" i="20"/>
  <c r="E40" i="20"/>
  <c r="I39" i="20"/>
  <c r="G39" i="20"/>
  <c r="F39" i="20"/>
  <c r="E39" i="20"/>
  <c r="I35" i="20"/>
  <c r="G35" i="20"/>
  <c r="F35" i="20"/>
  <c r="E35" i="20"/>
  <c r="I34" i="20"/>
  <c r="G34" i="20"/>
  <c r="F34" i="20"/>
  <c r="E34" i="20"/>
  <c r="I32" i="20"/>
  <c r="I36" i="20" s="1"/>
  <c r="J33" i="20" s="1"/>
  <c r="J26" i="20" s="1"/>
  <c r="H32" i="20"/>
  <c r="G32" i="20"/>
  <c r="F32" i="20"/>
  <c r="E32" i="20"/>
  <c r="G31" i="20"/>
  <c r="E31" i="20"/>
  <c r="I26" i="20"/>
  <c r="H26" i="20"/>
  <c r="G26" i="20"/>
  <c r="F26" i="20"/>
  <c r="E26" i="20"/>
  <c r="I25" i="20"/>
  <c r="G25" i="20"/>
  <c r="F25" i="20"/>
  <c r="E25" i="20"/>
  <c r="I20" i="20"/>
  <c r="G20" i="20"/>
  <c r="F20" i="20"/>
  <c r="E20" i="20"/>
  <c r="I14" i="20"/>
  <c r="G14" i="20"/>
  <c r="F14" i="20"/>
  <c r="E14" i="20"/>
  <c r="I9" i="20"/>
  <c r="G9" i="20"/>
  <c r="F9" i="20"/>
  <c r="E9" i="20"/>
  <c r="F1" i="20"/>
  <c r="A1" i="20"/>
  <c r="I50" i="19"/>
  <c r="G50" i="19"/>
  <c r="F50" i="19"/>
  <c r="E50" i="19"/>
  <c r="I49" i="19"/>
  <c r="G49" i="19"/>
  <c r="F49" i="19"/>
  <c r="E49" i="19"/>
  <c r="I48" i="19"/>
  <c r="H48" i="19"/>
  <c r="G48" i="19"/>
  <c r="F48" i="19"/>
  <c r="E48" i="19"/>
  <c r="G43" i="19"/>
  <c r="F43" i="19"/>
  <c r="E43" i="19"/>
  <c r="G42" i="19"/>
  <c r="E42" i="19"/>
  <c r="G38" i="19"/>
  <c r="E38" i="19"/>
  <c r="I36" i="19"/>
  <c r="G36" i="19"/>
  <c r="F36" i="19"/>
  <c r="E36" i="19"/>
  <c r="G35" i="19"/>
  <c r="E35" i="19"/>
  <c r="I31" i="19"/>
  <c r="G31" i="19"/>
  <c r="F31" i="19"/>
  <c r="E31" i="19"/>
  <c r="I30" i="19"/>
  <c r="G30" i="19"/>
  <c r="F30" i="19"/>
  <c r="E30" i="19"/>
  <c r="I28" i="19"/>
  <c r="H28" i="19"/>
  <c r="G28" i="19"/>
  <c r="F28" i="19"/>
  <c r="E28" i="19"/>
  <c r="G27" i="19"/>
  <c r="E27" i="19"/>
  <c r="I22" i="19"/>
  <c r="G22" i="19"/>
  <c r="F22" i="19"/>
  <c r="E22" i="19"/>
  <c r="I21" i="19"/>
  <c r="G21" i="19"/>
  <c r="F21" i="19"/>
  <c r="E21" i="19"/>
  <c r="I16" i="19"/>
  <c r="G16" i="19"/>
  <c r="F16" i="19"/>
  <c r="E16" i="19"/>
  <c r="G15" i="19"/>
  <c r="E15" i="19"/>
  <c r="I10" i="19"/>
  <c r="G10" i="19"/>
  <c r="F10" i="19"/>
  <c r="E10" i="19"/>
  <c r="I9" i="19"/>
  <c r="G9" i="19"/>
  <c r="F9" i="19"/>
  <c r="E9" i="19"/>
  <c r="F1" i="19"/>
  <c r="A1" i="19"/>
  <c r="G54" i="18"/>
  <c r="E54" i="18"/>
  <c r="G53" i="18"/>
  <c r="E53" i="18"/>
  <c r="G52" i="18"/>
  <c r="E52" i="18"/>
  <c r="G48" i="18"/>
  <c r="E48" i="18"/>
  <c r="I46" i="18"/>
  <c r="G46" i="18"/>
  <c r="F46" i="18"/>
  <c r="E46" i="18"/>
  <c r="G42" i="18"/>
  <c r="E42" i="18"/>
  <c r="I40" i="18"/>
  <c r="H40" i="18"/>
  <c r="G40" i="18"/>
  <c r="F40" i="18"/>
  <c r="E40" i="18"/>
  <c r="G39" i="18"/>
  <c r="E39" i="18"/>
  <c r="I34" i="18"/>
  <c r="G34" i="18"/>
  <c r="F34" i="18"/>
  <c r="E34" i="18"/>
  <c r="I33" i="18"/>
  <c r="G33" i="18"/>
  <c r="F33" i="18"/>
  <c r="E33" i="18"/>
  <c r="G29" i="18"/>
  <c r="E29" i="18"/>
  <c r="I27" i="18"/>
  <c r="H27" i="18"/>
  <c r="G27" i="18"/>
  <c r="F27" i="18"/>
  <c r="E27" i="18"/>
  <c r="G26" i="18"/>
  <c r="E26" i="18"/>
  <c r="I21" i="18"/>
  <c r="G21" i="18"/>
  <c r="F21" i="18"/>
  <c r="E21" i="18"/>
  <c r="I20" i="18"/>
  <c r="G20" i="18"/>
  <c r="F20" i="18"/>
  <c r="E20" i="18"/>
  <c r="G19" i="18"/>
  <c r="E19" i="18"/>
  <c r="G18" i="18"/>
  <c r="E18" i="18"/>
  <c r="I14" i="18"/>
  <c r="G14" i="18"/>
  <c r="F14" i="18"/>
  <c r="E14" i="18"/>
  <c r="I13" i="18"/>
  <c r="G13" i="18"/>
  <c r="F13" i="18"/>
  <c r="E13" i="18"/>
  <c r="I12" i="18"/>
  <c r="G12" i="18"/>
  <c r="F12" i="18"/>
  <c r="E12" i="18"/>
  <c r="I10" i="18"/>
  <c r="H10" i="18"/>
  <c r="G10" i="18"/>
  <c r="F10" i="18"/>
  <c r="E10" i="18"/>
  <c r="G9" i="18"/>
  <c r="E9" i="18"/>
  <c r="F1" i="18"/>
  <c r="A1" i="18"/>
  <c r="G54" i="17"/>
  <c r="E54" i="17"/>
  <c r="G53" i="17"/>
  <c r="E53" i="17"/>
  <c r="G52" i="17"/>
  <c r="E52" i="17"/>
  <c r="G48" i="17"/>
  <c r="E48" i="17"/>
  <c r="I46" i="17"/>
  <c r="G46" i="17"/>
  <c r="F46" i="17"/>
  <c r="E46" i="17"/>
  <c r="G42" i="17"/>
  <c r="E42" i="17"/>
  <c r="I40" i="17"/>
  <c r="H40" i="17"/>
  <c r="G40" i="17"/>
  <c r="F40" i="17"/>
  <c r="E40" i="17"/>
  <c r="G39" i="17"/>
  <c r="E39" i="17"/>
  <c r="I34" i="17"/>
  <c r="G34" i="17"/>
  <c r="F34" i="17"/>
  <c r="E34" i="17"/>
  <c r="I33" i="17"/>
  <c r="G33" i="17"/>
  <c r="F33" i="17"/>
  <c r="E33" i="17"/>
  <c r="G29" i="17"/>
  <c r="E29" i="17"/>
  <c r="I27" i="17"/>
  <c r="G27" i="17"/>
  <c r="F27" i="17"/>
  <c r="E27" i="17"/>
  <c r="G26" i="17"/>
  <c r="E26" i="17"/>
  <c r="I21" i="17"/>
  <c r="G21" i="17"/>
  <c r="F21" i="17"/>
  <c r="E21" i="17"/>
  <c r="I20" i="17"/>
  <c r="G20" i="17"/>
  <c r="F20" i="17"/>
  <c r="E20" i="17"/>
  <c r="G19" i="17"/>
  <c r="E19" i="17"/>
  <c r="G18" i="17"/>
  <c r="E18" i="17"/>
  <c r="I14" i="17"/>
  <c r="G14" i="17"/>
  <c r="F14" i="17"/>
  <c r="E14" i="17"/>
  <c r="I13" i="17"/>
  <c r="G13" i="17"/>
  <c r="F13" i="17"/>
  <c r="E13" i="17"/>
  <c r="I12" i="17"/>
  <c r="G12" i="17"/>
  <c r="F12" i="17"/>
  <c r="E12" i="17"/>
  <c r="I10" i="17"/>
  <c r="H10" i="17"/>
  <c r="G10" i="17"/>
  <c r="F10" i="17"/>
  <c r="E10" i="17"/>
  <c r="G9" i="17"/>
  <c r="E9" i="17"/>
  <c r="F1" i="17"/>
  <c r="A1" i="17"/>
  <c r="G53" i="16"/>
  <c r="E53" i="16"/>
  <c r="G52" i="16"/>
  <c r="E52" i="16"/>
  <c r="G51" i="16"/>
  <c r="E51" i="16"/>
  <c r="G47" i="16"/>
  <c r="E47" i="16"/>
  <c r="I45" i="16"/>
  <c r="G45" i="16"/>
  <c r="F45" i="16"/>
  <c r="E45" i="16"/>
  <c r="G41" i="16"/>
  <c r="E41" i="16"/>
  <c r="I39" i="16"/>
  <c r="H39" i="16"/>
  <c r="G39" i="16"/>
  <c r="F39" i="16"/>
  <c r="E39" i="16"/>
  <c r="G38" i="16"/>
  <c r="E38" i="16"/>
  <c r="I33" i="16"/>
  <c r="G33" i="16"/>
  <c r="F33" i="16"/>
  <c r="E33" i="16"/>
  <c r="I32" i="16"/>
  <c r="G32" i="16"/>
  <c r="F32" i="16"/>
  <c r="E32" i="16"/>
  <c r="G28" i="16"/>
  <c r="E28" i="16"/>
  <c r="I26" i="16"/>
  <c r="G26" i="16"/>
  <c r="F26" i="16"/>
  <c r="E26" i="16"/>
  <c r="G25" i="16"/>
  <c r="E25" i="16"/>
  <c r="I20" i="16"/>
  <c r="G20" i="16"/>
  <c r="F20" i="16"/>
  <c r="E20" i="16"/>
  <c r="I19" i="16"/>
  <c r="G19" i="16"/>
  <c r="F19" i="16"/>
  <c r="E19" i="16"/>
  <c r="G18" i="16"/>
  <c r="E18" i="16"/>
  <c r="I14" i="16"/>
  <c r="G14" i="16"/>
  <c r="F14" i="16"/>
  <c r="E14" i="16"/>
  <c r="I13" i="16"/>
  <c r="G13" i="16"/>
  <c r="F13" i="16"/>
  <c r="E13" i="16"/>
  <c r="I12" i="16"/>
  <c r="G12" i="16"/>
  <c r="F12" i="16"/>
  <c r="E12" i="16"/>
  <c r="I10" i="16"/>
  <c r="H10" i="16"/>
  <c r="G10" i="16"/>
  <c r="F10" i="16"/>
  <c r="E10" i="16"/>
  <c r="G9" i="16"/>
  <c r="E9" i="16"/>
  <c r="F1" i="16"/>
  <c r="A1" i="16"/>
  <c r="G52" i="15"/>
  <c r="E52" i="15"/>
  <c r="I50" i="15"/>
  <c r="G50" i="15"/>
  <c r="F50" i="15"/>
  <c r="E50" i="15"/>
  <c r="I49" i="15"/>
  <c r="G49" i="15"/>
  <c r="F49" i="15"/>
  <c r="E49" i="15"/>
  <c r="I48" i="15"/>
  <c r="G48" i="15"/>
  <c r="F48" i="15"/>
  <c r="E48" i="15"/>
  <c r="I44" i="15"/>
  <c r="G44" i="15"/>
  <c r="F44" i="15"/>
  <c r="E44" i="15"/>
  <c r="I43" i="15"/>
  <c r="G43" i="15"/>
  <c r="F43" i="15"/>
  <c r="E43" i="15"/>
  <c r="I42" i="15"/>
  <c r="G42" i="15"/>
  <c r="F42" i="15"/>
  <c r="E42" i="15"/>
  <c r="I40" i="15"/>
  <c r="H40" i="15"/>
  <c r="G40" i="15"/>
  <c r="F40" i="15"/>
  <c r="E40" i="15"/>
  <c r="G39" i="15"/>
  <c r="E39" i="15"/>
  <c r="I35" i="15"/>
  <c r="G35" i="15"/>
  <c r="F35" i="15"/>
  <c r="E35" i="15"/>
  <c r="I34" i="15"/>
  <c r="G34" i="15"/>
  <c r="F34" i="15"/>
  <c r="E34" i="15"/>
  <c r="I33" i="15"/>
  <c r="G33" i="15"/>
  <c r="F33" i="15"/>
  <c r="E33" i="15"/>
  <c r="I32" i="15"/>
  <c r="G32" i="15"/>
  <c r="F32" i="15"/>
  <c r="E32" i="15"/>
  <c r="I31" i="15"/>
  <c r="G31" i="15"/>
  <c r="F31" i="15"/>
  <c r="E31" i="15"/>
  <c r="I30" i="15"/>
  <c r="G30" i="15"/>
  <c r="F30" i="15"/>
  <c r="E30" i="15"/>
  <c r="I29" i="15"/>
  <c r="G29" i="15"/>
  <c r="F29" i="15"/>
  <c r="E29" i="15"/>
  <c r="I27" i="15"/>
  <c r="H27" i="15"/>
  <c r="G27" i="15"/>
  <c r="F27" i="15"/>
  <c r="E27" i="15"/>
  <c r="G26" i="15"/>
  <c r="E26" i="15"/>
  <c r="I21" i="15"/>
  <c r="G21" i="15"/>
  <c r="F21" i="15"/>
  <c r="E21" i="15"/>
  <c r="I20" i="15"/>
  <c r="G20" i="15"/>
  <c r="F20" i="15"/>
  <c r="E20" i="15"/>
  <c r="G19" i="15"/>
  <c r="E19" i="15"/>
  <c r="G15" i="15"/>
  <c r="E15" i="15"/>
  <c r="I13" i="15"/>
  <c r="G13" i="15"/>
  <c r="F13" i="15"/>
  <c r="E13" i="15"/>
  <c r="G12" i="15"/>
  <c r="E12" i="15"/>
  <c r="G11" i="15"/>
  <c r="E11" i="15"/>
  <c r="G10" i="15"/>
  <c r="E10" i="15"/>
  <c r="G9" i="15"/>
  <c r="E9" i="15"/>
  <c r="F1" i="15"/>
  <c r="A1" i="15"/>
  <c r="G27" i="14"/>
  <c r="E27" i="14"/>
  <c r="I25" i="14"/>
  <c r="G25" i="14"/>
  <c r="F25" i="14"/>
  <c r="E25" i="14"/>
  <c r="G24" i="14"/>
  <c r="E24" i="14"/>
  <c r="G20" i="14"/>
  <c r="E20" i="14"/>
  <c r="I18" i="14"/>
  <c r="H18" i="14"/>
  <c r="G18" i="14"/>
  <c r="F18" i="14"/>
  <c r="E18" i="14"/>
  <c r="G17" i="14"/>
  <c r="E17" i="14"/>
  <c r="I12" i="14"/>
  <c r="G12" i="14"/>
  <c r="F12" i="14"/>
  <c r="E12" i="14"/>
  <c r="I11" i="14"/>
  <c r="G11" i="14"/>
  <c r="F11" i="14"/>
  <c r="E11" i="14"/>
  <c r="G10" i="14"/>
  <c r="E10" i="14"/>
  <c r="G9" i="14"/>
  <c r="E9" i="14"/>
  <c r="F1" i="14"/>
  <c r="A1" i="14"/>
  <c r="G30" i="13"/>
  <c r="E30" i="13"/>
  <c r="I28" i="13"/>
  <c r="G28" i="13"/>
  <c r="F28" i="13"/>
  <c r="E28" i="13"/>
  <c r="I27" i="13"/>
  <c r="G27" i="13"/>
  <c r="F27" i="13"/>
  <c r="E27" i="13"/>
  <c r="I25" i="13"/>
  <c r="H25" i="13"/>
  <c r="G25" i="13"/>
  <c r="F25" i="13"/>
  <c r="E25" i="13"/>
  <c r="G24" i="13"/>
  <c r="E24" i="13"/>
  <c r="I20" i="13"/>
  <c r="G20" i="13"/>
  <c r="F20" i="13"/>
  <c r="E20" i="13"/>
  <c r="I19" i="13"/>
  <c r="G19" i="13"/>
  <c r="F19" i="13"/>
  <c r="E19" i="13"/>
  <c r="I17" i="13"/>
  <c r="H17" i="13"/>
  <c r="G17" i="13"/>
  <c r="F17" i="13"/>
  <c r="E17" i="13"/>
  <c r="G16" i="13"/>
  <c r="E16" i="13"/>
  <c r="G12" i="13"/>
  <c r="E12" i="13"/>
  <c r="I10" i="13"/>
  <c r="H10" i="13"/>
  <c r="G10" i="13"/>
  <c r="F10" i="13"/>
  <c r="E10" i="13"/>
  <c r="G9" i="13"/>
  <c r="E9" i="13"/>
  <c r="F1" i="13"/>
  <c r="A1" i="13"/>
  <c r="I67" i="12"/>
  <c r="G67" i="12"/>
  <c r="F67" i="12"/>
  <c r="E67" i="12"/>
  <c r="I63" i="12"/>
  <c r="G63" i="12"/>
  <c r="F63" i="12"/>
  <c r="E63" i="12"/>
  <c r="I62" i="12"/>
  <c r="G62" i="12"/>
  <c r="F62" i="12"/>
  <c r="E62" i="12"/>
  <c r="I60" i="12"/>
  <c r="H60" i="12"/>
  <c r="G60" i="12"/>
  <c r="F60" i="12"/>
  <c r="E60" i="12"/>
  <c r="G59" i="12"/>
  <c r="E59" i="12"/>
  <c r="I55" i="12"/>
  <c r="G55" i="12"/>
  <c r="F55" i="12"/>
  <c r="E55" i="12"/>
  <c r="I54" i="12"/>
  <c r="G54" i="12"/>
  <c r="F54" i="12"/>
  <c r="E54" i="12"/>
  <c r="I53" i="12"/>
  <c r="G53" i="12"/>
  <c r="F53" i="12"/>
  <c r="E53" i="12"/>
  <c r="I52" i="12"/>
  <c r="G52" i="12"/>
  <c r="F52" i="12"/>
  <c r="E52" i="12"/>
  <c r="I50" i="12"/>
  <c r="H50" i="12"/>
  <c r="G50" i="12"/>
  <c r="F50" i="12"/>
  <c r="E50" i="12"/>
  <c r="G49" i="12"/>
  <c r="E49" i="12"/>
  <c r="I44" i="12"/>
  <c r="G44" i="12"/>
  <c r="F44" i="12"/>
  <c r="E44" i="12"/>
  <c r="I40" i="12"/>
  <c r="G40" i="12"/>
  <c r="F40" i="12"/>
  <c r="E40" i="12"/>
  <c r="I39" i="12"/>
  <c r="G39" i="12"/>
  <c r="F39" i="12"/>
  <c r="E39" i="12"/>
  <c r="I37" i="12"/>
  <c r="H37" i="12"/>
  <c r="G37" i="12"/>
  <c r="F37" i="12"/>
  <c r="E37" i="12"/>
  <c r="G36" i="12"/>
  <c r="E36" i="12"/>
  <c r="I31" i="12"/>
  <c r="G31" i="12"/>
  <c r="F31" i="12"/>
  <c r="E31" i="12"/>
  <c r="G30" i="12"/>
  <c r="E30" i="12"/>
  <c r="I25" i="12"/>
  <c r="H25" i="12"/>
  <c r="G25" i="12"/>
  <c r="F25" i="12"/>
  <c r="E25" i="12"/>
  <c r="H24" i="12"/>
  <c r="G24" i="12"/>
  <c r="F24" i="12"/>
  <c r="E24" i="12"/>
  <c r="G23" i="12"/>
  <c r="E23" i="12"/>
  <c r="G22" i="12"/>
  <c r="E22" i="12"/>
  <c r="I17" i="12"/>
  <c r="G17" i="12"/>
  <c r="F17" i="12"/>
  <c r="E17" i="12"/>
  <c r="I16" i="12"/>
  <c r="G16" i="12"/>
  <c r="F16" i="12"/>
  <c r="E16" i="12"/>
  <c r="G15" i="12"/>
  <c r="E15" i="12"/>
  <c r="I10" i="12"/>
  <c r="G10" i="12"/>
  <c r="F10" i="12"/>
  <c r="E10" i="12"/>
  <c r="G9" i="12"/>
  <c r="E9" i="12"/>
  <c r="F1" i="12"/>
  <c r="A1" i="12"/>
  <c r="I26" i="11"/>
  <c r="G26" i="11"/>
  <c r="F26" i="11"/>
  <c r="E26" i="11"/>
  <c r="I25" i="11"/>
  <c r="G25" i="11"/>
  <c r="F25" i="11"/>
  <c r="E25" i="11"/>
  <c r="I23" i="11"/>
  <c r="H23" i="11"/>
  <c r="G23" i="11"/>
  <c r="F23" i="11"/>
  <c r="E23" i="11"/>
  <c r="G22" i="11"/>
  <c r="E22" i="11"/>
  <c r="H17" i="11"/>
  <c r="G17" i="11"/>
  <c r="F17" i="11"/>
  <c r="E17" i="11"/>
  <c r="G16" i="11"/>
  <c r="E16" i="11"/>
  <c r="I11" i="11"/>
  <c r="G11" i="11"/>
  <c r="F11" i="11"/>
  <c r="E11" i="11"/>
  <c r="G10" i="11"/>
  <c r="E10" i="11"/>
  <c r="G9" i="11"/>
  <c r="E9" i="11"/>
  <c r="F1" i="11"/>
  <c r="A1" i="11"/>
  <c r="I39" i="10"/>
  <c r="G39" i="10"/>
  <c r="F39" i="10"/>
  <c r="E39" i="10"/>
  <c r="I38" i="10"/>
  <c r="G38" i="10"/>
  <c r="F38" i="10"/>
  <c r="E38" i="10"/>
  <c r="G37" i="10"/>
  <c r="E37" i="10"/>
  <c r="G36" i="10"/>
  <c r="E36" i="10"/>
  <c r="I31" i="10"/>
  <c r="G31" i="10"/>
  <c r="F31" i="10"/>
  <c r="E31" i="10"/>
  <c r="G30" i="10"/>
  <c r="E30" i="10"/>
  <c r="I25" i="10"/>
  <c r="H25" i="10"/>
  <c r="G25" i="10"/>
  <c r="F25" i="10"/>
  <c r="E25" i="10"/>
  <c r="I24" i="10"/>
  <c r="H24" i="10"/>
  <c r="G24" i="10"/>
  <c r="F24" i="10"/>
  <c r="E24" i="10"/>
  <c r="I20" i="10"/>
  <c r="G20" i="10"/>
  <c r="F20" i="10"/>
  <c r="E20" i="10"/>
  <c r="I19" i="10"/>
  <c r="G19" i="10"/>
  <c r="F19" i="10"/>
  <c r="E19" i="10"/>
  <c r="I18" i="10"/>
  <c r="G18" i="10"/>
  <c r="F18" i="10"/>
  <c r="E18" i="10"/>
  <c r="I16" i="10"/>
  <c r="H16" i="10"/>
  <c r="G16" i="10"/>
  <c r="F16" i="10"/>
  <c r="E16" i="10"/>
  <c r="G15" i="10"/>
  <c r="E15" i="10"/>
  <c r="I10" i="10"/>
  <c r="H10" i="10"/>
  <c r="G10" i="10"/>
  <c r="F10" i="10"/>
  <c r="E10" i="10"/>
  <c r="G9" i="10"/>
  <c r="E9" i="10"/>
  <c r="F1" i="10"/>
  <c r="A1" i="10"/>
  <c r="I37" i="9"/>
  <c r="G37" i="9"/>
  <c r="F37" i="9"/>
  <c r="E37" i="9"/>
  <c r="I35" i="9"/>
  <c r="H35" i="9"/>
  <c r="G35" i="9"/>
  <c r="F35" i="9"/>
  <c r="E35" i="9"/>
  <c r="G34" i="9"/>
  <c r="E34" i="9"/>
  <c r="H29" i="9"/>
  <c r="G29" i="9"/>
  <c r="F29" i="9"/>
  <c r="E29" i="9"/>
  <c r="H28" i="9"/>
  <c r="G28" i="9"/>
  <c r="F28" i="9"/>
  <c r="E28" i="9"/>
  <c r="I23" i="9"/>
  <c r="H23" i="9"/>
  <c r="G23" i="9"/>
  <c r="F23" i="9"/>
  <c r="E23" i="9"/>
  <c r="I22" i="9"/>
  <c r="H22" i="9"/>
  <c r="G22" i="9"/>
  <c r="F22" i="9"/>
  <c r="E22" i="9"/>
  <c r="I17" i="9"/>
  <c r="G17" i="9"/>
  <c r="F17" i="9"/>
  <c r="E17" i="9"/>
  <c r="G16" i="9"/>
  <c r="E16" i="9"/>
  <c r="I12" i="9"/>
  <c r="G12" i="9"/>
  <c r="F12" i="9"/>
  <c r="E12" i="9"/>
  <c r="I10" i="9"/>
  <c r="H10" i="9"/>
  <c r="G10" i="9"/>
  <c r="F10" i="9"/>
  <c r="E10" i="9"/>
  <c r="G9" i="9"/>
  <c r="E9" i="9"/>
  <c r="F1" i="9"/>
  <c r="A1" i="9"/>
  <c r="H9" i="8"/>
  <c r="G9" i="8"/>
  <c r="F9" i="8"/>
  <c r="E9" i="8"/>
  <c r="F1" i="8"/>
  <c r="A1" i="8"/>
  <c r="F1" i="7"/>
  <c r="A1" i="7"/>
  <c r="F351" i="6"/>
  <c r="G350" i="6"/>
  <c r="F350" i="6"/>
  <c r="E350" i="6"/>
  <c r="I346" i="6"/>
  <c r="I345" i="6"/>
  <c r="H345" i="6"/>
  <c r="G345" i="6"/>
  <c r="F345" i="6"/>
  <c r="E345" i="6"/>
  <c r="I340" i="6"/>
  <c r="H340" i="6"/>
  <c r="G340" i="6"/>
  <c r="F340" i="6"/>
  <c r="E340" i="6"/>
  <c r="G335" i="6"/>
  <c r="F335" i="6"/>
  <c r="F336" i="6" s="1"/>
  <c r="E335" i="6"/>
  <c r="I330" i="6"/>
  <c r="I331" i="6" s="1"/>
  <c r="H330" i="6"/>
  <c r="G330" i="6"/>
  <c r="F330" i="6"/>
  <c r="E330" i="6"/>
  <c r="I325" i="6"/>
  <c r="H325" i="6"/>
  <c r="G325" i="6"/>
  <c r="F325" i="6"/>
  <c r="E325" i="6"/>
  <c r="G320" i="6"/>
  <c r="F320" i="6"/>
  <c r="F321" i="6" s="1"/>
  <c r="E320" i="6"/>
  <c r="G319" i="6"/>
  <c r="F319" i="6"/>
  <c r="E319" i="6"/>
  <c r="I315" i="6"/>
  <c r="I54" i="6" s="1"/>
  <c r="I314" i="6"/>
  <c r="H314" i="6"/>
  <c r="G314" i="6"/>
  <c r="F314" i="6"/>
  <c r="E314" i="6"/>
  <c r="I313" i="6"/>
  <c r="H313" i="6"/>
  <c r="G313" i="6"/>
  <c r="F313" i="6"/>
  <c r="E313" i="6"/>
  <c r="G312" i="6"/>
  <c r="F312" i="6"/>
  <c r="E312" i="6"/>
  <c r="I307" i="6"/>
  <c r="H307" i="6"/>
  <c r="G307" i="6"/>
  <c r="F307" i="6"/>
  <c r="E307" i="6"/>
  <c r="I306" i="6"/>
  <c r="H306" i="6"/>
  <c r="G306" i="6"/>
  <c r="F306" i="6"/>
  <c r="E306" i="6"/>
  <c r="G305" i="6"/>
  <c r="F305" i="6"/>
  <c r="E305" i="6"/>
  <c r="F301" i="6"/>
  <c r="G300" i="6"/>
  <c r="F300" i="6"/>
  <c r="E300" i="6"/>
  <c r="I295" i="6"/>
  <c r="I296" i="6" s="1"/>
  <c r="H295" i="6"/>
  <c r="G295" i="6"/>
  <c r="F295" i="6"/>
  <c r="E295" i="6"/>
  <c r="I290" i="6"/>
  <c r="H290" i="6"/>
  <c r="G290" i="6"/>
  <c r="F290" i="6"/>
  <c r="E290" i="6"/>
  <c r="I284" i="6"/>
  <c r="H284" i="6"/>
  <c r="G284" i="6"/>
  <c r="F284" i="6"/>
  <c r="E284" i="6"/>
  <c r="G283" i="6"/>
  <c r="E283" i="6"/>
  <c r="I277" i="6"/>
  <c r="H277" i="6"/>
  <c r="G277" i="6"/>
  <c r="F277" i="6"/>
  <c r="E277" i="6"/>
  <c r="I276" i="6"/>
  <c r="H276" i="6"/>
  <c r="G276" i="6"/>
  <c r="F276" i="6"/>
  <c r="E276" i="6"/>
  <c r="G275" i="6"/>
  <c r="E275" i="6"/>
  <c r="I270" i="6"/>
  <c r="G270" i="6"/>
  <c r="F270" i="6"/>
  <c r="E270" i="6"/>
  <c r="I269" i="6"/>
  <c r="H269" i="6"/>
  <c r="G269" i="6"/>
  <c r="F269" i="6"/>
  <c r="E269" i="6"/>
  <c r="I264" i="6"/>
  <c r="G264" i="6"/>
  <c r="F264" i="6"/>
  <c r="E264" i="6"/>
  <c r="G259" i="6"/>
  <c r="E259" i="6"/>
  <c r="G258" i="6"/>
  <c r="E258" i="6"/>
  <c r="I253" i="6"/>
  <c r="H253" i="6"/>
  <c r="G253" i="6"/>
  <c r="F253" i="6"/>
  <c r="E253" i="6"/>
  <c r="G252" i="6"/>
  <c r="E252" i="6"/>
  <c r="G251" i="6"/>
  <c r="E251" i="6"/>
  <c r="G250" i="6"/>
  <c r="E250" i="6"/>
  <c r="I244" i="6"/>
  <c r="H244" i="6"/>
  <c r="G244" i="6"/>
  <c r="F244" i="6"/>
  <c r="E244" i="6"/>
  <c r="I243" i="6"/>
  <c r="H243" i="6"/>
  <c r="G243" i="6"/>
  <c r="F243" i="6"/>
  <c r="E243" i="6"/>
  <c r="G242" i="6"/>
  <c r="E242" i="6"/>
  <c r="G241" i="6"/>
  <c r="E241" i="6"/>
  <c r="I236" i="6"/>
  <c r="H236" i="6"/>
  <c r="G236" i="6"/>
  <c r="F236" i="6"/>
  <c r="E236" i="6"/>
  <c r="I235" i="6"/>
  <c r="H235" i="6"/>
  <c r="G235" i="6"/>
  <c r="F235" i="6"/>
  <c r="E235" i="6"/>
  <c r="G234" i="6"/>
  <c r="E234" i="6"/>
  <c r="G233" i="6"/>
  <c r="E233" i="6"/>
  <c r="I228" i="6"/>
  <c r="H228" i="6"/>
  <c r="G228" i="6"/>
  <c r="F228" i="6"/>
  <c r="E228" i="6"/>
  <c r="I227" i="6"/>
  <c r="H227" i="6"/>
  <c r="G227" i="6"/>
  <c r="F227" i="6"/>
  <c r="E227" i="6"/>
  <c r="G226" i="6"/>
  <c r="E226" i="6"/>
  <c r="G225" i="6"/>
  <c r="E225" i="6"/>
  <c r="I219" i="6"/>
  <c r="G219" i="6"/>
  <c r="F219" i="6"/>
  <c r="E219" i="6"/>
  <c r="I218" i="6"/>
  <c r="G218" i="6"/>
  <c r="F218" i="6"/>
  <c r="E218" i="6"/>
  <c r="I217" i="6"/>
  <c r="G217" i="6"/>
  <c r="F217" i="6"/>
  <c r="E217" i="6"/>
  <c r="G216" i="6"/>
  <c r="E216" i="6"/>
  <c r="I211" i="6"/>
  <c r="G211" i="6"/>
  <c r="F211" i="6"/>
  <c r="E211" i="6"/>
  <c r="I210" i="6"/>
  <c r="H210" i="6"/>
  <c r="G210" i="6"/>
  <c r="F210" i="6"/>
  <c r="E210" i="6"/>
  <c r="G209" i="6"/>
  <c r="F209" i="6"/>
  <c r="E209" i="6"/>
  <c r="I204" i="6"/>
  <c r="G204" i="6"/>
  <c r="F204" i="6"/>
  <c r="E204" i="6"/>
  <c r="I203" i="6"/>
  <c r="H203" i="6"/>
  <c r="G203" i="6"/>
  <c r="F203" i="6"/>
  <c r="E203" i="6"/>
  <c r="G202" i="6"/>
  <c r="F202" i="6"/>
  <c r="E202" i="6"/>
  <c r="I197" i="6"/>
  <c r="G197" i="6"/>
  <c r="F197" i="6"/>
  <c r="E197" i="6"/>
  <c r="I196" i="6"/>
  <c r="H196" i="6"/>
  <c r="G196" i="6"/>
  <c r="F196" i="6"/>
  <c r="E196" i="6"/>
  <c r="G195" i="6"/>
  <c r="F195" i="6"/>
  <c r="E195" i="6"/>
  <c r="G194" i="6"/>
  <c r="E194" i="6"/>
  <c r="G193" i="6"/>
  <c r="E193" i="6"/>
  <c r="I188" i="6"/>
  <c r="G188" i="6"/>
  <c r="F188" i="6"/>
  <c r="E188" i="6"/>
  <c r="I183" i="6"/>
  <c r="G183" i="6"/>
  <c r="F183" i="6"/>
  <c r="E183" i="6"/>
  <c r="I182" i="6"/>
  <c r="H182" i="6"/>
  <c r="G182" i="6"/>
  <c r="F182" i="6"/>
  <c r="E182" i="6"/>
  <c r="I177" i="6"/>
  <c r="H177" i="6"/>
  <c r="G177" i="6"/>
  <c r="F177" i="6"/>
  <c r="E177" i="6"/>
  <c r="I176" i="6"/>
  <c r="H176" i="6"/>
  <c r="G176" i="6"/>
  <c r="F176" i="6"/>
  <c r="E176" i="6"/>
  <c r="G175" i="6"/>
  <c r="F175" i="6"/>
  <c r="E175" i="6"/>
  <c r="I170" i="6"/>
  <c r="H170" i="6"/>
  <c r="G170" i="6"/>
  <c r="F170" i="6"/>
  <c r="E170" i="6"/>
  <c r="G169" i="6"/>
  <c r="F169" i="6"/>
  <c r="E169" i="6"/>
  <c r="I163" i="6"/>
  <c r="G163" i="6"/>
  <c r="F163" i="6"/>
  <c r="E163" i="6"/>
  <c r="I162" i="6"/>
  <c r="G162" i="6"/>
  <c r="F162" i="6"/>
  <c r="E162" i="6"/>
  <c r="I161" i="6"/>
  <c r="G161" i="6"/>
  <c r="F161" i="6"/>
  <c r="E161" i="6"/>
  <c r="G160" i="6"/>
  <c r="E160" i="6"/>
  <c r="I155" i="6"/>
  <c r="G155" i="6"/>
  <c r="F155" i="6"/>
  <c r="E155" i="6"/>
  <c r="I154" i="6"/>
  <c r="H154" i="6"/>
  <c r="G154" i="6"/>
  <c r="F154" i="6"/>
  <c r="E154" i="6"/>
  <c r="G153" i="6"/>
  <c r="F153" i="6"/>
  <c r="E153" i="6"/>
  <c r="I148" i="6"/>
  <c r="G148" i="6"/>
  <c r="F148" i="6"/>
  <c r="E148" i="6"/>
  <c r="I147" i="6"/>
  <c r="H147" i="6"/>
  <c r="G147" i="6"/>
  <c r="F147" i="6"/>
  <c r="E147" i="6"/>
  <c r="G146" i="6"/>
  <c r="F146" i="6"/>
  <c r="E146" i="6"/>
  <c r="I141" i="6"/>
  <c r="G141" i="6"/>
  <c r="F141" i="6"/>
  <c r="E141" i="6"/>
  <c r="I140" i="6"/>
  <c r="H140" i="6"/>
  <c r="G140" i="6"/>
  <c r="F140" i="6"/>
  <c r="E140" i="6"/>
  <c r="G139" i="6"/>
  <c r="F139" i="6"/>
  <c r="E139" i="6"/>
  <c r="G138" i="6"/>
  <c r="E138" i="6"/>
  <c r="G137" i="6"/>
  <c r="E137" i="6"/>
  <c r="I132" i="6"/>
  <c r="G132" i="6"/>
  <c r="F132" i="6"/>
  <c r="E132" i="6"/>
  <c r="I127" i="6"/>
  <c r="G127" i="6"/>
  <c r="F127" i="6"/>
  <c r="E127" i="6"/>
  <c r="I126" i="6"/>
  <c r="H126" i="6"/>
  <c r="G126" i="6"/>
  <c r="F126" i="6"/>
  <c r="E126" i="6"/>
  <c r="I121" i="6"/>
  <c r="H121" i="6"/>
  <c r="G121" i="6"/>
  <c r="F121" i="6"/>
  <c r="E121" i="6"/>
  <c r="I120" i="6"/>
  <c r="H120" i="6"/>
  <c r="G120" i="6"/>
  <c r="F120" i="6"/>
  <c r="E120" i="6"/>
  <c r="G119" i="6"/>
  <c r="F119" i="6"/>
  <c r="E119" i="6"/>
  <c r="I114" i="6"/>
  <c r="H114" i="6"/>
  <c r="G114" i="6"/>
  <c r="F114" i="6"/>
  <c r="E114" i="6"/>
  <c r="G113" i="6"/>
  <c r="F113" i="6"/>
  <c r="E113" i="6"/>
  <c r="I107" i="6"/>
  <c r="H107" i="6"/>
  <c r="G107" i="6"/>
  <c r="F107" i="6"/>
  <c r="E107" i="6"/>
  <c r="I106" i="6"/>
  <c r="H106" i="6"/>
  <c r="G106" i="6"/>
  <c r="F106" i="6"/>
  <c r="E106" i="6"/>
  <c r="I101" i="6"/>
  <c r="H101" i="6"/>
  <c r="G101" i="6"/>
  <c r="F101" i="6"/>
  <c r="E101" i="6"/>
  <c r="I100" i="6"/>
  <c r="H100" i="6"/>
  <c r="G100" i="6"/>
  <c r="F100" i="6"/>
  <c r="E100" i="6"/>
  <c r="I99" i="6"/>
  <c r="G99" i="6"/>
  <c r="F99" i="6"/>
  <c r="E99" i="6"/>
  <c r="I94" i="6"/>
  <c r="H94" i="6"/>
  <c r="G94" i="6"/>
  <c r="F94" i="6"/>
  <c r="E94" i="6"/>
  <c r="I93" i="6"/>
  <c r="H93" i="6"/>
  <c r="G93" i="6"/>
  <c r="F93" i="6"/>
  <c r="E93" i="6"/>
  <c r="I92" i="6"/>
  <c r="H92" i="6"/>
  <c r="G92" i="6"/>
  <c r="F92" i="6"/>
  <c r="E92" i="6"/>
  <c r="H87" i="6"/>
  <c r="G87" i="6"/>
  <c r="F87" i="6"/>
  <c r="E87" i="6"/>
  <c r="I86" i="6"/>
  <c r="H86" i="6"/>
  <c r="G86" i="6"/>
  <c r="F86" i="6"/>
  <c r="E86" i="6"/>
  <c r="H81" i="6"/>
  <c r="G81" i="6"/>
  <c r="F81" i="6"/>
  <c r="E81" i="6"/>
  <c r="I80" i="6"/>
  <c r="H80" i="6"/>
  <c r="G80" i="6"/>
  <c r="F80" i="6"/>
  <c r="E80" i="6"/>
  <c r="I79" i="6"/>
  <c r="G79" i="6"/>
  <c r="F79" i="6"/>
  <c r="E79" i="6"/>
  <c r="H74" i="6"/>
  <c r="G74" i="6"/>
  <c r="F74" i="6"/>
  <c r="E74" i="6"/>
  <c r="I73" i="6"/>
  <c r="H73" i="6"/>
  <c r="G73" i="6"/>
  <c r="F73" i="6"/>
  <c r="E73" i="6"/>
  <c r="I72" i="6"/>
  <c r="H72" i="6"/>
  <c r="G72" i="6"/>
  <c r="F72" i="6"/>
  <c r="E72" i="6"/>
  <c r="H67" i="6"/>
  <c r="G67" i="6"/>
  <c r="F67" i="6"/>
  <c r="E67" i="6"/>
  <c r="I66" i="6"/>
  <c r="H66" i="6"/>
  <c r="G66" i="6"/>
  <c r="F66" i="6"/>
  <c r="E66" i="6"/>
  <c r="I61" i="6"/>
  <c r="H61" i="6"/>
  <c r="G61" i="6"/>
  <c r="F61" i="6"/>
  <c r="E61" i="6"/>
  <c r="I60" i="6"/>
  <c r="H60" i="6"/>
  <c r="G60" i="6"/>
  <c r="F60" i="6"/>
  <c r="E60" i="6"/>
  <c r="I59" i="6"/>
  <c r="G59" i="6"/>
  <c r="F59" i="6"/>
  <c r="E59" i="6"/>
  <c r="H54" i="6"/>
  <c r="G54" i="6"/>
  <c r="F54" i="6"/>
  <c r="E54" i="6"/>
  <c r="I53" i="6"/>
  <c r="H53" i="6"/>
  <c r="G53" i="6"/>
  <c r="F53" i="6"/>
  <c r="E53" i="6"/>
  <c r="I52" i="6"/>
  <c r="H52" i="6"/>
  <c r="G52" i="6"/>
  <c r="F52" i="6"/>
  <c r="E52" i="6"/>
  <c r="H47" i="6"/>
  <c r="G47" i="6"/>
  <c r="F47" i="6"/>
  <c r="E47" i="6"/>
  <c r="I46" i="6"/>
  <c r="H46" i="6"/>
  <c r="G46" i="6"/>
  <c r="F46" i="6"/>
  <c r="E46" i="6"/>
  <c r="H41" i="6"/>
  <c r="G41" i="6"/>
  <c r="F41" i="6"/>
  <c r="E41" i="6"/>
  <c r="I40" i="6"/>
  <c r="H40" i="6"/>
  <c r="G40" i="6"/>
  <c r="F40" i="6"/>
  <c r="E40" i="6"/>
  <c r="I39" i="6"/>
  <c r="G39" i="6"/>
  <c r="F39" i="6"/>
  <c r="E39" i="6"/>
  <c r="H34" i="6"/>
  <c r="G34" i="6"/>
  <c r="F34" i="6"/>
  <c r="E34" i="6"/>
  <c r="I33" i="6"/>
  <c r="H33" i="6"/>
  <c r="G33" i="6"/>
  <c r="F33" i="6"/>
  <c r="E33" i="6"/>
  <c r="I32" i="6"/>
  <c r="H32" i="6"/>
  <c r="G32" i="6"/>
  <c r="F32" i="6"/>
  <c r="E32" i="6"/>
  <c r="J28" i="6"/>
  <c r="J4" i="4" s="1"/>
  <c r="I23" i="6"/>
  <c r="H23" i="6"/>
  <c r="G23" i="6"/>
  <c r="F23" i="6"/>
  <c r="E23" i="6"/>
  <c r="I18" i="6"/>
  <c r="H18" i="6"/>
  <c r="G18" i="6"/>
  <c r="F18" i="6"/>
  <c r="E18" i="6"/>
  <c r="G17" i="6"/>
  <c r="F17" i="6"/>
  <c r="E17" i="6"/>
  <c r="J11" i="6"/>
  <c r="J12" i="6" s="1"/>
  <c r="I11" i="6"/>
  <c r="H11" i="6"/>
  <c r="G11" i="6"/>
  <c r="F11" i="6"/>
  <c r="E11" i="6"/>
  <c r="G10" i="6"/>
  <c r="F10" i="6"/>
  <c r="E10" i="6"/>
  <c r="G9" i="6"/>
  <c r="F9" i="6"/>
  <c r="E9" i="6"/>
  <c r="F1" i="6"/>
  <c r="A1" i="6"/>
  <c r="F1" i="5"/>
  <c r="A1" i="5"/>
  <c r="F1" i="4"/>
  <c r="F25" i="3"/>
  <c r="F17" i="14" s="1"/>
  <c r="F15" i="3"/>
  <c r="F9" i="10" s="1"/>
  <c r="F6" i="3"/>
  <c r="I6" i="3" s="1"/>
  <c r="F85" i="3"/>
  <c r="F42" i="19" s="1"/>
  <c r="F3" i="3"/>
  <c r="M2" i="3" s="1"/>
  <c r="F1" i="3"/>
  <c r="B106" i="2"/>
  <c r="A105" i="2"/>
  <c r="A103" i="2"/>
  <c r="B101" i="2"/>
  <c r="B100" i="2"/>
  <c r="A99" i="2"/>
  <c r="A97" i="2"/>
  <c r="A95" i="2"/>
  <c r="A93" i="2"/>
  <c r="A91" i="2"/>
  <c r="A89" i="2"/>
  <c r="A87" i="2"/>
  <c r="A85" i="2"/>
  <c r="A83" i="2"/>
  <c r="A81" i="2"/>
  <c r="A79" i="2"/>
  <c r="A77" i="2"/>
  <c r="A75" i="2"/>
  <c r="B73" i="2"/>
  <c r="B72" i="2"/>
  <c r="B71" i="2"/>
  <c r="B70" i="2"/>
  <c r="B69" i="2"/>
  <c r="B68" i="2"/>
  <c r="B67" i="2"/>
  <c r="A66" i="2"/>
  <c r="B64" i="2"/>
  <c r="B63" i="2"/>
  <c r="B62" i="2"/>
  <c r="B61" i="2"/>
  <c r="C60" i="2"/>
  <c r="C59" i="2"/>
  <c r="C58" i="2"/>
  <c r="B57" i="2"/>
  <c r="B56" i="2"/>
  <c r="B55" i="2"/>
  <c r="B54" i="2"/>
  <c r="B53" i="2"/>
  <c r="B52" i="2"/>
  <c r="B51" i="2"/>
  <c r="A50" i="2"/>
  <c r="A48" i="2"/>
  <c r="A44" i="2"/>
  <c r="A42" i="2"/>
  <c r="A40" i="2"/>
  <c r="A38" i="2"/>
  <c r="A36" i="2"/>
  <c r="A34" i="2"/>
  <c r="A32" i="2"/>
  <c r="A30" i="2"/>
  <c r="A28" i="2"/>
  <c r="A26" i="2"/>
  <c r="A24" i="2"/>
  <c r="A22" i="2"/>
  <c r="A20" i="2"/>
  <c r="A18" i="2"/>
  <c r="A16" i="2"/>
  <c r="A14" i="2"/>
  <c r="A12" i="2"/>
  <c r="A10" i="2"/>
  <c r="A8" i="2"/>
  <c r="A6" i="2"/>
  <c r="A1" i="2"/>
  <c r="AD45" i="47" l="1"/>
  <c r="J21" i="47"/>
  <c r="BF21" i="47"/>
  <c r="AF45" i="47"/>
  <c r="AE45" i="47"/>
  <c r="G21" i="47"/>
  <c r="P45" i="47"/>
  <c r="M45" i="47"/>
  <c r="AN21" i="47"/>
  <c r="AU45" i="47"/>
  <c r="F45" i="47"/>
  <c r="AT45" i="47"/>
  <c r="W45" i="47"/>
  <c r="BK21" i="47"/>
  <c r="V45" i="47"/>
  <c r="BJ21" i="47"/>
  <c r="AM45" i="47"/>
  <c r="AL45" i="47"/>
  <c r="O45" i="47"/>
  <c r="BC45" i="47"/>
  <c r="N45" i="47"/>
  <c r="AO45" i="47"/>
  <c r="E45" i="47"/>
  <c r="AX21" i="47"/>
  <c r="AH21" i="47"/>
  <c r="R21" i="47"/>
  <c r="BA45" i="47"/>
  <c r="S45" i="47"/>
  <c r="AQ45" i="47"/>
  <c r="Q45" i="47"/>
  <c r="AA21" i="47"/>
  <c r="K21" i="47"/>
  <c r="Y45" i="47"/>
  <c r="AI21" i="47"/>
  <c r="AW45" i="47"/>
  <c r="BG21" i="47"/>
  <c r="BI45" i="47"/>
  <c r="AG45" i="47"/>
  <c r="BE21" i="47"/>
  <c r="I21" i="47"/>
  <c r="U45" i="47"/>
  <c r="AC45" i="47"/>
  <c r="AS21" i="47"/>
  <c r="AK21" i="47"/>
  <c r="BH21" i="47"/>
  <c r="AZ21" i="47"/>
  <c r="AR21" i="47"/>
  <c r="AJ21" i="47"/>
  <c r="AB21" i="47"/>
  <c r="T21" i="47"/>
  <c r="L21" i="47"/>
  <c r="D21" i="47"/>
  <c r="I87" i="6"/>
  <c r="I74" i="6"/>
  <c r="I81" i="6"/>
  <c r="I41" i="6"/>
  <c r="I47" i="6"/>
  <c r="I34" i="6"/>
  <c r="J23" i="6"/>
  <c r="J24" i="6" s="1"/>
  <c r="J3" i="4" s="1"/>
  <c r="K2" i="3"/>
  <c r="I75" i="3"/>
  <c r="I85" i="3"/>
  <c r="L2" i="3"/>
  <c r="I76" i="3"/>
  <c r="I13" i="3"/>
  <c r="I14" i="3"/>
  <c r="I78" i="3"/>
  <c r="F44" i="19"/>
  <c r="F35" i="19" s="1"/>
  <c r="J37" i="19" s="1"/>
  <c r="I67" i="6"/>
  <c r="I15" i="3"/>
  <c r="I25" i="3"/>
  <c r="J59" i="20"/>
  <c r="J53" i="20"/>
  <c r="J228" i="6"/>
  <c r="J236" i="6"/>
  <c r="J284" i="6"/>
  <c r="J277" i="6"/>
  <c r="J177" i="6"/>
  <c r="J121" i="6"/>
  <c r="J244" i="6"/>
  <c r="J18" i="6"/>
  <c r="J19" i="6" s="1"/>
  <c r="J2" i="4" s="1"/>
  <c r="J3" i="31"/>
  <c r="J3" i="22"/>
  <c r="J3" i="21"/>
  <c r="J3" i="16"/>
  <c r="J3" i="15"/>
  <c r="J3" i="13"/>
  <c r="J3" i="14"/>
  <c r="J3" i="10"/>
  <c r="J79" i="6"/>
  <c r="J3" i="8"/>
  <c r="J99" i="6"/>
  <c r="J39" i="6"/>
  <c r="F16" i="3"/>
  <c r="F48" i="3"/>
  <c r="F70" i="3"/>
  <c r="F82" i="3"/>
  <c r="F94" i="3"/>
  <c r="F14" i="3"/>
  <c r="F30" i="10" s="1"/>
  <c r="F22" i="3"/>
  <c r="F9" i="11" s="1"/>
  <c r="F34" i="3"/>
  <c r="I34" i="3" s="1"/>
  <c r="F46" i="3"/>
  <c r="F9" i="21" s="1"/>
  <c r="I13" i="21" s="1"/>
  <c r="F56" i="3"/>
  <c r="I56" i="3" s="1"/>
  <c r="F68" i="3"/>
  <c r="F9" i="17" s="1"/>
  <c r="I15" i="17" s="1"/>
  <c r="F78" i="3"/>
  <c r="F9" i="18" s="1"/>
  <c r="I15" i="18" s="1"/>
  <c r="F90" i="3"/>
  <c r="F52" i="20" s="1"/>
  <c r="H28" i="36"/>
  <c r="H28" i="35"/>
  <c r="H28" i="34"/>
  <c r="H28" i="25"/>
  <c r="H12" i="21"/>
  <c r="F60" i="3"/>
  <c r="F17" i="3"/>
  <c r="I17" i="3" s="1"/>
  <c r="F27" i="3"/>
  <c r="I27" i="3" s="1"/>
  <c r="F39" i="3"/>
  <c r="F49" i="3"/>
  <c r="I49" i="3" s="1"/>
  <c r="F61" i="3"/>
  <c r="I61" i="3" s="1"/>
  <c r="F73" i="3"/>
  <c r="I73" i="3" s="1"/>
  <c r="F83" i="3"/>
  <c r="I83" i="3" s="1"/>
  <c r="F20" i="3"/>
  <c r="I20" i="3" s="1"/>
  <c r="F32" i="3"/>
  <c r="I32" i="3" s="1"/>
  <c r="F44" i="3"/>
  <c r="I44" i="3" s="1"/>
  <c r="F52" i="3"/>
  <c r="I52" i="3" s="1"/>
  <c r="F66" i="3"/>
  <c r="F226" i="6" s="1"/>
  <c r="F76" i="3"/>
  <c r="F88" i="3"/>
  <c r="I88" i="3" s="1"/>
  <c r="F69" i="3"/>
  <c r="F52" i="17" s="1"/>
  <c r="J4" i="40"/>
  <c r="J4" i="37"/>
  <c r="J4" i="34"/>
  <c r="J4" i="31"/>
  <c r="J4" i="28"/>
  <c r="J4" i="21"/>
  <c r="J10" i="21"/>
  <c r="J74" i="20"/>
  <c r="J4" i="22"/>
  <c r="J32" i="20"/>
  <c r="J4" i="20"/>
  <c r="J28" i="19"/>
  <c r="J4" i="17"/>
  <c r="J10" i="18"/>
  <c r="J4" i="19"/>
  <c r="J10" i="16"/>
  <c r="J10" i="17"/>
  <c r="J4" i="18"/>
  <c r="J4" i="14"/>
  <c r="J40" i="15"/>
  <c r="J4" i="15"/>
  <c r="J27" i="15"/>
  <c r="J17" i="13"/>
  <c r="J25" i="13"/>
  <c r="J4" i="16"/>
  <c r="J4" i="13"/>
  <c r="J60" i="12"/>
  <c r="J4" i="12"/>
  <c r="J50" i="12"/>
  <c r="J23" i="11"/>
  <c r="J4" i="11"/>
  <c r="J16" i="10"/>
  <c r="J37" i="12"/>
  <c r="J253" i="6"/>
  <c r="J330" i="6"/>
  <c r="J331" i="6" s="1"/>
  <c r="J269" i="6"/>
  <c r="J4" i="10"/>
  <c r="J4" i="9"/>
  <c r="J4" i="7"/>
  <c r="J345" i="6"/>
  <c r="J346" i="6" s="1"/>
  <c r="J295" i="6"/>
  <c r="J296" i="6" s="1"/>
  <c r="J35" i="9"/>
  <c r="J4" i="8"/>
  <c r="J314" i="6"/>
  <c r="J306" i="6"/>
  <c r="J308" i="6" s="1"/>
  <c r="J10" i="9"/>
  <c r="J325" i="6"/>
  <c r="J326" i="6" s="1"/>
  <c r="J340" i="6"/>
  <c r="J341" i="6" s="1"/>
  <c r="J73" i="6"/>
  <c r="J80" i="6"/>
  <c r="J140" i="6"/>
  <c r="J86" i="6"/>
  <c r="J33" i="6"/>
  <c r="J182" i="6"/>
  <c r="J290" i="6"/>
  <c r="J291" i="6" s="1"/>
  <c r="J126" i="6"/>
  <c r="J100" i="6"/>
  <c r="J46" i="6"/>
  <c r="J106" i="6"/>
  <c r="J53" i="6"/>
  <c r="J40" i="6"/>
  <c r="F35" i="3"/>
  <c r="F23" i="12" s="1"/>
  <c r="F59" i="3"/>
  <c r="F233" i="6" s="1"/>
  <c r="F18" i="3"/>
  <c r="I18" i="3" s="1"/>
  <c r="F50" i="3"/>
  <c r="I50" i="3" s="1"/>
  <c r="F74" i="3"/>
  <c r="I74" i="3" s="1"/>
  <c r="F84" i="3"/>
  <c r="I84" i="3" s="1"/>
  <c r="K28" i="6"/>
  <c r="K4" i="4" s="1"/>
  <c r="J196" i="6"/>
  <c r="F47" i="3"/>
  <c r="F9" i="9" s="1"/>
  <c r="F81" i="3"/>
  <c r="I81" i="3" s="1"/>
  <c r="F91" i="3"/>
  <c r="F73" i="20" s="1"/>
  <c r="F28" i="3"/>
  <c r="I28" i="3" s="1"/>
  <c r="F40" i="3"/>
  <c r="F49" i="12" s="1"/>
  <c r="F62" i="3"/>
  <c r="I62" i="3" s="1"/>
  <c r="F21" i="3"/>
  <c r="I21" i="3" s="1"/>
  <c r="F33" i="3"/>
  <c r="I33" i="3" s="1"/>
  <c r="F45" i="3"/>
  <c r="F24" i="13" s="1"/>
  <c r="F55" i="3"/>
  <c r="I55" i="3" s="1"/>
  <c r="F67" i="3"/>
  <c r="F225" i="6" s="1"/>
  <c r="F77" i="3"/>
  <c r="F19" i="18" s="1"/>
  <c r="F89" i="3"/>
  <c r="F31" i="20" s="1"/>
  <c r="J66" i="6"/>
  <c r="J93" i="6"/>
  <c r="F26" i="3"/>
  <c r="F38" i="3"/>
  <c r="F19" i="3"/>
  <c r="I19" i="3" s="1"/>
  <c r="F31" i="3"/>
  <c r="I31" i="3" s="1"/>
  <c r="F41" i="3"/>
  <c r="F59" i="12" s="1"/>
  <c r="I64" i="12" s="1"/>
  <c r="F51" i="3"/>
  <c r="I51" i="3" s="1"/>
  <c r="F63" i="3"/>
  <c r="F9" i="16" s="1"/>
  <c r="F75" i="3"/>
  <c r="J4" i="6"/>
  <c r="J60" i="6"/>
  <c r="I13" i="9"/>
  <c r="I56" i="12"/>
  <c r="I29" i="13"/>
  <c r="J26" i="13" s="1"/>
  <c r="E14" i="36"/>
  <c r="E14" i="35"/>
  <c r="E14" i="34"/>
  <c r="E14" i="25"/>
  <c r="E9" i="30"/>
  <c r="E9" i="29"/>
  <c r="E9" i="28"/>
  <c r="E9" i="23"/>
  <c r="E13" i="29"/>
  <c r="E13" i="30"/>
  <c r="E13" i="28"/>
  <c r="E13" i="23"/>
  <c r="E10" i="30"/>
  <c r="E10" i="29"/>
  <c r="E10" i="28"/>
  <c r="E10" i="23"/>
  <c r="G13" i="29"/>
  <c r="G13" i="30"/>
  <c r="G13" i="28"/>
  <c r="G13" i="23"/>
  <c r="G10" i="28"/>
  <c r="G10" i="30"/>
  <c r="G10" i="29"/>
  <c r="G10" i="23"/>
  <c r="G9" i="30"/>
  <c r="G9" i="29"/>
  <c r="G9" i="28"/>
  <c r="G9" i="23"/>
  <c r="G14" i="35"/>
  <c r="G14" i="36"/>
  <c r="G14" i="34"/>
  <c r="G14" i="25"/>
  <c r="E9" i="36"/>
  <c r="E9" i="35"/>
  <c r="E9" i="34"/>
  <c r="E9" i="25"/>
  <c r="E9" i="33"/>
  <c r="E9" i="32"/>
  <c r="E9" i="31"/>
  <c r="E9" i="24"/>
  <c r="I15" i="16"/>
  <c r="G9" i="33"/>
  <c r="G9" i="32"/>
  <c r="G9" i="31"/>
  <c r="G9" i="24"/>
  <c r="E17" i="30"/>
  <c r="E17" i="29"/>
  <c r="E17" i="28"/>
  <c r="E17" i="23"/>
  <c r="G9" i="36"/>
  <c r="G9" i="35"/>
  <c r="G9" i="34"/>
  <c r="G9" i="25"/>
  <c r="E20" i="36"/>
  <c r="E20" i="35"/>
  <c r="E20" i="34"/>
  <c r="E20" i="25"/>
  <c r="G17" i="30"/>
  <c r="G17" i="28"/>
  <c r="G17" i="29"/>
  <c r="G17" i="23"/>
  <c r="G20" i="36"/>
  <c r="G20" i="35"/>
  <c r="G20" i="34"/>
  <c r="G20" i="25"/>
  <c r="E24" i="36"/>
  <c r="E24" i="35"/>
  <c r="E24" i="34"/>
  <c r="E24" i="25"/>
  <c r="G16" i="29"/>
  <c r="G16" i="30"/>
  <c r="G16" i="23"/>
  <c r="G16" i="28"/>
  <c r="G24" i="36"/>
  <c r="G24" i="35"/>
  <c r="G24" i="34"/>
  <c r="G24" i="25"/>
  <c r="E18" i="36"/>
  <c r="E18" i="34"/>
  <c r="E18" i="35"/>
  <c r="E18" i="25"/>
  <c r="G18" i="36"/>
  <c r="G18" i="35"/>
  <c r="G18" i="34"/>
  <c r="G18" i="25"/>
  <c r="E22" i="35"/>
  <c r="E22" i="36"/>
  <c r="E22" i="34"/>
  <c r="E22" i="25"/>
  <c r="G18" i="29"/>
  <c r="G18" i="30"/>
  <c r="G18" i="28"/>
  <c r="G18" i="23"/>
  <c r="G22" i="36"/>
  <c r="G22" i="35"/>
  <c r="G22" i="34"/>
  <c r="G22" i="25"/>
  <c r="G25" i="36"/>
  <c r="G25" i="34"/>
  <c r="G25" i="35"/>
  <c r="G25" i="25"/>
  <c r="E23" i="36"/>
  <c r="E23" i="35"/>
  <c r="E23" i="34"/>
  <c r="E23" i="25"/>
  <c r="G23" i="35"/>
  <c r="G23" i="34"/>
  <c r="G23" i="36"/>
  <c r="G23" i="25"/>
  <c r="E16" i="29"/>
  <c r="E16" i="30"/>
  <c r="E16" i="28"/>
  <c r="E16" i="23"/>
  <c r="E10" i="36"/>
  <c r="E10" i="35"/>
  <c r="E10" i="34"/>
  <c r="E10" i="25"/>
  <c r="E25" i="36"/>
  <c r="E25" i="35"/>
  <c r="E25" i="34"/>
  <c r="E25" i="25"/>
  <c r="G10" i="36"/>
  <c r="G10" i="34"/>
  <c r="G10" i="35"/>
  <c r="G10" i="25"/>
  <c r="I78" i="20"/>
  <c r="E18" i="29"/>
  <c r="E18" i="30"/>
  <c r="E18" i="23"/>
  <c r="E18" i="28"/>
  <c r="E21" i="29"/>
  <c r="E21" i="30"/>
  <c r="E21" i="28"/>
  <c r="E21" i="23"/>
  <c r="G21" i="29"/>
  <c r="G21" i="30"/>
  <c r="G21" i="28"/>
  <c r="G21" i="23"/>
  <c r="E11" i="35"/>
  <c r="E11" i="36"/>
  <c r="E11" i="34"/>
  <c r="E11" i="25"/>
  <c r="G11" i="36"/>
  <c r="G11" i="35"/>
  <c r="G11" i="34"/>
  <c r="G11" i="25"/>
  <c r="K10" i="44"/>
  <c r="K11" i="44"/>
  <c r="K12" i="44"/>
  <c r="F275" i="6" l="1"/>
  <c r="I82" i="3"/>
  <c r="F234" i="6"/>
  <c r="I60" i="3"/>
  <c r="F19" i="17"/>
  <c r="I70" i="3"/>
  <c r="I69" i="3"/>
  <c r="I90" i="3"/>
  <c r="I89" i="3"/>
  <c r="I91" i="3"/>
  <c r="F22" i="11"/>
  <c r="I27" i="11" s="1"/>
  <c r="I48" i="3"/>
  <c r="I59" i="3"/>
  <c r="I77" i="3"/>
  <c r="F9" i="13"/>
  <c r="I38" i="3"/>
  <c r="F160" i="6"/>
  <c r="I16" i="3"/>
  <c r="F7" i="3" s="1"/>
  <c r="J3" i="7"/>
  <c r="J3" i="17"/>
  <c r="J3" i="34"/>
  <c r="I47" i="3"/>
  <c r="I68" i="3"/>
  <c r="I67" i="3"/>
  <c r="I66" i="3"/>
  <c r="I63" i="3"/>
  <c r="F216" i="6"/>
  <c r="I26" i="3"/>
  <c r="J3" i="9"/>
  <c r="J3" i="18"/>
  <c r="J3" i="37"/>
  <c r="I35" i="3"/>
  <c r="J3" i="6"/>
  <c r="J3" i="11"/>
  <c r="J3" i="19"/>
  <c r="J3" i="40"/>
  <c r="I46" i="3"/>
  <c r="I45" i="3"/>
  <c r="I41" i="3"/>
  <c r="I40" i="3"/>
  <c r="F36" i="12"/>
  <c r="I41" i="12" s="1"/>
  <c r="I12" i="39" s="1"/>
  <c r="I39" i="3"/>
  <c r="J59" i="6"/>
  <c r="J3" i="12"/>
  <c r="J3" i="20"/>
  <c r="F283" i="6"/>
  <c r="I94" i="3"/>
  <c r="J3" i="28"/>
  <c r="I22" i="3"/>
  <c r="I12" i="38"/>
  <c r="I12" i="37"/>
  <c r="I12" i="26"/>
  <c r="J38" i="12"/>
  <c r="J25" i="12" s="1"/>
  <c r="F54" i="18"/>
  <c r="F54" i="17"/>
  <c r="F53" i="16"/>
  <c r="F51" i="16"/>
  <c r="K4" i="40"/>
  <c r="K4" i="37"/>
  <c r="K4" i="34"/>
  <c r="K4" i="31"/>
  <c r="K4" i="28"/>
  <c r="K4" i="21"/>
  <c r="K4" i="22"/>
  <c r="K4" i="20"/>
  <c r="K74" i="20"/>
  <c r="K32" i="20"/>
  <c r="K10" i="21"/>
  <c r="K4" i="19"/>
  <c r="K28" i="19"/>
  <c r="K10" i="18"/>
  <c r="K4" i="18"/>
  <c r="K4" i="17"/>
  <c r="K10" i="17"/>
  <c r="K4" i="16"/>
  <c r="K10" i="16"/>
  <c r="K40" i="15"/>
  <c r="K4" i="15"/>
  <c r="K27" i="15"/>
  <c r="K17" i="13"/>
  <c r="K25" i="13"/>
  <c r="K37" i="12"/>
  <c r="K4" i="13"/>
  <c r="K60" i="12"/>
  <c r="K4" i="14"/>
  <c r="K50" i="12"/>
  <c r="K23" i="11"/>
  <c r="K4" i="11"/>
  <c r="K16" i="10"/>
  <c r="K330" i="6"/>
  <c r="K331" i="6" s="1"/>
  <c r="K269" i="6"/>
  <c r="K4" i="10"/>
  <c r="K4" i="9"/>
  <c r="K4" i="7"/>
  <c r="K345" i="6"/>
  <c r="K346" i="6" s="1"/>
  <c r="K295" i="6"/>
  <c r="K296" i="6" s="1"/>
  <c r="K35" i="9"/>
  <c r="K4" i="8"/>
  <c r="K314" i="6"/>
  <c r="K196" i="6"/>
  <c r="K4" i="12"/>
  <c r="K306" i="6"/>
  <c r="K10" i="9"/>
  <c r="K325" i="6"/>
  <c r="K326" i="6" s="1"/>
  <c r="K340" i="6"/>
  <c r="K341" i="6" s="1"/>
  <c r="K290" i="6"/>
  <c r="K291" i="6" s="1"/>
  <c r="K80" i="6"/>
  <c r="K253" i="6"/>
  <c r="K140" i="6"/>
  <c r="K86" i="6"/>
  <c r="K182" i="6"/>
  <c r="K93" i="6"/>
  <c r="K40" i="6"/>
  <c r="K126" i="6"/>
  <c r="K106" i="6"/>
  <c r="K53" i="6"/>
  <c r="K60" i="6"/>
  <c r="K73" i="6"/>
  <c r="K46" i="6"/>
  <c r="K11" i="6"/>
  <c r="K12" i="6" s="1"/>
  <c r="K66" i="6"/>
  <c r="K100" i="6"/>
  <c r="L28" i="6"/>
  <c r="L4" i="4" s="1"/>
  <c r="K33" i="6"/>
  <c r="K23" i="6"/>
  <c r="K24" i="6" s="1"/>
  <c r="K3" i="4" s="1"/>
  <c r="K4" i="6"/>
  <c r="J31" i="19"/>
  <c r="J38" i="19"/>
  <c r="F16" i="11"/>
  <c r="F36" i="10"/>
  <c r="F10" i="11"/>
  <c r="I18" i="33"/>
  <c r="I18" i="32"/>
  <c r="I18" i="31"/>
  <c r="I18" i="24"/>
  <c r="J11" i="18"/>
  <c r="I17" i="39"/>
  <c r="I17" i="38"/>
  <c r="I17" i="37"/>
  <c r="I17" i="26"/>
  <c r="J61" i="12"/>
  <c r="I17" i="11"/>
  <c r="F53" i="18"/>
  <c r="F53" i="17"/>
  <c r="F52" i="16"/>
  <c r="K32" i="10"/>
  <c r="J32" i="10"/>
  <c r="I17" i="33"/>
  <c r="I17" i="32"/>
  <c r="I17" i="31"/>
  <c r="I17" i="24"/>
  <c r="J11" i="16"/>
  <c r="J39" i="16" s="1"/>
  <c r="F24" i="14"/>
  <c r="F15" i="19"/>
  <c r="F9" i="15"/>
  <c r="F9" i="14"/>
  <c r="F9" i="12"/>
  <c r="F34" i="9"/>
  <c r="I38" i="9" s="1"/>
  <c r="F194" i="6"/>
  <c r="F52" i="18"/>
  <c r="F22" i="12"/>
  <c r="F241" i="6"/>
  <c r="J81" i="6"/>
  <c r="J87" i="6"/>
  <c r="J74" i="6"/>
  <c r="J36" i="20"/>
  <c r="K33" i="20" s="1"/>
  <c r="K26" i="20" s="1"/>
  <c r="F10" i="14"/>
  <c r="F138" i="6"/>
  <c r="I26" i="33"/>
  <c r="I26" i="32"/>
  <c r="I26" i="31"/>
  <c r="I26" i="24"/>
  <c r="J11" i="21"/>
  <c r="J13" i="21" s="1"/>
  <c r="I29" i="9"/>
  <c r="J285" i="6"/>
  <c r="I20" i="33"/>
  <c r="I20" i="31"/>
  <c r="I20" i="32"/>
  <c r="I20" i="24"/>
  <c r="J75" i="20"/>
  <c r="J66" i="20" s="1"/>
  <c r="F26" i="17"/>
  <c r="J28" i="17" s="1"/>
  <c r="F10" i="15"/>
  <c r="F30" i="12"/>
  <c r="J32" i="12" s="1"/>
  <c r="F251" i="6"/>
  <c r="F259" i="6"/>
  <c r="F45" i="20"/>
  <c r="F27" i="19"/>
  <c r="I32" i="19" s="1"/>
  <c r="F242" i="6"/>
  <c r="I15" i="39"/>
  <c r="I15" i="38"/>
  <c r="I15" i="37"/>
  <c r="I15" i="26"/>
  <c r="J51" i="12"/>
  <c r="J24" i="10" s="1"/>
  <c r="J26" i="10" s="1"/>
  <c r="F25" i="16"/>
  <c r="J27" i="16" s="1"/>
  <c r="F19" i="15"/>
  <c r="J22" i="15" s="1"/>
  <c r="F39" i="15"/>
  <c r="I45" i="15" s="1"/>
  <c r="J34" i="6"/>
  <c r="J41" i="6"/>
  <c r="J47" i="6"/>
  <c r="F55" i="17"/>
  <c r="F39" i="17" s="1"/>
  <c r="F18" i="18"/>
  <c r="F18" i="17"/>
  <c r="F11" i="15"/>
  <c r="F16" i="9"/>
  <c r="I14" i="33"/>
  <c r="I14" i="32"/>
  <c r="I14" i="31"/>
  <c r="I14" i="24"/>
  <c r="J24" i="11"/>
  <c r="I11" i="33"/>
  <c r="I11" i="32"/>
  <c r="I11" i="31"/>
  <c r="I11" i="24"/>
  <c r="J11" i="9"/>
  <c r="I9" i="8"/>
  <c r="F15" i="12"/>
  <c r="J18" i="12" s="1"/>
  <c r="F37" i="10"/>
  <c r="F15" i="10"/>
  <c r="I21" i="10" s="1"/>
  <c r="J94" i="6"/>
  <c r="J107" i="6"/>
  <c r="J101" i="6"/>
  <c r="F26" i="18"/>
  <c r="F12" i="15"/>
  <c r="F18" i="16"/>
  <c r="J2" i="40"/>
  <c r="J2" i="37"/>
  <c r="J2" i="34"/>
  <c r="J2" i="31"/>
  <c r="J2" i="28"/>
  <c r="J2" i="21"/>
  <c r="J2" i="22"/>
  <c r="J60" i="20"/>
  <c r="J2" i="20"/>
  <c r="J2" i="17"/>
  <c r="J2" i="19"/>
  <c r="J2" i="18"/>
  <c r="J2" i="14"/>
  <c r="J2" i="16"/>
  <c r="J2" i="15"/>
  <c r="J2" i="13"/>
  <c r="J2" i="12"/>
  <c r="J2" i="11"/>
  <c r="J243" i="6"/>
  <c r="J245" i="6" s="1"/>
  <c r="J2" i="9"/>
  <c r="J2" i="7"/>
  <c r="J227" i="6"/>
  <c r="J229" i="6" s="1"/>
  <c r="J203" i="6"/>
  <c r="J2" i="8"/>
  <c r="J313" i="6"/>
  <c r="J315" i="6" s="1"/>
  <c r="J307" i="6"/>
  <c r="J235" i="6"/>
  <c r="J237" i="6" s="1"/>
  <c r="J2" i="10"/>
  <c r="J147" i="6"/>
  <c r="J72" i="6"/>
  <c r="J176" i="6"/>
  <c r="J178" i="6" s="1"/>
  <c r="J276" i="6"/>
  <c r="J278" i="6" s="1"/>
  <c r="J170" i="6"/>
  <c r="J171" i="6" s="1"/>
  <c r="J120" i="6"/>
  <c r="J122" i="6" s="1"/>
  <c r="J114" i="6"/>
  <c r="J115" i="6" s="1"/>
  <c r="J92" i="6"/>
  <c r="J2" i="6"/>
  <c r="J32" i="6"/>
  <c r="J52" i="6"/>
  <c r="J54" i="20"/>
  <c r="J58" i="20" s="1"/>
  <c r="J61" i="20" s="1"/>
  <c r="F26" i="15"/>
  <c r="I36" i="15" s="1"/>
  <c r="F16" i="13"/>
  <c r="I21" i="13" s="1"/>
  <c r="I16" i="33"/>
  <c r="I16" i="32"/>
  <c r="I16" i="31"/>
  <c r="I16" i="24"/>
  <c r="J11" i="17"/>
  <c r="J40" i="17" s="1"/>
  <c r="L32" i="10" l="1"/>
  <c r="L9" i="37" s="1"/>
  <c r="F55" i="18"/>
  <c r="F39" i="18" s="1"/>
  <c r="J26" i="31"/>
  <c r="K11" i="21"/>
  <c r="J29" i="9"/>
  <c r="J27" i="18"/>
  <c r="J28" i="18" s="1"/>
  <c r="J40" i="18"/>
  <c r="K53" i="20"/>
  <c r="K54" i="20" s="1"/>
  <c r="K58" i="20" s="1"/>
  <c r="K59" i="20"/>
  <c r="K228" i="6"/>
  <c r="K236" i="6"/>
  <c r="K284" i="6"/>
  <c r="K285" i="6" s="1"/>
  <c r="K277" i="6"/>
  <c r="K244" i="6"/>
  <c r="K177" i="6"/>
  <c r="K121" i="6"/>
  <c r="K18" i="6"/>
  <c r="K19" i="6" s="1"/>
  <c r="K2" i="4" s="1"/>
  <c r="K34" i="6"/>
  <c r="K41" i="6"/>
  <c r="K47" i="6"/>
  <c r="K32" i="12"/>
  <c r="J141" i="6"/>
  <c r="J162" i="6"/>
  <c r="I10" i="39"/>
  <c r="I10" i="38"/>
  <c r="I10" i="37"/>
  <c r="I10" i="26"/>
  <c r="J17" i="10"/>
  <c r="I24" i="12"/>
  <c r="I19" i="33"/>
  <c r="I19" i="31"/>
  <c r="I19" i="32"/>
  <c r="I19" i="24"/>
  <c r="J29" i="19"/>
  <c r="I25" i="32"/>
  <c r="I25" i="33"/>
  <c r="I25" i="31"/>
  <c r="I25" i="24"/>
  <c r="I28" i="9"/>
  <c r="J36" i="9"/>
  <c r="K9" i="37"/>
  <c r="K17" i="12"/>
  <c r="K39" i="10"/>
  <c r="K19" i="10"/>
  <c r="K94" i="6"/>
  <c r="K101" i="6"/>
  <c r="K107" i="6"/>
  <c r="J21" i="18"/>
  <c r="J13" i="37"/>
  <c r="J52" i="12"/>
  <c r="J40" i="12"/>
  <c r="K3" i="40"/>
  <c r="K3" i="37"/>
  <c r="K3" i="34"/>
  <c r="K3" i="31"/>
  <c r="K3" i="28"/>
  <c r="K3" i="22"/>
  <c r="K3" i="21"/>
  <c r="K3" i="20"/>
  <c r="K3" i="19"/>
  <c r="K3" i="18"/>
  <c r="K3" i="15"/>
  <c r="K3" i="17"/>
  <c r="K3" i="14"/>
  <c r="K3" i="16"/>
  <c r="K3" i="13"/>
  <c r="K3" i="12"/>
  <c r="K3" i="10"/>
  <c r="K3" i="11"/>
  <c r="K3" i="9"/>
  <c r="K3" i="7"/>
  <c r="K3" i="8"/>
  <c r="K79" i="6"/>
  <c r="K99" i="6"/>
  <c r="K59" i="6"/>
  <c r="K3" i="6"/>
  <c r="K39" i="6"/>
  <c r="K308" i="6"/>
  <c r="K13" i="21"/>
  <c r="I15" i="33"/>
  <c r="I15" i="32"/>
  <c r="I15" i="31"/>
  <c r="I15" i="24"/>
  <c r="J28" i="15"/>
  <c r="J127" i="6"/>
  <c r="J128" i="6" s="1"/>
  <c r="J14" i="37"/>
  <c r="J63" i="12"/>
  <c r="J54" i="12"/>
  <c r="J67" i="12"/>
  <c r="J68" i="12" s="1"/>
  <c r="I10" i="33"/>
  <c r="I10" i="32"/>
  <c r="I10" i="31"/>
  <c r="I10" i="24"/>
  <c r="J41" i="15"/>
  <c r="J10" i="34"/>
  <c r="D49" i="47" s="1"/>
  <c r="K27" i="16"/>
  <c r="I8" i="32"/>
  <c r="I8" i="33"/>
  <c r="I8" i="31"/>
  <c r="I8" i="24"/>
  <c r="J18" i="13"/>
  <c r="J67" i="20"/>
  <c r="J197" i="6"/>
  <c r="J218" i="6"/>
  <c r="J54" i="6"/>
  <c r="J61" i="6"/>
  <c r="J67" i="6"/>
  <c r="J29" i="17"/>
  <c r="J14" i="17"/>
  <c r="J270" i="6"/>
  <c r="J271" i="6" s="1"/>
  <c r="J41" i="17"/>
  <c r="J8" i="34"/>
  <c r="D47" i="47" s="1"/>
  <c r="J44" i="15"/>
  <c r="J68" i="20"/>
  <c r="J41" i="18"/>
  <c r="J9" i="37"/>
  <c r="J17" i="12"/>
  <c r="J19" i="10"/>
  <c r="J39" i="10"/>
  <c r="L4" i="40"/>
  <c r="L4" i="37"/>
  <c r="L4" i="34"/>
  <c r="L4" i="31"/>
  <c r="L4" i="28"/>
  <c r="L4" i="22"/>
  <c r="L10" i="21"/>
  <c r="L74" i="20"/>
  <c r="L32" i="20"/>
  <c r="L4" i="21"/>
  <c r="L4" i="20"/>
  <c r="L4" i="19"/>
  <c r="L28" i="19"/>
  <c r="L10" i="18"/>
  <c r="L28" i="17"/>
  <c r="L10" i="17"/>
  <c r="L4" i="18"/>
  <c r="L4" i="17"/>
  <c r="L4" i="16"/>
  <c r="L10" i="16"/>
  <c r="L40" i="15"/>
  <c r="L4" i="15"/>
  <c r="L27" i="15"/>
  <c r="L17" i="13"/>
  <c r="L25" i="13"/>
  <c r="L37" i="12"/>
  <c r="L4" i="14"/>
  <c r="L50" i="12"/>
  <c r="L4" i="13"/>
  <c r="L23" i="11"/>
  <c r="L4" i="11"/>
  <c r="L16" i="10"/>
  <c r="L32" i="12"/>
  <c r="L18" i="12"/>
  <c r="L4" i="12"/>
  <c r="L4" i="10"/>
  <c r="L4" i="9"/>
  <c r="L4" i="7"/>
  <c r="L345" i="6"/>
  <c r="L346" i="6" s="1"/>
  <c r="L295" i="6"/>
  <c r="L296" i="6" s="1"/>
  <c r="L35" i="9"/>
  <c r="L4" i="8"/>
  <c r="L314" i="6"/>
  <c r="L60" i="12"/>
  <c r="L306" i="6"/>
  <c r="L10" i="9"/>
  <c r="L325" i="6"/>
  <c r="L326" i="6" s="1"/>
  <c r="L340" i="6"/>
  <c r="L341" i="6" s="1"/>
  <c r="L290" i="6"/>
  <c r="L291" i="6" s="1"/>
  <c r="L253" i="6"/>
  <c r="L330" i="6"/>
  <c r="L331" i="6" s="1"/>
  <c r="L140" i="6"/>
  <c r="L86" i="6"/>
  <c r="L33" i="6"/>
  <c r="L182" i="6"/>
  <c r="L93" i="6"/>
  <c r="L40" i="6"/>
  <c r="L126" i="6"/>
  <c r="L100" i="6"/>
  <c r="L46" i="6"/>
  <c r="L60" i="6"/>
  <c r="L269" i="6"/>
  <c r="L196" i="6"/>
  <c r="L66" i="6"/>
  <c r="L80" i="6"/>
  <c r="M28" i="6"/>
  <c r="M4" i="4" s="1"/>
  <c r="L23" i="6"/>
  <c r="L24" i="6" s="1"/>
  <c r="L3" i="4" s="1"/>
  <c r="L106" i="6"/>
  <c r="L4" i="6"/>
  <c r="L73" i="6"/>
  <c r="L53" i="6"/>
  <c r="L11" i="6"/>
  <c r="L12" i="6" s="1"/>
  <c r="K22" i="15"/>
  <c r="K28" i="17"/>
  <c r="J20" i="16"/>
  <c r="J183" i="6"/>
  <c r="J184" i="6" s="1"/>
  <c r="J14" i="16"/>
  <c r="J28" i="16"/>
  <c r="K87" i="6"/>
  <c r="K74" i="6"/>
  <c r="K81" i="6"/>
  <c r="J21" i="17"/>
  <c r="J44" i="12"/>
  <c r="J45" i="12" s="1"/>
  <c r="J11" i="11"/>
  <c r="J12" i="11" s="1"/>
  <c r="J20" i="10"/>
  <c r="K18" i="12"/>
  <c r="F54" i="16"/>
  <c r="F38" i="16" s="1"/>
  <c r="L39" i="10" l="1"/>
  <c r="L19" i="10"/>
  <c r="L17" i="12"/>
  <c r="L53" i="20"/>
  <c r="L54" i="20" s="1"/>
  <c r="L58" i="20" s="1"/>
  <c r="L59" i="20"/>
  <c r="L236" i="6"/>
  <c r="L284" i="6"/>
  <c r="L285" i="6" s="1"/>
  <c r="L277" i="6"/>
  <c r="L244" i="6"/>
  <c r="L177" i="6"/>
  <c r="L228" i="6"/>
  <c r="L121" i="6"/>
  <c r="L18" i="6"/>
  <c r="L19" i="6" s="1"/>
  <c r="L2" i="4" s="1"/>
  <c r="L13" i="37"/>
  <c r="L52" i="12"/>
  <c r="L40" i="12"/>
  <c r="J77" i="20"/>
  <c r="J69" i="20"/>
  <c r="K13" i="37"/>
  <c r="K52" i="12"/>
  <c r="K40" i="12"/>
  <c r="J188" i="6"/>
  <c r="L41" i="6"/>
  <c r="L47" i="6"/>
  <c r="L34" i="6"/>
  <c r="J33" i="17"/>
  <c r="J46" i="17"/>
  <c r="J47" i="17" s="1"/>
  <c r="J42" i="17"/>
  <c r="J264" i="6"/>
  <c r="K14" i="16"/>
  <c r="K28" i="16"/>
  <c r="K20" i="34" s="1"/>
  <c r="E59" i="47" s="1"/>
  <c r="J25" i="10"/>
  <c r="J16" i="37"/>
  <c r="J62" i="12"/>
  <c r="J64" i="12" s="1"/>
  <c r="J53" i="12"/>
  <c r="L94" i="6"/>
  <c r="L101" i="6"/>
  <c r="L107" i="6"/>
  <c r="J42" i="18"/>
  <c r="J33" i="18"/>
  <c r="J46" i="18"/>
  <c r="J47" i="18" s="1"/>
  <c r="J18" i="34"/>
  <c r="D57" i="47" s="1"/>
  <c r="J132" i="6"/>
  <c r="J29" i="18"/>
  <c r="J14" i="18"/>
  <c r="K29" i="17"/>
  <c r="K18" i="34" s="1"/>
  <c r="E57" i="47" s="1"/>
  <c r="K14" i="17"/>
  <c r="J48" i="19"/>
  <c r="K8" i="34"/>
  <c r="E47" i="47" s="1"/>
  <c r="K44" i="15"/>
  <c r="L29" i="17"/>
  <c r="L18" i="34" s="1"/>
  <c r="F57" i="47" s="1"/>
  <c r="L14" i="17"/>
  <c r="J10" i="13"/>
  <c r="J11" i="13" s="1"/>
  <c r="J40" i="16"/>
  <c r="J20" i="34"/>
  <c r="D59" i="47" s="1"/>
  <c r="L3" i="40"/>
  <c r="L3" i="37"/>
  <c r="L3" i="34"/>
  <c r="L3" i="31"/>
  <c r="L3" i="28"/>
  <c r="L3" i="21"/>
  <c r="L3" i="22"/>
  <c r="L3" i="20"/>
  <c r="L3" i="18"/>
  <c r="L3" i="17"/>
  <c r="L3" i="19"/>
  <c r="L3" i="14"/>
  <c r="L3" i="16"/>
  <c r="L3" i="13"/>
  <c r="L3" i="15"/>
  <c r="L3" i="12"/>
  <c r="L3" i="10"/>
  <c r="L3" i="11"/>
  <c r="L3" i="9"/>
  <c r="L3" i="7"/>
  <c r="L3" i="8"/>
  <c r="L79" i="6"/>
  <c r="L39" i="6"/>
  <c r="L59" i="6"/>
  <c r="L3" i="6"/>
  <c r="L99" i="6"/>
  <c r="J18" i="37"/>
  <c r="J20" i="13"/>
  <c r="J28" i="13"/>
  <c r="J55" i="12"/>
  <c r="M4" i="40"/>
  <c r="M4" i="37"/>
  <c r="M4" i="34"/>
  <c r="M4" i="31"/>
  <c r="M4" i="28"/>
  <c r="M4" i="22"/>
  <c r="M10" i="21"/>
  <c r="M74" i="20"/>
  <c r="M4" i="21"/>
  <c r="M4" i="20"/>
  <c r="M28" i="19"/>
  <c r="M32" i="20"/>
  <c r="M4" i="19"/>
  <c r="M10" i="18"/>
  <c r="M4" i="18"/>
  <c r="M4" i="17"/>
  <c r="M28" i="17"/>
  <c r="M4" i="16"/>
  <c r="M10" i="17"/>
  <c r="M10" i="16"/>
  <c r="M4" i="15"/>
  <c r="M27" i="15"/>
  <c r="M4" i="14"/>
  <c r="M25" i="13"/>
  <c r="M4" i="13"/>
  <c r="M60" i="12"/>
  <c r="M40" i="15"/>
  <c r="M50" i="12"/>
  <c r="M4" i="11"/>
  <c r="M32" i="12"/>
  <c r="M18" i="12"/>
  <c r="M17" i="13"/>
  <c r="M37" i="12"/>
  <c r="M4" i="12"/>
  <c r="M16" i="10"/>
  <c r="M4" i="10"/>
  <c r="M35" i="9"/>
  <c r="M4" i="8"/>
  <c r="M314" i="6"/>
  <c r="M196" i="6"/>
  <c r="M306" i="6"/>
  <c r="M23" i="11"/>
  <c r="M10" i="9"/>
  <c r="M325" i="6"/>
  <c r="M326" i="6" s="1"/>
  <c r="M340" i="6"/>
  <c r="M341" i="6" s="1"/>
  <c r="M290" i="6"/>
  <c r="M291" i="6" s="1"/>
  <c r="M253" i="6"/>
  <c r="M330" i="6"/>
  <c r="M331" i="6" s="1"/>
  <c r="M269" i="6"/>
  <c r="M140" i="6"/>
  <c r="M295" i="6"/>
  <c r="M296" i="6" s="1"/>
  <c r="M182" i="6"/>
  <c r="M93" i="6"/>
  <c r="M40" i="6"/>
  <c r="M4" i="9"/>
  <c r="M126" i="6"/>
  <c r="M100" i="6"/>
  <c r="M46" i="6"/>
  <c r="M106" i="6"/>
  <c r="M53" i="6"/>
  <c r="M345" i="6"/>
  <c r="M346" i="6" s="1"/>
  <c r="M66" i="6"/>
  <c r="M73" i="6"/>
  <c r="M4" i="7"/>
  <c r="N28" i="6"/>
  <c r="N4" i="4" s="1"/>
  <c r="M23" i="6"/>
  <c r="M24" i="6" s="1"/>
  <c r="M3" i="4" s="1"/>
  <c r="M86" i="6"/>
  <c r="M33" i="6"/>
  <c r="M4" i="6"/>
  <c r="M11" i="6"/>
  <c r="M12" i="6" s="1"/>
  <c r="M80" i="6"/>
  <c r="M60" i="6"/>
  <c r="M32" i="10"/>
  <c r="L74" i="6"/>
  <c r="L81" i="6"/>
  <c r="J82" i="6" s="1"/>
  <c r="L87" i="6"/>
  <c r="J88" i="6" s="1"/>
  <c r="J16" i="19"/>
  <c r="J17" i="19" s="1"/>
  <c r="J42" i="15"/>
  <c r="J20" i="15"/>
  <c r="J25" i="11"/>
  <c r="K14" i="37"/>
  <c r="K67" i="12"/>
  <c r="K68" i="12" s="1"/>
  <c r="K54" i="12"/>
  <c r="K63" i="12"/>
  <c r="L14" i="37"/>
  <c r="L67" i="12"/>
  <c r="L68" i="12" s="1"/>
  <c r="L63" i="12"/>
  <c r="L54" i="12"/>
  <c r="K26" i="31"/>
  <c r="L11" i="21"/>
  <c r="L13" i="21" s="1"/>
  <c r="K29" i="9"/>
  <c r="K2" i="40"/>
  <c r="K2" i="37"/>
  <c r="K2" i="34"/>
  <c r="K2" i="31"/>
  <c r="K2" i="28"/>
  <c r="K2" i="21"/>
  <c r="K2" i="22"/>
  <c r="K2" i="20"/>
  <c r="K60" i="20"/>
  <c r="K61" i="20" s="1"/>
  <c r="K2" i="19"/>
  <c r="K2" i="18"/>
  <c r="K2" i="16"/>
  <c r="K2" i="17"/>
  <c r="K2" i="15"/>
  <c r="K2" i="14"/>
  <c r="K2" i="13"/>
  <c r="K2" i="11"/>
  <c r="K2" i="9"/>
  <c r="K2" i="7"/>
  <c r="K227" i="6"/>
  <c r="K229" i="6" s="1"/>
  <c r="K203" i="6"/>
  <c r="K2" i="8"/>
  <c r="K2" i="12"/>
  <c r="K313" i="6"/>
  <c r="K315" i="6" s="1"/>
  <c r="K307" i="6"/>
  <c r="L308" i="6" s="1"/>
  <c r="K235" i="6"/>
  <c r="K237" i="6" s="1"/>
  <c r="K2" i="10"/>
  <c r="K276" i="6"/>
  <c r="K278" i="6" s="1"/>
  <c r="K147" i="6"/>
  <c r="K72" i="6"/>
  <c r="K176" i="6"/>
  <c r="K178" i="6" s="1"/>
  <c r="K243" i="6"/>
  <c r="K245" i="6" s="1"/>
  <c r="K170" i="6"/>
  <c r="K171" i="6" s="1"/>
  <c r="K120" i="6"/>
  <c r="K122" i="6" s="1"/>
  <c r="K32" i="6"/>
  <c r="K52" i="6"/>
  <c r="K114" i="6"/>
  <c r="K115" i="6" s="1"/>
  <c r="K92" i="6"/>
  <c r="K2" i="6"/>
  <c r="J56" i="12" l="1"/>
  <c r="K51" i="12" s="1"/>
  <c r="L26" i="31"/>
  <c r="M11" i="21"/>
  <c r="L29" i="9"/>
  <c r="J3" i="41"/>
  <c r="J3" i="38"/>
  <c r="J3" i="35"/>
  <c r="J3" i="32"/>
  <c r="J3" i="29"/>
  <c r="K67" i="20"/>
  <c r="J4" i="41"/>
  <c r="J4" i="38"/>
  <c r="J4" i="35"/>
  <c r="J4" i="32"/>
  <c r="J4" i="29"/>
  <c r="K197" i="6"/>
  <c r="K218" i="6"/>
  <c r="J21" i="19"/>
  <c r="J43" i="15"/>
  <c r="J45" i="15" s="1"/>
  <c r="J21" i="15"/>
  <c r="L22" i="15" s="1"/>
  <c r="M53" i="20"/>
  <c r="M54" i="20" s="1"/>
  <c r="M58" i="20" s="1"/>
  <c r="M59" i="20"/>
  <c r="M236" i="6"/>
  <c r="M284" i="6"/>
  <c r="M285" i="6" s="1"/>
  <c r="M277" i="6"/>
  <c r="M244" i="6"/>
  <c r="M228" i="6"/>
  <c r="M121" i="6"/>
  <c r="M177" i="6"/>
  <c r="M18" i="6"/>
  <c r="M19" i="6" s="1"/>
  <c r="M2" i="4" s="1"/>
  <c r="M14" i="37"/>
  <c r="M63" i="12"/>
  <c r="M54" i="12"/>
  <c r="M67" i="12"/>
  <c r="M68" i="12" s="1"/>
  <c r="M29" i="17"/>
  <c r="M18" i="34" s="1"/>
  <c r="G57" i="47" s="1"/>
  <c r="M14" i="17"/>
  <c r="J45" i="16"/>
  <c r="J46" i="16" s="1"/>
  <c r="J32" i="16"/>
  <c r="J41" i="16"/>
  <c r="J18" i="28"/>
  <c r="K20" i="16"/>
  <c r="L18" i="37"/>
  <c r="L20" i="13"/>
  <c r="L28" i="13"/>
  <c r="L55" i="12"/>
  <c r="K61" i="6"/>
  <c r="K67" i="6"/>
  <c r="K54" i="6"/>
  <c r="M13" i="37"/>
  <c r="M40" i="12"/>
  <c r="M52" i="12"/>
  <c r="K21" i="18"/>
  <c r="K183" i="6"/>
  <c r="K184" i="6" s="1"/>
  <c r="K18" i="37"/>
  <c r="K20" i="13"/>
  <c r="K28" i="13"/>
  <c r="K55" i="12"/>
  <c r="M101" i="6"/>
  <c r="M107" i="6"/>
  <c r="M94" i="6"/>
  <c r="J17" i="37"/>
  <c r="K61" i="12"/>
  <c r="J17" i="11"/>
  <c r="J18" i="11" s="1"/>
  <c r="M3" i="40"/>
  <c r="M3" i="37"/>
  <c r="M3" i="34"/>
  <c r="M3" i="31"/>
  <c r="M3" i="28"/>
  <c r="M3" i="21"/>
  <c r="M3" i="22"/>
  <c r="M3" i="20"/>
  <c r="M3" i="19"/>
  <c r="M3" i="18"/>
  <c r="M3" i="17"/>
  <c r="M3" i="16"/>
  <c r="M3" i="14"/>
  <c r="M3" i="15"/>
  <c r="M3" i="12"/>
  <c r="M3" i="10"/>
  <c r="M3" i="11"/>
  <c r="M3" i="9"/>
  <c r="M3" i="7"/>
  <c r="M3" i="13"/>
  <c r="M3" i="8"/>
  <c r="M39" i="6"/>
  <c r="M99" i="6"/>
  <c r="M59" i="6"/>
  <c r="M3" i="6"/>
  <c r="M79" i="6"/>
  <c r="M47" i="6"/>
  <c r="M41" i="6"/>
  <c r="M34" i="6"/>
  <c r="M13" i="21"/>
  <c r="J22" i="34"/>
  <c r="J16" i="28"/>
  <c r="K127" i="6"/>
  <c r="K128" i="6" s="1"/>
  <c r="K21" i="17"/>
  <c r="M9" i="37"/>
  <c r="M19" i="10"/>
  <c r="M39" i="10"/>
  <c r="M17" i="12"/>
  <c r="J48" i="18"/>
  <c r="J34" i="18"/>
  <c r="J48" i="17"/>
  <c r="J34" i="17"/>
  <c r="J11" i="34"/>
  <c r="L2" i="40"/>
  <c r="L2" i="37"/>
  <c r="L2" i="34"/>
  <c r="L2" i="31"/>
  <c r="L2" i="28"/>
  <c r="L2" i="22"/>
  <c r="L2" i="21"/>
  <c r="L60" i="20"/>
  <c r="L2" i="20"/>
  <c r="L2" i="19"/>
  <c r="L2" i="18"/>
  <c r="L2" i="16"/>
  <c r="L2" i="17"/>
  <c r="L2" i="15"/>
  <c r="L2" i="14"/>
  <c r="L2" i="11"/>
  <c r="L2" i="13"/>
  <c r="L2" i="12"/>
  <c r="L2" i="10"/>
  <c r="L2" i="9"/>
  <c r="L2" i="7"/>
  <c r="L227" i="6"/>
  <c r="L229" i="6" s="1"/>
  <c r="L21" i="17" s="1"/>
  <c r="L203" i="6"/>
  <c r="L2" i="8"/>
  <c r="L313" i="6"/>
  <c r="L315" i="6" s="1"/>
  <c r="L307" i="6"/>
  <c r="L235" i="6"/>
  <c r="L237" i="6" s="1"/>
  <c r="L20" i="16" s="1"/>
  <c r="L276" i="6"/>
  <c r="L278" i="6" s="1"/>
  <c r="L270" i="6" s="1"/>
  <c r="L271" i="6" s="1"/>
  <c r="L264" i="6" s="1"/>
  <c r="L243" i="6"/>
  <c r="L245" i="6" s="1"/>
  <c r="L21" i="18" s="1"/>
  <c r="L176" i="6"/>
  <c r="L178" i="6" s="1"/>
  <c r="L183" i="6" s="1"/>
  <c r="L184" i="6" s="1"/>
  <c r="L188" i="6" s="1"/>
  <c r="L170" i="6"/>
  <c r="L171" i="6" s="1"/>
  <c r="L120" i="6"/>
  <c r="L122" i="6" s="1"/>
  <c r="L127" i="6" s="1"/>
  <c r="L128" i="6" s="1"/>
  <c r="L132" i="6" s="1"/>
  <c r="L114" i="6"/>
  <c r="L115" i="6" s="1"/>
  <c r="L92" i="6"/>
  <c r="L52" i="6"/>
  <c r="L32" i="6"/>
  <c r="L72" i="6"/>
  <c r="J75" i="6" s="1"/>
  <c r="L147" i="6"/>
  <c r="L2" i="6"/>
  <c r="K141" i="6"/>
  <c r="K162" i="6"/>
  <c r="K270" i="6"/>
  <c r="K271" i="6" s="1"/>
  <c r="N4" i="40"/>
  <c r="N4" i="37"/>
  <c r="N4" i="34"/>
  <c r="N4" i="31"/>
  <c r="N4" i="22"/>
  <c r="N10" i="21"/>
  <c r="N4" i="21"/>
  <c r="N4" i="28"/>
  <c r="N74" i="20"/>
  <c r="N32" i="20"/>
  <c r="N4" i="20"/>
  <c r="N28" i="19"/>
  <c r="N4" i="19"/>
  <c r="N10" i="17"/>
  <c r="N4" i="18"/>
  <c r="N28" i="17"/>
  <c r="N4" i="17"/>
  <c r="N4" i="16"/>
  <c r="N4" i="15"/>
  <c r="N27" i="15"/>
  <c r="N10" i="18"/>
  <c r="N40" i="15"/>
  <c r="N37" i="12"/>
  <c r="N10" i="16"/>
  <c r="N4" i="13"/>
  <c r="N60" i="12"/>
  <c r="N50" i="12"/>
  <c r="N4" i="14"/>
  <c r="N17" i="13"/>
  <c r="N32" i="12"/>
  <c r="N18" i="12"/>
  <c r="N4" i="12"/>
  <c r="N23" i="11"/>
  <c r="N25" i="13"/>
  <c r="N196" i="6"/>
  <c r="N306" i="6"/>
  <c r="N10" i="9"/>
  <c r="N325" i="6"/>
  <c r="N326" i="6" s="1"/>
  <c r="N340" i="6"/>
  <c r="N341" i="6" s="1"/>
  <c r="N290" i="6"/>
  <c r="N291" i="6" s="1"/>
  <c r="N253" i="6"/>
  <c r="N4" i="11"/>
  <c r="N330" i="6"/>
  <c r="N331" i="6" s="1"/>
  <c r="N269" i="6"/>
  <c r="N4" i="9"/>
  <c r="N4" i="7"/>
  <c r="N345" i="6"/>
  <c r="N346" i="6" s="1"/>
  <c r="N295" i="6"/>
  <c r="N296" i="6" s="1"/>
  <c r="N182" i="6"/>
  <c r="N126" i="6"/>
  <c r="N100" i="6"/>
  <c r="N46" i="6"/>
  <c r="N106" i="6"/>
  <c r="N53" i="6"/>
  <c r="N60" i="6"/>
  <c r="N16" i="10"/>
  <c r="N35" i="9"/>
  <c r="N73" i="6"/>
  <c r="N4" i="10"/>
  <c r="N4" i="8"/>
  <c r="N314" i="6"/>
  <c r="N80" i="6"/>
  <c r="N140" i="6"/>
  <c r="N66" i="6"/>
  <c r="N23" i="6"/>
  <c r="N24" i="6" s="1"/>
  <c r="N3" i="4" s="1"/>
  <c r="N93" i="6"/>
  <c r="N86" i="6"/>
  <c r="N33" i="6"/>
  <c r="N40" i="6"/>
  <c r="N4" i="6"/>
  <c r="N11" i="6"/>
  <c r="N12" i="6" s="1"/>
  <c r="O28" i="6"/>
  <c r="O4" i="4" s="1"/>
  <c r="N32" i="10"/>
  <c r="M308" i="6"/>
  <c r="J27" i="13"/>
  <c r="J29" i="13" s="1"/>
  <c r="J12" i="13"/>
  <c r="J35" i="18"/>
  <c r="J35" i="17"/>
  <c r="L61" i="20"/>
  <c r="L67" i="20" s="1"/>
  <c r="M74" i="6"/>
  <c r="M81" i="6"/>
  <c r="M87" i="6"/>
  <c r="J15" i="37" l="1"/>
  <c r="J10" i="31"/>
  <c r="K41" i="15"/>
  <c r="J13" i="17"/>
  <c r="J13" i="28"/>
  <c r="N3" i="37"/>
  <c r="N3" i="40"/>
  <c r="N3" i="34"/>
  <c r="N3" i="31"/>
  <c r="N3" i="28"/>
  <c r="N3" i="21"/>
  <c r="N3" i="22"/>
  <c r="N3" i="20"/>
  <c r="N3" i="17"/>
  <c r="N3" i="19"/>
  <c r="N3" i="18"/>
  <c r="N3" i="14"/>
  <c r="N3" i="16"/>
  <c r="N3" i="15"/>
  <c r="N3" i="13"/>
  <c r="N3" i="12"/>
  <c r="N3" i="11"/>
  <c r="N3" i="9"/>
  <c r="N3" i="7"/>
  <c r="N3" i="8"/>
  <c r="N3" i="10"/>
  <c r="N39" i="6"/>
  <c r="N99" i="6"/>
  <c r="N3" i="6"/>
  <c r="N79" i="6"/>
  <c r="N59" i="6"/>
  <c r="L8" i="34"/>
  <c r="F47" i="47" s="1"/>
  <c r="L44" i="15"/>
  <c r="J47" i="16"/>
  <c r="J33" i="16"/>
  <c r="M18" i="37"/>
  <c r="M20" i="13"/>
  <c r="M28" i="13"/>
  <c r="M55" i="12"/>
  <c r="J13" i="18"/>
  <c r="J30" i="13"/>
  <c r="J9" i="31" s="1"/>
  <c r="D24" i="47" s="1"/>
  <c r="K26" i="13"/>
  <c r="O4" i="40"/>
  <c r="O4" i="37"/>
  <c r="O4" i="34"/>
  <c r="O4" i="31"/>
  <c r="O4" i="28"/>
  <c r="O10" i="21"/>
  <c r="O74" i="20"/>
  <c r="O4" i="22"/>
  <c r="O4" i="21"/>
  <c r="O4" i="20"/>
  <c r="O32" i="20"/>
  <c r="O28" i="19"/>
  <c r="O4" i="19"/>
  <c r="O4" i="18"/>
  <c r="O10" i="18"/>
  <c r="O28" i="17"/>
  <c r="O10" i="17"/>
  <c r="O10" i="16"/>
  <c r="O4" i="15"/>
  <c r="O27" i="15"/>
  <c r="O4" i="14"/>
  <c r="O40" i="15"/>
  <c r="O4" i="16"/>
  <c r="O4" i="13"/>
  <c r="O60" i="12"/>
  <c r="O50" i="12"/>
  <c r="O32" i="12"/>
  <c r="O17" i="13"/>
  <c r="O25" i="13"/>
  <c r="O4" i="17"/>
  <c r="O18" i="12"/>
  <c r="O37" i="12"/>
  <c r="O4" i="12"/>
  <c r="O4" i="10"/>
  <c r="O23" i="11"/>
  <c r="O4" i="11"/>
  <c r="O16" i="10"/>
  <c r="O306" i="6"/>
  <c r="O10" i="9"/>
  <c r="O325" i="6"/>
  <c r="O326" i="6" s="1"/>
  <c r="O340" i="6"/>
  <c r="O341" i="6" s="1"/>
  <c r="O290" i="6"/>
  <c r="O291" i="6" s="1"/>
  <c r="O253" i="6"/>
  <c r="O330" i="6"/>
  <c r="O331" i="6" s="1"/>
  <c r="O269" i="6"/>
  <c r="O4" i="9"/>
  <c r="O4" i="7"/>
  <c r="O345" i="6"/>
  <c r="O346" i="6" s="1"/>
  <c r="O295" i="6"/>
  <c r="O296" i="6" s="1"/>
  <c r="O35" i="9"/>
  <c r="O4" i="8"/>
  <c r="O314" i="6"/>
  <c r="O126" i="6"/>
  <c r="O106" i="6"/>
  <c r="O53" i="6"/>
  <c r="O60" i="6"/>
  <c r="O66" i="6"/>
  <c r="O196" i="6"/>
  <c r="O80" i="6"/>
  <c r="O140" i="6"/>
  <c r="O86" i="6"/>
  <c r="O33" i="6"/>
  <c r="O93" i="6"/>
  <c r="O100" i="6"/>
  <c r="O40" i="6"/>
  <c r="O4" i="6"/>
  <c r="O182" i="6"/>
  <c r="O11" i="6"/>
  <c r="O12" i="6" s="1"/>
  <c r="O73" i="6"/>
  <c r="P28" i="6"/>
  <c r="P4" i="4" s="1"/>
  <c r="O46" i="6"/>
  <c r="O23" i="6"/>
  <c r="O24" i="6" s="1"/>
  <c r="O3" i="4" s="1"/>
  <c r="O32" i="10"/>
  <c r="N34" i="6"/>
  <c r="N41" i="6"/>
  <c r="N47" i="6"/>
  <c r="L197" i="6"/>
  <c r="L218" i="6"/>
  <c r="N53" i="20"/>
  <c r="N54" i="20" s="1"/>
  <c r="N58" i="20" s="1"/>
  <c r="N59" i="20"/>
  <c r="N236" i="6"/>
  <c r="N284" i="6"/>
  <c r="N285" i="6" s="1"/>
  <c r="N277" i="6"/>
  <c r="N244" i="6"/>
  <c r="N228" i="6"/>
  <c r="N177" i="6"/>
  <c r="N121" i="6"/>
  <c r="N18" i="6"/>
  <c r="N19" i="6" s="1"/>
  <c r="N2" i="4" s="1"/>
  <c r="N107" i="6"/>
  <c r="N101" i="6"/>
  <c r="N94" i="6"/>
  <c r="N14" i="37"/>
  <c r="N67" i="12"/>
  <c r="N68" i="12" s="1"/>
  <c r="N63" i="12"/>
  <c r="N54" i="12"/>
  <c r="J2" i="38"/>
  <c r="J2" i="41"/>
  <c r="J2" i="35"/>
  <c r="J2" i="32"/>
  <c r="J2" i="29"/>
  <c r="J25" i="34"/>
  <c r="K132" i="6"/>
  <c r="N13" i="37"/>
  <c r="N40" i="12"/>
  <c r="N52" i="12"/>
  <c r="N29" i="17"/>
  <c r="N14" i="17"/>
  <c r="K264" i="6"/>
  <c r="K188" i="6"/>
  <c r="K24" i="10"/>
  <c r="K26" i="10" s="1"/>
  <c r="M26" i="31"/>
  <c r="N11" i="21"/>
  <c r="M29" i="9"/>
  <c r="N81" i="6"/>
  <c r="N87" i="6"/>
  <c r="N74" i="6"/>
  <c r="J17" i="28"/>
  <c r="M2" i="40"/>
  <c r="M2" i="37"/>
  <c r="M2" i="34"/>
  <c r="M2" i="31"/>
  <c r="M2" i="28"/>
  <c r="M2" i="22"/>
  <c r="M2" i="21"/>
  <c r="M60" i="20"/>
  <c r="M61" i="20" s="1"/>
  <c r="M67" i="20" s="1"/>
  <c r="M2" i="20"/>
  <c r="M2" i="19"/>
  <c r="M2" i="18"/>
  <c r="M2" i="17"/>
  <c r="M2" i="16"/>
  <c r="M2" i="15"/>
  <c r="M2" i="14"/>
  <c r="M2" i="13"/>
  <c r="M2" i="11"/>
  <c r="M2" i="12"/>
  <c r="M2" i="8"/>
  <c r="M313" i="6"/>
  <c r="M315" i="6" s="1"/>
  <c r="M307" i="6"/>
  <c r="N308" i="6" s="1"/>
  <c r="M235" i="6"/>
  <c r="M237" i="6" s="1"/>
  <c r="M20" i="16" s="1"/>
  <c r="M2" i="10"/>
  <c r="M276" i="6"/>
  <c r="M278" i="6" s="1"/>
  <c r="M243" i="6"/>
  <c r="M245" i="6" s="1"/>
  <c r="M21" i="18" s="1"/>
  <c r="M176" i="6"/>
  <c r="M178" i="6" s="1"/>
  <c r="M183" i="6" s="1"/>
  <c r="M184" i="6" s="1"/>
  <c r="M188" i="6" s="1"/>
  <c r="M2" i="9"/>
  <c r="M170" i="6"/>
  <c r="M171" i="6" s="1"/>
  <c r="M120" i="6"/>
  <c r="M122" i="6" s="1"/>
  <c r="M127" i="6" s="1"/>
  <c r="M128" i="6" s="1"/>
  <c r="M132" i="6" s="1"/>
  <c r="M114" i="6"/>
  <c r="M115" i="6" s="1"/>
  <c r="M92" i="6"/>
  <c r="M203" i="6"/>
  <c r="M227" i="6"/>
  <c r="M229" i="6" s="1"/>
  <c r="M21" i="17" s="1"/>
  <c r="M2" i="7"/>
  <c r="M147" i="6"/>
  <c r="M52" i="6"/>
  <c r="M72" i="6"/>
  <c r="M2" i="6"/>
  <c r="M32" i="6"/>
  <c r="N9" i="37"/>
  <c r="N19" i="10"/>
  <c r="N39" i="10"/>
  <c r="N17" i="12"/>
  <c r="N13" i="21"/>
  <c r="L141" i="6"/>
  <c r="L162" i="6"/>
  <c r="L54" i="6"/>
  <c r="L67" i="6"/>
  <c r="L61" i="6"/>
  <c r="J23" i="34"/>
  <c r="J8" i="28"/>
  <c r="J19" i="16"/>
  <c r="J21" i="16" s="1"/>
  <c r="J26" i="11"/>
  <c r="J27" i="11" s="1"/>
  <c r="J34" i="16"/>
  <c r="D4" i="47" l="1"/>
  <c r="D25" i="47"/>
  <c r="J14" i="31"/>
  <c r="D29" i="47" s="1"/>
  <c r="K24" i="11"/>
  <c r="M197" i="6"/>
  <c r="M218" i="6"/>
  <c r="M54" i="6"/>
  <c r="M61" i="6"/>
  <c r="M67" i="6"/>
  <c r="K11" i="11"/>
  <c r="K12" i="11" s="1"/>
  <c r="K20" i="10"/>
  <c r="K44" i="12"/>
  <c r="K45" i="12" s="1"/>
  <c r="O53" i="20"/>
  <c r="O54" i="20" s="1"/>
  <c r="O58" i="20" s="1"/>
  <c r="O59" i="20"/>
  <c r="O284" i="6"/>
  <c r="O285" i="6" s="1"/>
  <c r="O277" i="6"/>
  <c r="O244" i="6"/>
  <c r="O228" i="6"/>
  <c r="O236" i="6"/>
  <c r="O177" i="6"/>
  <c r="O121" i="6"/>
  <c r="O18" i="6"/>
  <c r="O19" i="6" s="1"/>
  <c r="O2" i="4" s="1"/>
  <c r="O74" i="6"/>
  <c r="O87" i="6"/>
  <c r="O81" i="6"/>
  <c r="J19" i="34"/>
  <c r="D58" i="47" s="1"/>
  <c r="J12" i="16"/>
  <c r="J26" i="16"/>
  <c r="L27" i="16" s="1"/>
  <c r="O13" i="37"/>
  <c r="O52" i="12"/>
  <c r="O40" i="12"/>
  <c r="N18" i="37"/>
  <c r="N20" i="13"/>
  <c r="N28" i="13"/>
  <c r="N55" i="12"/>
  <c r="O9" i="37"/>
  <c r="O39" i="10"/>
  <c r="O17" i="12"/>
  <c r="O19" i="10"/>
  <c r="J13" i="16"/>
  <c r="O3" i="40"/>
  <c r="O3" i="37"/>
  <c r="O3" i="34"/>
  <c r="O3" i="31"/>
  <c r="O3" i="28"/>
  <c r="O3" i="21"/>
  <c r="O3" i="22"/>
  <c r="O3" i="20"/>
  <c r="O3" i="19"/>
  <c r="O3" i="18"/>
  <c r="O3" i="16"/>
  <c r="O3" i="17"/>
  <c r="O3" i="15"/>
  <c r="O3" i="14"/>
  <c r="O3" i="13"/>
  <c r="O3" i="11"/>
  <c r="O3" i="9"/>
  <c r="O3" i="7"/>
  <c r="O3" i="8"/>
  <c r="O3" i="12"/>
  <c r="O3" i="10"/>
  <c r="O99" i="6"/>
  <c r="O59" i="6"/>
  <c r="O79" i="6"/>
  <c r="O39" i="6"/>
  <c r="O3" i="6"/>
  <c r="O41" i="6"/>
  <c r="O47" i="6"/>
  <c r="O34" i="6"/>
  <c r="M270" i="6"/>
  <c r="M271" i="6" s="1"/>
  <c r="N2" i="40"/>
  <c r="N2" i="37"/>
  <c r="N2" i="34"/>
  <c r="N2" i="31"/>
  <c r="N2" i="22"/>
  <c r="N2" i="28"/>
  <c r="N2" i="21"/>
  <c r="N60" i="20"/>
  <c r="N61" i="20" s="1"/>
  <c r="N67" i="20" s="1"/>
  <c r="N2" i="20"/>
  <c r="N2" i="19"/>
  <c r="N2" i="18"/>
  <c r="N2" i="16"/>
  <c r="N2" i="17"/>
  <c r="N2" i="15"/>
  <c r="N2" i="14"/>
  <c r="N2" i="13"/>
  <c r="N2" i="12"/>
  <c r="N313" i="6"/>
  <c r="N315" i="6" s="1"/>
  <c r="N307" i="6"/>
  <c r="N235" i="6"/>
  <c r="N237" i="6" s="1"/>
  <c r="N20" i="16" s="1"/>
  <c r="N2" i="10"/>
  <c r="N276" i="6"/>
  <c r="N278" i="6" s="1"/>
  <c r="N270" i="6" s="1"/>
  <c r="N271" i="6" s="1"/>
  <c r="N264" i="6" s="1"/>
  <c r="N2" i="11"/>
  <c r="N243" i="6"/>
  <c r="N245" i="6" s="1"/>
  <c r="N21" i="18" s="1"/>
  <c r="N2" i="9"/>
  <c r="N2" i="7"/>
  <c r="N227" i="6"/>
  <c r="N229" i="6" s="1"/>
  <c r="N170" i="6"/>
  <c r="N171" i="6" s="1"/>
  <c r="N120" i="6"/>
  <c r="N122" i="6" s="1"/>
  <c r="N127" i="6" s="1"/>
  <c r="N128" i="6" s="1"/>
  <c r="N132" i="6" s="1"/>
  <c r="N114" i="6"/>
  <c r="N115" i="6" s="1"/>
  <c r="N92" i="6"/>
  <c r="N203" i="6"/>
  <c r="N52" i="6"/>
  <c r="N2" i="8"/>
  <c r="N147" i="6"/>
  <c r="N72" i="6"/>
  <c r="N176" i="6"/>
  <c r="N178" i="6" s="1"/>
  <c r="N183" i="6" s="1"/>
  <c r="N184" i="6" s="1"/>
  <c r="N188" i="6" s="1"/>
  <c r="N2" i="6"/>
  <c r="N32" i="6"/>
  <c r="O107" i="6"/>
  <c r="O94" i="6"/>
  <c r="O101" i="6"/>
  <c r="N26" i="31"/>
  <c r="O11" i="21"/>
  <c r="O13" i="21" s="1"/>
  <c r="N29" i="9"/>
  <c r="O14" i="37"/>
  <c r="O63" i="12"/>
  <c r="O54" i="12"/>
  <c r="O67" i="12"/>
  <c r="O68" i="12" s="1"/>
  <c r="J24" i="34"/>
  <c r="M162" i="6"/>
  <c r="M141" i="6"/>
  <c r="N18" i="34"/>
  <c r="H57" i="47" s="1"/>
  <c r="P4" i="40"/>
  <c r="P4" i="37"/>
  <c r="P4" i="34"/>
  <c r="P4" i="31"/>
  <c r="P4" i="28"/>
  <c r="P74" i="20"/>
  <c r="P4" i="21"/>
  <c r="P4" i="22"/>
  <c r="P4" i="20"/>
  <c r="P10" i="21"/>
  <c r="P32" i="20"/>
  <c r="P28" i="19"/>
  <c r="P4" i="18"/>
  <c r="P4" i="17"/>
  <c r="P4" i="19"/>
  <c r="P10" i="18"/>
  <c r="P10" i="17"/>
  <c r="P10" i="16"/>
  <c r="P27" i="15"/>
  <c r="P4" i="14"/>
  <c r="P40" i="15"/>
  <c r="P4" i="16"/>
  <c r="P4" i="13"/>
  <c r="P60" i="12"/>
  <c r="P4" i="15"/>
  <c r="P50" i="12"/>
  <c r="P17" i="13"/>
  <c r="P25" i="13"/>
  <c r="P37" i="12"/>
  <c r="P4" i="12"/>
  <c r="P4" i="10"/>
  <c r="P23" i="11"/>
  <c r="P4" i="11"/>
  <c r="P10" i="9"/>
  <c r="P325" i="6"/>
  <c r="P326" i="6" s="1"/>
  <c r="P340" i="6"/>
  <c r="P341" i="6" s="1"/>
  <c r="P290" i="6"/>
  <c r="P291" i="6" s="1"/>
  <c r="P253" i="6"/>
  <c r="P330" i="6"/>
  <c r="P331" i="6" s="1"/>
  <c r="P269" i="6"/>
  <c r="P4" i="9"/>
  <c r="P4" i="7"/>
  <c r="P345" i="6"/>
  <c r="P346" i="6" s="1"/>
  <c r="P295" i="6"/>
  <c r="P296" i="6" s="1"/>
  <c r="P35" i="9"/>
  <c r="P4" i="8"/>
  <c r="P314" i="6"/>
  <c r="P18" i="12"/>
  <c r="P16" i="10"/>
  <c r="P60" i="6"/>
  <c r="P66" i="6"/>
  <c r="P73" i="6"/>
  <c r="P196" i="6"/>
  <c r="P306" i="6"/>
  <c r="P140" i="6"/>
  <c r="P86" i="6"/>
  <c r="P182" i="6"/>
  <c r="P93" i="6"/>
  <c r="P40" i="6"/>
  <c r="Q28" i="6"/>
  <c r="Q4" i="4" s="1"/>
  <c r="P100" i="6"/>
  <c r="P33" i="6"/>
  <c r="P126" i="6"/>
  <c r="P4" i="6"/>
  <c r="P106" i="6"/>
  <c r="P11" i="6"/>
  <c r="P12" i="6" s="1"/>
  <c r="P80" i="6"/>
  <c r="P53" i="6"/>
  <c r="P46" i="6"/>
  <c r="P23" i="6"/>
  <c r="P24" i="6" s="1"/>
  <c r="P3" i="4" s="1"/>
  <c r="P32" i="10"/>
  <c r="O308" i="6"/>
  <c r="O14" i="17"/>
  <c r="O29" i="17"/>
  <c r="O26" i="31" l="1"/>
  <c r="P11" i="21"/>
  <c r="O29" i="9"/>
  <c r="P53" i="20"/>
  <c r="P54" i="20" s="1"/>
  <c r="P58" i="20" s="1"/>
  <c r="P59" i="20"/>
  <c r="P277" i="6"/>
  <c r="P244" i="6"/>
  <c r="P228" i="6"/>
  <c r="P236" i="6"/>
  <c r="P284" i="6"/>
  <c r="P285" i="6" s="1"/>
  <c r="P177" i="6"/>
  <c r="P121" i="6"/>
  <c r="P18" i="6"/>
  <c r="P19" i="6" s="1"/>
  <c r="P2" i="4" s="1"/>
  <c r="L28" i="16"/>
  <c r="L14" i="16"/>
  <c r="J15" i="16"/>
  <c r="P14" i="37"/>
  <c r="P63" i="12"/>
  <c r="P54" i="12"/>
  <c r="P67" i="12"/>
  <c r="P68" i="12" s="1"/>
  <c r="N162" i="6"/>
  <c r="N141" i="6"/>
  <c r="M264" i="6"/>
  <c r="O2" i="40"/>
  <c r="O2" i="37"/>
  <c r="O2" i="34"/>
  <c r="O2" i="28"/>
  <c r="O2" i="31"/>
  <c r="O2" i="21"/>
  <c r="O60" i="20"/>
  <c r="O61" i="20" s="1"/>
  <c r="O67" i="20" s="1"/>
  <c r="O2" i="20"/>
  <c r="O2" i="22"/>
  <c r="O2" i="19"/>
  <c r="O2" i="18"/>
  <c r="O2" i="17"/>
  <c r="O2" i="16"/>
  <c r="O2" i="15"/>
  <c r="O2" i="13"/>
  <c r="O2" i="12"/>
  <c r="O2" i="10"/>
  <c r="O2" i="14"/>
  <c r="O2" i="11"/>
  <c r="O235" i="6"/>
  <c r="O237" i="6" s="1"/>
  <c r="O20" i="16" s="1"/>
  <c r="O276" i="6"/>
  <c r="O278" i="6" s="1"/>
  <c r="O243" i="6"/>
  <c r="O245" i="6" s="1"/>
  <c r="O21" i="18" s="1"/>
  <c r="O2" i="9"/>
  <c r="O2" i="7"/>
  <c r="O227" i="6"/>
  <c r="O229" i="6" s="1"/>
  <c r="O21" i="17" s="1"/>
  <c r="O2" i="8"/>
  <c r="O114" i="6"/>
  <c r="O115" i="6" s="1"/>
  <c r="O307" i="6"/>
  <c r="O313" i="6"/>
  <c r="O315" i="6" s="1"/>
  <c r="O203" i="6"/>
  <c r="O52" i="6"/>
  <c r="O147" i="6"/>
  <c r="O72" i="6"/>
  <c r="O176" i="6"/>
  <c r="O178" i="6" s="1"/>
  <c r="O183" i="6" s="1"/>
  <c r="O184" i="6" s="1"/>
  <c r="O188" i="6" s="1"/>
  <c r="O120" i="6"/>
  <c r="O122" i="6" s="1"/>
  <c r="O127" i="6" s="1"/>
  <c r="O128" i="6" s="1"/>
  <c r="O132" i="6" s="1"/>
  <c r="O170" i="6"/>
  <c r="O171" i="6" s="1"/>
  <c r="O2" i="6"/>
  <c r="O92" i="6"/>
  <c r="O32" i="6"/>
  <c r="K16" i="37"/>
  <c r="K62" i="12"/>
  <c r="K64" i="12" s="1"/>
  <c r="K53" i="12"/>
  <c r="K56" i="12" s="1"/>
  <c r="P3" i="40"/>
  <c r="P3" i="37"/>
  <c r="P3" i="34"/>
  <c r="P3" i="31"/>
  <c r="P3" i="28"/>
  <c r="P3" i="22"/>
  <c r="P3" i="21"/>
  <c r="P3" i="20"/>
  <c r="P3" i="19"/>
  <c r="P3" i="18"/>
  <c r="P3" i="16"/>
  <c r="P3" i="17"/>
  <c r="P3" i="15"/>
  <c r="P3" i="14"/>
  <c r="P3" i="11"/>
  <c r="P3" i="13"/>
  <c r="P3" i="12"/>
  <c r="P3" i="10"/>
  <c r="P3" i="9"/>
  <c r="P3" i="7"/>
  <c r="P3" i="8"/>
  <c r="P59" i="6"/>
  <c r="P79" i="6"/>
  <c r="P99" i="6"/>
  <c r="P39" i="6"/>
  <c r="P3" i="6"/>
  <c r="P308" i="6"/>
  <c r="N218" i="6"/>
  <c r="N197" i="6"/>
  <c r="P13" i="21"/>
  <c r="N21" i="17"/>
  <c r="K16" i="19"/>
  <c r="K17" i="19" s="1"/>
  <c r="K42" i="15"/>
  <c r="K20" i="15"/>
  <c r="K25" i="11"/>
  <c r="P9" i="37"/>
  <c r="P39" i="10"/>
  <c r="P17" i="12"/>
  <c r="P19" i="10"/>
  <c r="P74" i="6"/>
  <c r="P81" i="6"/>
  <c r="P87" i="6"/>
  <c r="O18" i="34"/>
  <c r="I57" i="47" s="1"/>
  <c r="Q4" i="40"/>
  <c r="Q4" i="37"/>
  <c r="Q4" i="34"/>
  <c r="Q4" i="31"/>
  <c r="Q4" i="28"/>
  <c r="Q4" i="21"/>
  <c r="Q4" i="22"/>
  <c r="Q10" i="21"/>
  <c r="Q4" i="20"/>
  <c r="Q74" i="20"/>
  <c r="Q28" i="19"/>
  <c r="Q4" i="19"/>
  <c r="Q32" i="20"/>
  <c r="Q4" i="18"/>
  <c r="Q10" i="18"/>
  <c r="Q10" i="17"/>
  <c r="Q10" i="16"/>
  <c r="Q4" i="17"/>
  <c r="Q4" i="16"/>
  <c r="Q4" i="14"/>
  <c r="Q40" i="15"/>
  <c r="Q4" i="15"/>
  <c r="Q50" i="12"/>
  <c r="Q27" i="15"/>
  <c r="Q17" i="13"/>
  <c r="Q25" i="13"/>
  <c r="Q4" i="12"/>
  <c r="Q4" i="10"/>
  <c r="Q37" i="12"/>
  <c r="Q23" i="11"/>
  <c r="Q4" i="11"/>
  <c r="Q60" i="12"/>
  <c r="Q18" i="12"/>
  <c r="Q340" i="6"/>
  <c r="Q341" i="6" s="1"/>
  <c r="Q290" i="6"/>
  <c r="Q291" i="6" s="1"/>
  <c r="Q253" i="6"/>
  <c r="Q4" i="13"/>
  <c r="Q330" i="6"/>
  <c r="Q331" i="6" s="1"/>
  <c r="Q269" i="6"/>
  <c r="Q4" i="9"/>
  <c r="Q4" i="7"/>
  <c r="Q345" i="6"/>
  <c r="Q346" i="6" s="1"/>
  <c r="Q295" i="6"/>
  <c r="Q296" i="6" s="1"/>
  <c r="Q35" i="9"/>
  <c r="Q4" i="8"/>
  <c r="Q314" i="6"/>
  <c r="Q16" i="10"/>
  <c r="Q306" i="6"/>
  <c r="Q66" i="6"/>
  <c r="Q73" i="6"/>
  <c r="Q10" i="9"/>
  <c r="Q196" i="6"/>
  <c r="Q80" i="6"/>
  <c r="Q325" i="6"/>
  <c r="Q326" i="6" s="1"/>
  <c r="Q140" i="6"/>
  <c r="Q182" i="6"/>
  <c r="Q93" i="6"/>
  <c r="Q126" i="6"/>
  <c r="Q100" i="6"/>
  <c r="Q46" i="6"/>
  <c r="Q86" i="6"/>
  <c r="Q40" i="6"/>
  <c r="Q4" i="6"/>
  <c r="Q106" i="6"/>
  <c r="Q11" i="6"/>
  <c r="Q12" i="6" s="1"/>
  <c r="Q53" i="6"/>
  <c r="R28" i="6"/>
  <c r="R4" i="4" s="1"/>
  <c r="Q23" i="6"/>
  <c r="Q24" i="6" s="1"/>
  <c r="Q3" i="4" s="1"/>
  <c r="Q60" i="6"/>
  <c r="Q33" i="6"/>
  <c r="Q32" i="10"/>
  <c r="P41" i="6"/>
  <c r="P47" i="6"/>
  <c r="P34" i="6"/>
  <c r="N54" i="6"/>
  <c r="N61" i="6"/>
  <c r="N67" i="6"/>
  <c r="P94" i="6"/>
  <c r="P101" i="6"/>
  <c r="P107" i="6"/>
  <c r="O18" i="37"/>
  <c r="O28" i="13"/>
  <c r="O55" i="12"/>
  <c r="O20" i="13"/>
  <c r="R4" i="40" l="1"/>
  <c r="R4" i="37"/>
  <c r="R4" i="34"/>
  <c r="R4" i="31"/>
  <c r="R4" i="28"/>
  <c r="R4" i="21"/>
  <c r="R10" i="21"/>
  <c r="R74" i="20"/>
  <c r="R32" i="20"/>
  <c r="R4" i="22"/>
  <c r="R4" i="20"/>
  <c r="R28" i="19"/>
  <c r="R4" i="17"/>
  <c r="R10" i="18"/>
  <c r="R4" i="19"/>
  <c r="R10" i="17"/>
  <c r="R10" i="16"/>
  <c r="R4" i="18"/>
  <c r="R4" i="14"/>
  <c r="R40" i="15"/>
  <c r="R4" i="16"/>
  <c r="R4" i="15"/>
  <c r="R27" i="15"/>
  <c r="R17" i="13"/>
  <c r="R25" i="13"/>
  <c r="R4" i="13"/>
  <c r="R60" i="12"/>
  <c r="R4" i="12"/>
  <c r="R37" i="12"/>
  <c r="R23" i="11"/>
  <c r="R4" i="11"/>
  <c r="R16" i="10"/>
  <c r="R18" i="12"/>
  <c r="R253" i="6"/>
  <c r="R330" i="6"/>
  <c r="R331" i="6" s="1"/>
  <c r="R269" i="6"/>
  <c r="R4" i="9"/>
  <c r="R4" i="7"/>
  <c r="R345" i="6"/>
  <c r="R346" i="6" s="1"/>
  <c r="R295" i="6"/>
  <c r="R296" i="6" s="1"/>
  <c r="R35" i="9"/>
  <c r="R4" i="8"/>
  <c r="R314" i="6"/>
  <c r="R306" i="6"/>
  <c r="R50" i="12"/>
  <c r="R4" i="10"/>
  <c r="R10" i="9"/>
  <c r="R325" i="6"/>
  <c r="R326" i="6" s="1"/>
  <c r="R73" i="6"/>
  <c r="R196" i="6"/>
  <c r="R80" i="6"/>
  <c r="R140" i="6"/>
  <c r="R86" i="6"/>
  <c r="R33" i="6"/>
  <c r="R290" i="6"/>
  <c r="R291" i="6" s="1"/>
  <c r="R182" i="6"/>
  <c r="R126" i="6"/>
  <c r="R100" i="6"/>
  <c r="R46" i="6"/>
  <c r="R106" i="6"/>
  <c r="R53" i="6"/>
  <c r="R340" i="6"/>
  <c r="R341" i="6" s="1"/>
  <c r="R40" i="6"/>
  <c r="R4" i="6"/>
  <c r="R11" i="6"/>
  <c r="R12" i="6" s="1"/>
  <c r="S28" i="6"/>
  <c r="S4" i="4" s="1"/>
  <c r="R23" i="6"/>
  <c r="R24" i="6" s="1"/>
  <c r="R3" i="4" s="1"/>
  <c r="R60" i="6"/>
  <c r="R93" i="6"/>
  <c r="R66" i="6"/>
  <c r="R32" i="10"/>
  <c r="K15" i="37"/>
  <c r="L51" i="12"/>
  <c r="O61" i="6"/>
  <c r="O67" i="6"/>
  <c r="O54" i="6"/>
  <c r="O270" i="6"/>
  <c r="O271" i="6" s="1"/>
  <c r="P26" i="31"/>
  <c r="Q11" i="21"/>
  <c r="Q13" i="21" s="1"/>
  <c r="P29" i="9"/>
  <c r="K17" i="37"/>
  <c r="L61" i="12"/>
  <c r="K17" i="11"/>
  <c r="K18" i="11" s="1"/>
  <c r="O218" i="6"/>
  <c r="O197" i="6"/>
  <c r="P2" i="40"/>
  <c r="P2" i="37"/>
  <c r="P2" i="34"/>
  <c r="P2" i="31"/>
  <c r="P2" i="28"/>
  <c r="P2" i="21"/>
  <c r="P2" i="22"/>
  <c r="P60" i="20"/>
  <c r="P2" i="20"/>
  <c r="P2" i="18"/>
  <c r="P2" i="19"/>
  <c r="P2" i="17"/>
  <c r="P2" i="16"/>
  <c r="P2" i="14"/>
  <c r="P2" i="15"/>
  <c r="P2" i="13"/>
  <c r="P2" i="12"/>
  <c r="P2" i="10"/>
  <c r="P2" i="11"/>
  <c r="P276" i="6"/>
  <c r="P278" i="6" s="1"/>
  <c r="P270" i="6" s="1"/>
  <c r="P271" i="6" s="1"/>
  <c r="P264" i="6" s="1"/>
  <c r="P243" i="6"/>
  <c r="P245" i="6" s="1"/>
  <c r="P21" i="18" s="1"/>
  <c r="P2" i="9"/>
  <c r="P2" i="7"/>
  <c r="P2" i="8"/>
  <c r="P313" i="6"/>
  <c r="P315" i="6" s="1"/>
  <c r="P307" i="6"/>
  <c r="P235" i="6"/>
  <c r="P237" i="6" s="1"/>
  <c r="P20" i="16" s="1"/>
  <c r="P203" i="6"/>
  <c r="P52" i="6"/>
  <c r="P147" i="6"/>
  <c r="P227" i="6"/>
  <c r="P229" i="6" s="1"/>
  <c r="P176" i="6"/>
  <c r="P178" i="6" s="1"/>
  <c r="P183" i="6" s="1"/>
  <c r="P184" i="6" s="1"/>
  <c r="P170" i="6"/>
  <c r="P171" i="6" s="1"/>
  <c r="P120" i="6"/>
  <c r="P122" i="6" s="1"/>
  <c r="P127" i="6" s="1"/>
  <c r="P128" i="6" s="1"/>
  <c r="P32" i="6"/>
  <c r="P114" i="6"/>
  <c r="P115" i="6" s="1"/>
  <c r="P72" i="6"/>
  <c r="P2" i="6"/>
  <c r="P92" i="6"/>
  <c r="Q34" i="6"/>
  <c r="Q47" i="6"/>
  <c r="Q41" i="6"/>
  <c r="O162" i="6"/>
  <c r="O141" i="6"/>
  <c r="P18" i="37"/>
  <c r="P55" i="12"/>
  <c r="P20" i="13"/>
  <c r="P28" i="13"/>
  <c r="P61" i="20"/>
  <c r="P67" i="20" s="1"/>
  <c r="Q59" i="20"/>
  <c r="Q53" i="20"/>
  <c r="Q54" i="20" s="1"/>
  <c r="Q58" i="20" s="1"/>
  <c r="Q244" i="6"/>
  <c r="Q228" i="6"/>
  <c r="Q236" i="6"/>
  <c r="Q284" i="6"/>
  <c r="Q285" i="6" s="1"/>
  <c r="Q177" i="6"/>
  <c r="Q121" i="6"/>
  <c r="Q277" i="6"/>
  <c r="Q18" i="6"/>
  <c r="Q19" i="6" s="1"/>
  <c r="Q2" i="4" s="1"/>
  <c r="Q101" i="6"/>
  <c r="Q107" i="6"/>
  <c r="Q94" i="6"/>
  <c r="Q9" i="37"/>
  <c r="Q39" i="10"/>
  <c r="Q17" i="12"/>
  <c r="Q19" i="10"/>
  <c r="Q308" i="6"/>
  <c r="Q14" i="37"/>
  <c r="Q63" i="12"/>
  <c r="Q54" i="12"/>
  <c r="Q67" i="12"/>
  <c r="Q68" i="12" s="1"/>
  <c r="J17" i="31"/>
  <c r="D32" i="47" s="1"/>
  <c r="K11" i="16"/>
  <c r="L20" i="34"/>
  <c r="F59" i="47" s="1"/>
  <c r="Q3" i="40"/>
  <c r="Q3" i="37"/>
  <c r="Q3" i="34"/>
  <c r="Q3" i="31"/>
  <c r="Q3" i="28"/>
  <c r="Q3" i="22"/>
  <c r="Q3" i="21"/>
  <c r="Q3" i="20"/>
  <c r="Q3" i="19"/>
  <c r="Q3" i="18"/>
  <c r="Q3" i="17"/>
  <c r="Q3" i="16"/>
  <c r="Q3" i="15"/>
  <c r="Q3" i="14"/>
  <c r="Q3" i="13"/>
  <c r="Q3" i="11"/>
  <c r="Q3" i="12"/>
  <c r="Q3" i="8"/>
  <c r="Q3" i="10"/>
  <c r="Q3" i="9"/>
  <c r="Q59" i="6"/>
  <c r="Q3" i="7"/>
  <c r="Q39" i="6"/>
  <c r="Q79" i="6"/>
  <c r="Q99" i="6"/>
  <c r="Q3" i="6"/>
  <c r="Q74" i="6"/>
  <c r="Q81" i="6"/>
  <c r="Q87" i="6"/>
  <c r="K21" i="19"/>
  <c r="K43" i="15"/>
  <c r="K45" i="15" s="1"/>
  <c r="K21" i="15"/>
  <c r="M22" i="15" s="1"/>
  <c r="Q26" i="31" l="1"/>
  <c r="R11" i="21"/>
  <c r="Q29" i="9"/>
  <c r="M8" i="34"/>
  <c r="G47" i="47" s="1"/>
  <c r="M44" i="15"/>
  <c r="K10" i="31"/>
  <c r="L41" i="15"/>
  <c r="P141" i="6"/>
  <c r="P162" i="6"/>
  <c r="O264" i="6"/>
  <c r="L24" i="10"/>
  <c r="L26" i="10" s="1"/>
  <c r="R94" i="6"/>
  <c r="R107" i="6"/>
  <c r="R101" i="6"/>
  <c r="Q18" i="37"/>
  <c r="Q55" i="12"/>
  <c r="Q20" i="13"/>
  <c r="Q28" i="13"/>
  <c r="P132" i="6"/>
  <c r="Q2" i="40"/>
  <c r="Q2" i="37"/>
  <c r="Q2" i="34"/>
  <c r="Q2" i="31"/>
  <c r="Q2" i="28"/>
  <c r="Q2" i="21"/>
  <c r="Q2" i="22"/>
  <c r="Q60" i="20"/>
  <c r="Q2" i="19"/>
  <c r="Q2" i="20"/>
  <c r="Q2" i="18"/>
  <c r="Q2" i="17"/>
  <c r="Q2" i="16"/>
  <c r="Q2" i="14"/>
  <c r="Q2" i="15"/>
  <c r="Q2" i="12"/>
  <c r="Q2" i="10"/>
  <c r="Q2" i="11"/>
  <c r="Q2" i="13"/>
  <c r="Q276" i="6"/>
  <c r="Q278" i="6" s="1"/>
  <c r="Q270" i="6" s="1"/>
  <c r="Q271" i="6" s="1"/>
  <c r="Q264" i="6" s="1"/>
  <c r="Q243" i="6"/>
  <c r="Q245" i="6" s="1"/>
  <c r="Q21" i="18" s="1"/>
  <c r="Q2" i="9"/>
  <c r="Q2" i="7"/>
  <c r="Q227" i="6"/>
  <c r="Q229" i="6" s="1"/>
  <c r="Q21" i="17" s="1"/>
  <c r="Q203" i="6"/>
  <c r="Q2" i="8"/>
  <c r="Q313" i="6"/>
  <c r="Q315" i="6" s="1"/>
  <c r="Q307" i="6"/>
  <c r="Q235" i="6"/>
  <c r="Q237" i="6" s="1"/>
  <c r="Q20" i="16" s="1"/>
  <c r="Q147" i="6"/>
  <c r="Q72" i="6"/>
  <c r="Q176" i="6"/>
  <c r="Q178" i="6" s="1"/>
  <c r="Q183" i="6" s="1"/>
  <c r="Q184" i="6" s="1"/>
  <c r="Q188" i="6" s="1"/>
  <c r="Q170" i="6"/>
  <c r="Q171" i="6" s="1"/>
  <c r="Q120" i="6"/>
  <c r="Q122" i="6" s="1"/>
  <c r="Q127" i="6" s="1"/>
  <c r="Q128" i="6" s="1"/>
  <c r="Q132" i="6" s="1"/>
  <c r="Q114" i="6"/>
  <c r="Q115" i="6" s="1"/>
  <c r="Q92" i="6"/>
  <c r="Q52" i="6"/>
  <c r="Q32" i="6"/>
  <c r="Q2" i="6"/>
  <c r="Q61" i="20"/>
  <c r="Q67" i="20" s="1"/>
  <c r="P218" i="6"/>
  <c r="P197" i="6"/>
  <c r="P67" i="6"/>
  <c r="P61" i="6"/>
  <c r="P54" i="6"/>
  <c r="R3" i="40"/>
  <c r="R3" i="37"/>
  <c r="R3" i="34"/>
  <c r="R3" i="31"/>
  <c r="R3" i="22"/>
  <c r="R3" i="28"/>
  <c r="R3" i="21"/>
  <c r="R3" i="19"/>
  <c r="R3" i="20"/>
  <c r="R3" i="18"/>
  <c r="R3" i="16"/>
  <c r="R3" i="17"/>
  <c r="R3" i="15"/>
  <c r="R3" i="14"/>
  <c r="R3" i="13"/>
  <c r="R3" i="12"/>
  <c r="R3" i="10"/>
  <c r="R3" i="11"/>
  <c r="R3" i="9"/>
  <c r="R3" i="7"/>
  <c r="R79" i="6"/>
  <c r="R3" i="8"/>
  <c r="R99" i="6"/>
  <c r="R59" i="6"/>
  <c r="R39" i="6"/>
  <c r="R3" i="6"/>
  <c r="R308" i="6"/>
  <c r="P188" i="6"/>
  <c r="S4" i="40"/>
  <c r="S4" i="37"/>
  <c r="S4" i="34"/>
  <c r="S4" i="31"/>
  <c r="S4" i="28"/>
  <c r="S4" i="21"/>
  <c r="S4" i="22"/>
  <c r="S4" i="20"/>
  <c r="S32" i="20"/>
  <c r="S10" i="21"/>
  <c r="S74" i="20"/>
  <c r="S4" i="19"/>
  <c r="S28" i="19"/>
  <c r="S10" i="18"/>
  <c r="S4" i="18"/>
  <c r="S4" i="16"/>
  <c r="S4" i="17"/>
  <c r="S40" i="15"/>
  <c r="S10" i="17"/>
  <c r="S4" i="15"/>
  <c r="S27" i="15"/>
  <c r="S10" i="16"/>
  <c r="S17" i="13"/>
  <c r="S25" i="13"/>
  <c r="S4" i="14"/>
  <c r="S37" i="12"/>
  <c r="S4" i="13"/>
  <c r="S60" i="12"/>
  <c r="S50" i="12"/>
  <c r="S23" i="11"/>
  <c r="S4" i="11"/>
  <c r="S16" i="10"/>
  <c r="S18" i="12"/>
  <c r="S330" i="6"/>
  <c r="S331" i="6" s="1"/>
  <c r="S269" i="6"/>
  <c r="S4" i="9"/>
  <c r="S4" i="7"/>
  <c r="S345" i="6"/>
  <c r="S346" i="6" s="1"/>
  <c r="S295" i="6"/>
  <c r="S296" i="6" s="1"/>
  <c r="S35" i="9"/>
  <c r="S4" i="8"/>
  <c r="S314" i="6"/>
  <c r="S4" i="12"/>
  <c r="S196" i="6"/>
  <c r="S306" i="6"/>
  <c r="S4" i="10"/>
  <c r="S10" i="9"/>
  <c r="S325" i="6"/>
  <c r="S326" i="6" s="1"/>
  <c r="S340" i="6"/>
  <c r="S341" i="6" s="1"/>
  <c r="S290" i="6"/>
  <c r="S291" i="6" s="1"/>
  <c r="S253" i="6"/>
  <c r="S80" i="6"/>
  <c r="S140" i="6"/>
  <c r="S86" i="6"/>
  <c r="S33" i="6"/>
  <c r="S182" i="6"/>
  <c r="S93" i="6"/>
  <c r="S40" i="6"/>
  <c r="T28" i="6"/>
  <c r="T4" i="4" s="1"/>
  <c r="S126" i="6"/>
  <c r="S106" i="6"/>
  <c r="S53" i="6"/>
  <c r="S60" i="6"/>
  <c r="S11" i="6"/>
  <c r="S12" i="6" s="1"/>
  <c r="S23" i="6"/>
  <c r="S24" i="6" s="1"/>
  <c r="S3" i="4" s="1"/>
  <c r="S73" i="6"/>
  <c r="S46" i="6"/>
  <c r="S66" i="6"/>
  <c r="S100" i="6"/>
  <c r="S4" i="6"/>
  <c r="S32" i="10"/>
  <c r="R81" i="6"/>
  <c r="R87" i="6"/>
  <c r="R74" i="6"/>
  <c r="P21" i="17"/>
  <c r="K8" i="28"/>
  <c r="K19" i="16"/>
  <c r="K21" i="16" s="1"/>
  <c r="K26" i="11"/>
  <c r="K27" i="11" s="1"/>
  <c r="R13" i="21"/>
  <c r="R59" i="20"/>
  <c r="R53" i="20"/>
  <c r="R54" i="20" s="1"/>
  <c r="R58" i="20" s="1"/>
  <c r="R228" i="6"/>
  <c r="R236" i="6"/>
  <c r="R284" i="6"/>
  <c r="R285" i="6" s="1"/>
  <c r="R277" i="6"/>
  <c r="R177" i="6"/>
  <c r="R121" i="6"/>
  <c r="R244" i="6"/>
  <c r="R18" i="6"/>
  <c r="R19" i="6" s="1"/>
  <c r="R2" i="4" s="1"/>
  <c r="R14" i="37"/>
  <c r="R63" i="12"/>
  <c r="R54" i="12"/>
  <c r="R67" i="12"/>
  <c r="R68" i="12" s="1"/>
  <c r="K39" i="16"/>
  <c r="K40" i="16" s="1"/>
  <c r="R9" i="37"/>
  <c r="R17" i="12"/>
  <c r="R19" i="10"/>
  <c r="R39" i="10"/>
  <c r="R34" i="6"/>
  <c r="R41" i="6"/>
  <c r="R47" i="6"/>
  <c r="E4" i="47" l="1"/>
  <c r="E25" i="47"/>
  <c r="S34" i="6"/>
  <c r="S41" i="6"/>
  <c r="S47" i="6"/>
  <c r="K14" i="31"/>
  <c r="E29" i="47" s="1"/>
  <c r="L24" i="11"/>
  <c r="S94" i="6"/>
  <c r="S101" i="6"/>
  <c r="S107" i="6"/>
  <c r="Q218" i="6"/>
  <c r="Q197" i="6"/>
  <c r="K19" i="34"/>
  <c r="E58" i="47" s="1"/>
  <c r="K12" i="16"/>
  <c r="K26" i="16"/>
  <c r="M27" i="16" s="1"/>
  <c r="K32" i="16"/>
  <c r="K41" i="16"/>
  <c r="K45" i="16"/>
  <c r="K46" i="16" s="1"/>
  <c r="R26" i="31"/>
  <c r="S11" i="21"/>
  <c r="S13" i="21" s="1"/>
  <c r="R29" i="9"/>
  <c r="T4" i="40"/>
  <c r="T4" i="37"/>
  <c r="T4" i="34"/>
  <c r="T4" i="31"/>
  <c r="T4" i="28"/>
  <c r="T4" i="22"/>
  <c r="T10" i="21"/>
  <c r="T32" i="20"/>
  <c r="T4" i="21"/>
  <c r="T74" i="20"/>
  <c r="T4" i="20"/>
  <c r="T4" i="19"/>
  <c r="T28" i="19"/>
  <c r="T10" i="18"/>
  <c r="T10" i="17"/>
  <c r="T4" i="18"/>
  <c r="T4" i="16"/>
  <c r="T4" i="17"/>
  <c r="T40" i="15"/>
  <c r="T4" i="15"/>
  <c r="T27" i="15"/>
  <c r="T10" i="16"/>
  <c r="T17" i="13"/>
  <c r="T25" i="13"/>
  <c r="T4" i="14"/>
  <c r="T37" i="12"/>
  <c r="T50" i="12"/>
  <c r="T23" i="11"/>
  <c r="T4" i="11"/>
  <c r="T16" i="10"/>
  <c r="T18" i="12"/>
  <c r="T60" i="12"/>
  <c r="T4" i="13"/>
  <c r="T4" i="12"/>
  <c r="T4" i="10"/>
  <c r="T4" i="9"/>
  <c r="T4" i="7"/>
  <c r="T345" i="6"/>
  <c r="T346" i="6" s="1"/>
  <c r="T295" i="6"/>
  <c r="T296" i="6" s="1"/>
  <c r="T35" i="9"/>
  <c r="T4" i="8"/>
  <c r="T314" i="6"/>
  <c r="T306" i="6"/>
  <c r="T10" i="9"/>
  <c r="T325" i="6"/>
  <c r="T326" i="6" s="1"/>
  <c r="T340" i="6"/>
  <c r="T341" i="6" s="1"/>
  <c r="T290" i="6"/>
  <c r="T291" i="6" s="1"/>
  <c r="T253" i="6"/>
  <c r="T196" i="6"/>
  <c r="T140" i="6"/>
  <c r="T86" i="6"/>
  <c r="T33" i="6"/>
  <c r="T182" i="6"/>
  <c r="T93" i="6"/>
  <c r="T40" i="6"/>
  <c r="T126" i="6"/>
  <c r="T100" i="6"/>
  <c r="T46" i="6"/>
  <c r="T269" i="6"/>
  <c r="T60" i="6"/>
  <c r="T66" i="6"/>
  <c r="T330" i="6"/>
  <c r="T331" i="6" s="1"/>
  <c r="T106" i="6"/>
  <c r="T23" i="6"/>
  <c r="T24" i="6" s="1"/>
  <c r="T3" i="4" s="1"/>
  <c r="U28" i="6"/>
  <c r="U4" i="4" s="1"/>
  <c r="T73" i="6"/>
  <c r="T53" i="6"/>
  <c r="T80" i="6"/>
  <c r="T4" i="6"/>
  <c r="T11" i="6"/>
  <c r="T12" i="6" s="1"/>
  <c r="T32" i="10"/>
  <c r="R2" i="40"/>
  <c r="R2" i="37"/>
  <c r="R2" i="34"/>
  <c r="R2" i="31"/>
  <c r="R2" i="28"/>
  <c r="R2" i="21"/>
  <c r="R2" i="22"/>
  <c r="R60" i="20"/>
  <c r="R2" i="20"/>
  <c r="R2" i="19"/>
  <c r="R2" i="17"/>
  <c r="R2" i="18"/>
  <c r="R2" i="16"/>
  <c r="R2" i="14"/>
  <c r="R2" i="15"/>
  <c r="R2" i="13"/>
  <c r="R2" i="12"/>
  <c r="R2" i="11"/>
  <c r="R243" i="6"/>
  <c r="R245" i="6" s="1"/>
  <c r="R21" i="18" s="1"/>
  <c r="R2" i="10"/>
  <c r="R2" i="9"/>
  <c r="R2" i="7"/>
  <c r="R227" i="6"/>
  <c r="R229" i="6" s="1"/>
  <c r="R21" i="17" s="1"/>
  <c r="R203" i="6"/>
  <c r="R2" i="8"/>
  <c r="R313" i="6"/>
  <c r="R315" i="6" s="1"/>
  <c r="R307" i="6"/>
  <c r="S308" i="6" s="1"/>
  <c r="R235" i="6"/>
  <c r="R237" i="6" s="1"/>
  <c r="R20" i="16" s="1"/>
  <c r="R147" i="6"/>
  <c r="R72" i="6"/>
  <c r="R276" i="6"/>
  <c r="R278" i="6" s="1"/>
  <c r="R270" i="6" s="1"/>
  <c r="R271" i="6" s="1"/>
  <c r="R264" i="6" s="1"/>
  <c r="R176" i="6"/>
  <c r="R178" i="6" s="1"/>
  <c r="R183" i="6" s="1"/>
  <c r="R184" i="6" s="1"/>
  <c r="R188" i="6" s="1"/>
  <c r="R170" i="6"/>
  <c r="R171" i="6" s="1"/>
  <c r="R120" i="6"/>
  <c r="R122" i="6" s="1"/>
  <c r="R127" i="6" s="1"/>
  <c r="R128" i="6" s="1"/>
  <c r="R132" i="6" s="1"/>
  <c r="R114" i="6"/>
  <c r="R115" i="6" s="1"/>
  <c r="R92" i="6"/>
  <c r="R52" i="6"/>
  <c r="R2" i="6"/>
  <c r="R32" i="6"/>
  <c r="R61" i="20"/>
  <c r="R67" i="20" s="1"/>
  <c r="S3" i="40"/>
  <c r="S3" i="37"/>
  <c r="S3" i="34"/>
  <c r="S3" i="28"/>
  <c r="S3" i="31"/>
  <c r="S3" i="21"/>
  <c r="S3" i="20"/>
  <c r="S3" i="22"/>
  <c r="S3" i="19"/>
  <c r="S3" i="18"/>
  <c r="S3" i="17"/>
  <c r="S3" i="15"/>
  <c r="S3" i="16"/>
  <c r="S3" i="14"/>
  <c r="S3" i="13"/>
  <c r="S3" i="12"/>
  <c r="S3" i="10"/>
  <c r="S3" i="11"/>
  <c r="S3" i="9"/>
  <c r="S3" i="7"/>
  <c r="S3" i="8"/>
  <c r="S79" i="6"/>
  <c r="S99" i="6"/>
  <c r="S59" i="6"/>
  <c r="S39" i="6"/>
  <c r="S3" i="6"/>
  <c r="S87" i="6"/>
  <c r="S74" i="6"/>
  <c r="S81" i="6"/>
  <c r="L44" i="12"/>
  <c r="L45" i="12" s="1"/>
  <c r="L11" i="11"/>
  <c r="L12" i="11" s="1"/>
  <c r="L20" i="10"/>
  <c r="R18" i="37"/>
  <c r="R20" i="13"/>
  <c r="R28" i="13"/>
  <c r="R55" i="12"/>
  <c r="S9" i="37"/>
  <c r="S17" i="12"/>
  <c r="S39" i="10"/>
  <c r="S19" i="10"/>
  <c r="S53" i="20"/>
  <c r="S54" i="20" s="1"/>
  <c r="S58" i="20" s="1"/>
  <c r="S59" i="20"/>
  <c r="S228" i="6"/>
  <c r="S236" i="6"/>
  <c r="S284" i="6"/>
  <c r="S285" i="6" s="1"/>
  <c r="S277" i="6"/>
  <c r="S244" i="6"/>
  <c r="S177" i="6"/>
  <c r="S121" i="6"/>
  <c r="S18" i="6"/>
  <c r="S19" i="6" s="1"/>
  <c r="S2" i="4" s="1"/>
  <c r="S14" i="37"/>
  <c r="S67" i="12"/>
  <c r="S68" i="12" s="1"/>
  <c r="S63" i="12"/>
  <c r="S54" i="12"/>
  <c r="Q141" i="6"/>
  <c r="Q162" i="6"/>
  <c r="Q54" i="6"/>
  <c r="Q61" i="6"/>
  <c r="Q67" i="6"/>
  <c r="S26" i="31" l="1"/>
  <c r="T11" i="21"/>
  <c r="S29" i="9"/>
  <c r="S18" i="37"/>
  <c r="S20" i="13"/>
  <c r="S28" i="13"/>
  <c r="S55" i="12"/>
  <c r="L16" i="19"/>
  <c r="L17" i="19" s="1"/>
  <c r="L42" i="15"/>
  <c r="L20" i="15"/>
  <c r="L25" i="11"/>
  <c r="R141" i="6"/>
  <c r="R162" i="6"/>
  <c r="T74" i="6"/>
  <c r="T81" i="6"/>
  <c r="T87" i="6"/>
  <c r="T94" i="6"/>
  <c r="T101" i="6"/>
  <c r="T107" i="6"/>
  <c r="T14" i="37"/>
  <c r="T67" i="12"/>
  <c r="T68" i="12" s="1"/>
  <c r="T63" i="12"/>
  <c r="T54" i="12"/>
  <c r="S2" i="40"/>
  <c r="S2" i="37"/>
  <c r="S2" i="34"/>
  <c r="S2" i="28"/>
  <c r="S2" i="31"/>
  <c r="S2" i="21"/>
  <c r="S2" i="22"/>
  <c r="S2" i="20"/>
  <c r="S60" i="20"/>
  <c r="S61" i="20" s="1"/>
  <c r="S67" i="20" s="1"/>
  <c r="S2" i="19"/>
  <c r="S2" i="18"/>
  <c r="S2" i="17"/>
  <c r="S2" i="16"/>
  <c r="S2" i="15"/>
  <c r="S2" i="13"/>
  <c r="S2" i="14"/>
  <c r="S2" i="11"/>
  <c r="S2" i="10"/>
  <c r="S2" i="9"/>
  <c r="S2" i="7"/>
  <c r="S227" i="6"/>
  <c r="S229" i="6" s="1"/>
  <c r="S21" i="17" s="1"/>
  <c r="S203" i="6"/>
  <c r="S2" i="12"/>
  <c r="S2" i="8"/>
  <c r="S313" i="6"/>
  <c r="S315" i="6" s="1"/>
  <c r="S307" i="6"/>
  <c r="S235" i="6"/>
  <c r="S237" i="6" s="1"/>
  <c r="S20" i="16" s="1"/>
  <c r="S276" i="6"/>
  <c r="S278" i="6" s="1"/>
  <c r="S270" i="6" s="1"/>
  <c r="S271" i="6" s="1"/>
  <c r="S264" i="6" s="1"/>
  <c r="S147" i="6"/>
  <c r="S72" i="6"/>
  <c r="S243" i="6"/>
  <c r="S245" i="6" s="1"/>
  <c r="S21" i="18" s="1"/>
  <c r="S176" i="6"/>
  <c r="S178" i="6" s="1"/>
  <c r="S183" i="6" s="1"/>
  <c r="S184" i="6" s="1"/>
  <c r="S188" i="6" s="1"/>
  <c r="S170" i="6"/>
  <c r="S171" i="6" s="1"/>
  <c r="S120" i="6"/>
  <c r="S122" i="6" s="1"/>
  <c r="S127" i="6" s="1"/>
  <c r="S128" i="6" s="1"/>
  <c r="S132" i="6" s="1"/>
  <c r="S32" i="6"/>
  <c r="S52" i="6"/>
  <c r="S114" i="6"/>
  <c r="S115" i="6" s="1"/>
  <c r="S92" i="6"/>
  <c r="S2" i="6"/>
  <c r="L16" i="37"/>
  <c r="L53" i="12"/>
  <c r="L56" i="12" s="1"/>
  <c r="L62" i="12"/>
  <c r="L64" i="12" s="1"/>
  <c r="R54" i="6"/>
  <c r="R61" i="6"/>
  <c r="R67" i="6"/>
  <c r="K33" i="16"/>
  <c r="K34" i="16" s="1"/>
  <c r="K47" i="16"/>
  <c r="R197" i="6"/>
  <c r="R218" i="6"/>
  <c r="K17" i="28"/>
  <c r="T308" i="6"/>
  <c r="M28" i="16"/>
  <c r="M14" i="16"/>
  <c r="U4" i="40"/>
  <c r="U4" i="37"/>
  <c r="U4" i="34"/>
  <c r="U4" i="31"/>
  <c r="U4" i="28"/>
  <c r="U4" i="22"/>
  <c r="U10" i="21"/>
  <c r="U74" i="20"/>
  <c r="U4" i="21"/>
  <c r="U4" i="20"/>
  <c r="U28" i="19"/>
  <c r="U32" i="20"/>
  <c r="U4" i="19"/>
  <c r="U10" i="18"/>
  <c r="U4" i="18"/>
  <c r="U4" i="17"/>
  <c r="U4" i="16"/>
  <c r="U10" i="17"/>
  <c r="U10" i="16"/>
  <c r="U4" i="15"/>
  <c r="U27" i="15"/>
  <c r="U4" i="14"/>
  <c r="U25" i="13"/>
  <c r="U40" i="15"/>
  <c r="U4" i="13"/>
  <c r="U60" i="12"/>
  <c r="U37" i="12"/>
  <c r="U4" i="11"/>
  <c r="U18" i="12"/>
  <c r="U17" i="13"/>
  <c r="U4" i="12"/>
  <c r="U50" i="12"/>
  <c r="U35" i="9"/>
  <c r="U4" i="8"/>
  <c r="U314" i="6"/>
  <c r="U196" i="6"/>
  <c r="U23" i="11"/>
  <c r="U306" i="6"/>
  <c r="U10" i="9"/>
  <c r="U325" i="6"/>
  <c r="U326" i="6" s="1"/>
  <c r="U16" i="10"/>
  <c r="U4" i="10"/>
  <c r="U340" i="6"/>
  <c r="U341" i="6" s="1"/>
  <c r="U290" i="6"/>
  <c r="U291" i="6" s="1"/>
  <c r="U253" i="6"/>
  <c r="U330" i="6"/>
  <c r="U331" i="6" s="1"/>
  <c r="U269" i="6"/>
  <c r="U295" i="6"/>
  <c r="U296" i="6" s="1"/>
  <c r="U140" i="6"/>
  <c r="U4" i="9"/>
  <c r="U182" i="6"/>
  <c r="U93" i="6"/>
  <c r="U40" i="6"/>
  <c r="U126" i="6"/>
  <c r="U100" i="6"/>
  <c r="U46" i="6"/>
  <c r="U345" i="6"/>
  <c r="U346" i="6" s="1"/>
  <c r="U106" i="6"/>
  <c r="U53" i="6"/>
  <c r="U66" i="6"/>
  <c r="U4" i="7"/>
  <c r="U73" i="6"/>
  <c r="U23" i="6"/>
  <c r="U24" i="6" s="1"/>
  <c r="U3" i="4" s="1"/>
  <c r="V28" i="6"/>
  <c r="V4" i="4" s="1"/>
  <c r="U80" i="6"/>
  <c r="U60" i="6"/>
  <c r="U4" i="6"/>
  <c r="U33" i="6"/>
  <c r="U11" i="6"/>
  <c r="U12" i="6" s="1"/>
  <c r="U86" i="6"/>
  <c r="U32" i="10"/>
  <c r="T13" i="21"/>
  <c r="T3" i="40"/>
  <c r="T3" i="37"/>
  <c r="T3" i="34"/>
  <c r="T3" i="31"/>
  <c r="T3" i="28"/>
  <c r="T3" i="21"/>
  <c r="T3" i="22"/>
  <c r="T3" i="20"/>
  <c r="T3" i="18"/>
  <c r="T3" i="19"/>
  <c r="T3" i="17"/>
  <c r="T3" i="16"/>
  <c r="T3" i="14"/>
  <c r="T3" i="15"/>
  <c r="T3" i="13"/>
  <c r="T3" i="12"/>
  <c r="T3" i="10"/>
  <c r="T3" i="11"/>
  <c r="T3" i="9"/>
  <c r="T3" i="7"/>
  <c r="T3" i="8"/>
  <c r="T79" i="6"/>
  <c r="T39" i="6"/>
  <c r="T59" i="6"/>
  <c r="T99" i="6"/>
  <c r="T3" i="6"/>
  <c r="T9" i="37"/>
  <c r="T17" i="12"/>
  <c r="T19" i="10"/>
  <c r="T39" i="10"/>
  <c r="T53" i="20"/>
  <c r="T54" i="20" s="1"/>
  <c r="T58" i="20" s="1"/>
  <c r="T59" i="20"/>
  <c r="T236" i="6"/>
  <c r="T284" i="6"/>
  <c r="T285" i="6" s="1"/>
  <c r="T277" i="6"/>
  <c r="T244" i="6"/>
  <c r="T228" i="6"/>
  <c r="T177" i="6"/>
  <c r="T121" i="6"/>
  <c r="T18" i="6"/>
  <c r="T19" i="6" s="1"/>
  <c r="T2" i="4" s="1"/>
  <c r="T41" i="6"/>
  <c r="T47" i="6"/>
  <c r="T34" i="6"/>
  <c r="E13" i="47" l="1"/>
  <c r="T26" i="31"/>
  <c r="U11" i="21"/>
  <c r="U13" i="21" s="1"/>
  <c r="T29" i="9"/>
  <c r="U53" i="20"/>
  <c r="U54" i="20" s="1"/>
  <c r="U58" i="20" s="1"/>
  <c r="U59" i="20"/>
  <c r="U236" i="6"/>
  <c r="U284" i="6"/>
  <c r="U285" i="6" s="1"/>
  <c r="U277" i="6"/>
  <c r="U244" i="6"/>
  <c r="U228" i="6"/>
  <c r="U121" i="6"/>
  <c r="U18" i="6"/>
  <c r="U19" i="6" s="1"/>
  <c r="U2" i="4" s="1"/>
  <c r="U177" i="6"/>
  <c r="U74" i="6"/>
  <c r="U81" i="6"/>
  <c r="U87" i="6"/>
  <c r="K24" i="34"/>
  <c r="E63" i="47" s="1"/>
  <c r="L17" i="37"/>
  <c r="M61" i="12"/>
  <c r="L17" i="11"/>
  <c r="L18" i="11" s="1"/>
  <c r="L15" i="37"/>
  <c r="M51" i="12"/>
  <c r="T2" i="40"/>
  <c r="T2" i="37"/>
  <c r="T2" i="34"/>
  <c r="T2" i="31"/>
  <c r="T2" i="28"/>
  <c r="T2" i="22"/>
  <c r="T2" i="21"/>
  <c r="T60" i="20"/>
  <c r="T61" i="20" s="1"/>
  <c r="T67" i="20" s="1"/>
  <c r="T2" i="20"/>
  <c r="T2" i="19"/>
  <c r="T2" i="18"/>
  <c r="T2" i="16"/>
  <c r="T2" i="17"/>
  <c r="T2" i="15"/>
  <c r="T2" i="14"/>
  <c r="T2" i="11"/>
  <c r="T2" i="13"/>
  <c r="T2" i="12"/>
  <c r="T2" i="10"/>
  <c r="T2" i="9"/>
  <c r="T2" i="7"/>
  <c r="T227" i="6"/>
  <c r="T229" i="6" s="1"/>
  <c r="T21" i="17" s="1"/>
  <c r="T203" i="6"/>
  <c r="T2" i="8"/>
  <c r="T313" i="6"/>
  <c r="T315" i="6" s="1"/>
  <c r="T307" i="6"/>
  <c r="U308" i="6" s="1"/>
  <c r="T235" i="6"/>
  <c r="T237" i="6" s="1"/>
  <c r="T20" i="16" s="1"/>
  <c r="T276" i="6"/>
  <c r="T278" i="6" s="1"/>
  <c r="T270" i="6" s="1"/>
  <c r="T271" i="6" s="1"/>
  <c r="T264" i="6" s="1"/>
  <c r="T243" i="6"/>
  <c r="T245" i="6" s="1"/>
  <c r="T21" i="18" s="1"/>
  <c r="T176" i="6"/>
  <c r="T178" i="6" s="1"/>
  <c r="T183" i="6" s="1"/>
  <c r="T184" i="6" s="1"/>
  <c r="T188" i="6" s="1"/>
  <c r="T170" i="6"/>
  <c r="T171" i="6" s="1"/>
  <c r="T120" i="6"/>
  <c r="T122" i="6" s="1"/>
  <c r="T127" i="6" s="1"/>
  <c r="T128" i="6" s="1"/>
  <c r="T132" i="6" s="1"/>
  <c r="T114" i="6"/>
  <c r="T115" i="6" s="1"/>
  <c r="T92" i="6"/>
  <c r="T52" i="6"/>
  <c r="T72" i="6"/>
  <c r="T32" i="6"/>
  <c r="T147" i="6"/>
  <c r="T2" i="6"/>
  <c r="U14" i="37"/>
  <c r="U63" i="12"/>
  <c r="U54" i="12"/>
  <c r="U67" i="12"/>
  <c r="U68" i="12" s="1"/>
  <c r="K13" i="16"/>
  <c r="K15" i="16" s="1"/>
  <c r="S197" i="6"/>
  <c r="S218" i="6"/>
  <c r="S61" i="6"/>
  <c r="S67" i="6"/>
  <c r="S54" i="6"/>
  <c r="V4" i="40"/>
  <c r="V4" i="37"/>
  <c r="V4" i="34"/>
  <c r="V4" i="31"/>
  <c r="V4" i="22"/>
  <c r="V10" i="21"/>
  <c r="V4" i="28"/>
  <c r="V4" i="21"/>
  <c r="V32" i="20"/>
  <c r="V74" i="20"/>
  <c r="V28" i="19"/>
  <c r="V4" i="19"/>
  <c r="V4" i="20"/>
  <c r="V10" i="17"/>
  <c r="V4" i="18"/>
  <c r="V4" i="16"/>
  <c r="V4" i="17"/>
  <c r="V10" i="18"/>
  <c r="V4" i="15"/>
  <c r="V27" i="15"/>
  <c r="V10" i="16"/>
  <c r="V40" i="15"/>
  <c r="V37" i="12"/>
  <c r="V4" i="14"/>
  <c r="V4" i="13"/>
  <c r="V60" i="12"/>
  <c r="V50" i="12"/>
  <c r="V17" i="13"/>
  <c r="V18" i="12"/>
  <c r="V4" i="12"/>
  <c r="V25" i="13"/>
  <c r="V23" i="11"/>
  <c r="V196" i="6"/>
  <c r="V306" i="6"/>
  <c r="V10" i="9"/>
  <c r="V325" i="6"/>
  <c r="V326" i="6" s="1"/>
  <c r="V16" i="10"/>
  <c r="V4" i="10"/>
  <c r="V340" i="6"/>
  <c r="V341" i="6" s="1"/>
  <c r="V290" i="6"/>
  <c r="V291" i="6" s="1"/>
  <c r="V4" i="11"/>
  <c r="V253" i="6"/>
  <c r="V330" i="6"/>
  <c r="V331" i="6" s="1"/>
  <c r="V269" i="6"/>
  <c r="V4" i="9"/>
  <c r="V4" i="7"/>
  <c r="V345" i="6"/>
  <c r="V346" i="6" s="1"/>
  <c r="V295" i="6"/>
  <c r="V296" i="6" s="1"/>
  <c r="V182" i="6"/>
  <c r="V126" i="6"/>
  <c r="V100" i="6"/>
  <c r="V46" i="6"/>
  <c r="V106" i="6"/>
  <c r="V53" i="6"/>
  <c r="V60" i="6"/>
  <c r="V35" i="9"/>
  <c r="V4" i="8"/>
  <c r="V314" i="6"/>
  <c r="V73" i="6"/>
  <c r="V80" i="6"/>
  <c r="V23" i="6"/>
  <c r="V24" i="6" s="1"/>
  <c r="V3" i="4" s="1"/>
  <c r="W28" i="6"/>
  <c r="W4" i="4" s="1"/>
  <c r="V4" i="6"/>
  <c r="V66" i="6"/>
  <c r="V33" i="6"/>
  <c r="V11" i="6"/>
  <c r="V12" i="6" s="1"/>
  <c r="V93" i="6"/>
  <c r="V86" i="6"/>
  <c r="V140" i="6"/>
  <c r="V40" i="6"/>
  <c r="V32" i="10"/>
  <c r="U101" i="6"/>
  <c r="U107" i="6"/>
  <c r="U94" i="6"/>
  <c r="M20" i="34"/>
  <c r="G59" i="47" s="1"/>
  <c r="T18" i="37"/>
  <c r="T20" i="13"/>
  <c r="T28" i="13"/>
  <c r="T55" i="12"/>
  <c r="L21" i="19"/>
  <c r="L43" i="15"/>
  <c r="L45" i="15" s="1"/>
  <c r="L21" i="15"/>
  <c r="N22" i="15" s="1"/>
  <c r="U9" i="37"/>
  <c r="U19" i="10"/>
  <c r="U39" i="10"/>
  <c r="U17" i="12"/>
  <c r="U3" i="40"/>
  <c r="U3" i="37"/>
  <c r="U3" i="34"/>
  <c r="U3" i="31"/>
  <c r="U3" i="28"/>
  <c r="U3" i="21"/>
  <c r="U3" i="22"/>
  <c r="U3" i="20"/>
  <c r="U3" i="19"/>
  <c r="U3" i="18"/>
  <c r="U3" i="17"/>
  <c r="U3" i="16"/>
  <c r="U3" i="14"/>
  <c r="U3" i="15"/>
  <c r="U3" i="12"/>
  <c r="U3" i="10"/>
  <c r="U3" i="11"/>
  <c r="U3" i="13"/>
  <c r="U3" i="9"/>
  <c r="U3" i="7"/>
  <c r="U3" i="8"/>
  <c r="U39" i="6"/>
  <c r="U99" i="6"/>
  <c r="U59" i="6"/>
  <c r="U79" i="6"/>
  <c r="U3" i="6"/>
  <c r="U47" i="6"/>
  <c r="U34" i="6"/>
  <c r="U41" i="6"/>
  <c r="S141" i="6"/>
  <c r="S162" i="6"/>
  <c r="L10" i="31" l="1"/>
  <c r="M41" i="15"/>
  <c r="N8" i="34"/>
  <c r="H47" i="47" s="1"/>
  <c r="N44" i="15"/>
  <c r="V53" i="20"/>
  <c r="V54" i="20" s="1"/>
  <c r="V58" i="20" s="1"/>
  <c r="V59" i="20"/>
  <c r="V236" i="6"/>
  <c r="V284" i="6"/>
  <c r="V285" i="6" s="1"/>
  <c r="V277" i="6"/>
  <c r="V244" i="6"/>
  <c r="V228" i="6"/>
  <c r="V177" i="6"/>
  <c r="V121" i="6"/>
  <c r="V18" i="6"/>
  <c r="V19" i="6" s="1"/>
  <c r="V2" i="4" s="1"/>
  <c r="U26" i="31"/>
  <c r="V11" i="21"/>
  <c r="U29" i="9"/>
  <c r="M24" i="10"/>
  <c r="M26" i="10" s="1"/>
  <c r="V9" i="37"/>
  <c r="V19" i="10"/>
  <c r="V39" i="10"/>
  <c r="V17" i="12"/>
  <c r="V34" i="6"/>
  <c r="V47" i="6"/>
  <c r="V41" i="6"/>
  <c r="V107" i="6"/>
  <c r="V101" i="6"/>
  <c r="V94" i="6"/>
  <c r="V13" i="21"/>
  <c r="W4" i="40"/>
  <c r="W4" i="37"/>
  <c r="W4" i="34"/>
  <c r="W4" i="28"/>
  <c r="W10" i="21"/>
  <c r="W74" i="20"/>
  <c r="W4" i="31"/>
  <c r="W4" i="21"/>
  <c r="W4" i="20"/>
  <c r="W4" i="22"/>
  <c r="W32" i="20"/>
  <c r="W28" i="19"/>
  <c r="W4" i="19"/>
  <c r="W4" i="18"/>
  <c r="W10" i="18"/>
  <c r="W4" i="17"/>
  <c r="W10" i="16"/>
  <c r="W10" i="17"/>
  <c r="W4" i="15"/>
  <c r="W27" i="15"/>
  <c r="W4" i="16"/>
  <c r="W4" i="14"/>
  <c r="W40" i="15"/>
  <c r="W4" i="13"/>
  <c r="W60" i="12"/>
  <c r="W50" i="12"/>
  <c r="W17" i="13"/>
  <c r="W25" i="13"/>
  <c r="W18" i="12"/>
  <c r="W4" i="12"/>
  <c r="W4" i="10"/>
  <c r="W23" i="11"/>
  <c r="W4" i="11"/>
  <c r="W16" i="10"/>
  <c r="W306" i="6"/>
  <c r="W10" i="9"/>
  <c r="W325" i="6"/>
  <c r="W326" i="6" s="1"/>
  <c r="W37" i="12"/>
  <c r="W340" i="6"/>
  <c r="W341" i="6" s="1"/>
  <c r="W290" i="6"/>
  <c r="W291" i="6" s="1"/>
  <c r="W253" i="6"/>
  <c r="W330" i="6"/>
  <c r="W331" i="6" s="1"/>
  <c r="W269" i="6"/>
  <c r="W4" i="9"/>
  <c r="W4" i="7"/>
  <c r="W345" i="6"/>
  <c r="W346" i="6" s="1"/>
  <c r="W295" i="6"/>
  <c r="W296" i="6" s="1"/>
  <c r="W35" i="9"/>
  <c r="W4" i="8"/>
  <c r="W314" i="6"/>
  <c r="W196" i="6"/>
  <c r="W126" i="6"/>
  <c r="W106" i="6"/>
  <c r="W53" i="6"/>
  <c r="W60" i="6"/>
  <c r="W66" i="6"/>
  <c r="W80" i="6"/>
  <c r="W140" i="6"/>
  <c r="W86" i="6"/>
  <c r="W33" i="6"/>
  <c r="X28" i="6"/>
  <c r="X4" i="4" s="1"/>
  <c r="W182" i="6"/>
  <c r="W73" i="6"/>
  <c r="W4" i="6"/>
  <c r="W46" i="6"/>
  <c r="W11" i="6"/>
  <c r="W12" i="6" s="1"/>
  <c r="W93" i="6"/>
  <c r="W100" i="6"/>
  <c r="W40" i="6"/>
  <c r="W23" i="6"/>
  <c r="W24" i="6" s="1"/>
  <c r="W3" i="4" s="1"/>
  <c r="W32" i="10"/>
  <c r="T141" i="6"/>
  <c r="T162" i="6"/>
  <c r="T54" i="6"/>
  <c r="T67" i="6"/>
  <c r="T61" i="6"/>
  <c r="L8" i="28"/>
  <c r="L19" i="16"/>
  <c r="L21" i="16" s="1"/>
  <c r="L26" i="11"/>
  <c r="L27" i="11" s="1"/>
  <c r="U2" i="40"/>
  <c r="U2" i="37"/>
  <c r="U2" i="34"/>
  <c r="U2" i="31"/>
  <c r="U2" i="28"/>
  <c r="U2" i="22"/>
  <c r="U2" i="21"/>
  <c r="U60" i="20"/>
  <c r="U2" i="20"/>
  <c r="U2" i="19"/>
  <c r="U2" i="18"/>
  <c r="U2" i="17"/>
  <c r="U2" i="16"/>
  <c r="U2" i="15"/>
  <c r="U2" i="14"/>
  <c r="U2" i="13"/>
  <c r="U2" i="11"/>
  <c r="U2" i="12"/>
  <c r="U2" i="10"/>
  <c r="U2" i="8"/>
  <c r="U313" i="6"/>
  <c r="U315" i="6" s="1"/>
  <c r="U307" i="6"/>
  <c r="V308" i="6" s="1"/>
  <c r="U235" i="6"/>
  <c r="U237" i="6" s="1"/>
  <c r="U20" i="16" s="1"/>
  <c r="U276" i="6"/>
  <c r="U278" i="6" s="1"/>
  <c r="U270" i="6" s="1"/>
  <c r="U271" i="6" s="1"/>
  <c r="U264" i="6" s="1"/>
  <c r="U243" i="6"/>
  <c r="U245" i="6" s="1"/>
  <c r="U21" i="18" s="1"/>
  <c r="U2" i="9"/>
  <c r="U203" i="6"/>
  <c r="U176" i="6"/>
  <c r="U178" i="6" s="1"/>
  <c r="U183" i="6" s="1"/>
  <c r="U184" i="6" s="1"/>
  <c r="U188" i="6" s="1"/>
  <c r="U170" i="6"/>
  <c r="U171" i="6" s="1"/>
  <c r="U120" i="6"/>
  <c r="U122" i="6" s="1"/>
  <c r="U127" i="6" s="1"/>
  <c r="U128" i="6" s="1"/>
  <c r="U132" i="6" s="1"/>
  <c r="U114" i="6"/>
  <c r="U115" i="6" s="1"/>
  <c r="U92" i="6"/>
  <c r="U227" i="6"/>
  <c r="U229" i="6" s="1"/>
  <c r="U21" i="17" s="1"/>
  <c r="U2" i="7"/>
  <c r="U147" i="6"/>
  <c r="U72" i="6"/>
  <c r="U32" i="6"/>
  <c r="U2" i="6"/>
  <c r="U52" i="6"/>
  <c r="U61" i="20"/>
  <c r="U67" i="20" s="1"/>
  <c r="V3" i="40"/>
  <c r="V3" i="37"/>
  <c r="V3" i="34"/>
  <c r="V3" i="31"/>
  <c r="V3" i="28"/>
  <c r="V3" i="21"/>
  <c r="V3" i="22"/>
  <c r="V3" i="20"/>
  <c r="V3" i="17"/>
  <c r="V3" i="19"/>
  <c r="V3" i="18"/>
  <c r="V3" i="16"/>
  <c r="V3" i="14"/>
  <c r="V3" i="15"/>
  <c r="V3" i="13"/>
  <c r="V3" i="12"/>
  <c r="V3" i="11"/>
  <c r="V3" i="10"/>
  <c r="V3" i="9"/>
  <c r="V3" i="7"/>
  <c r="V3" i="8"/>
  <c r="V39" i="6"/>
  <c r="V99" i="6"/>
  <c r="V3" i="6"/>
  <c r="V79" i="6"/>
  <c r="V59" i="6"/>
  <c r="K17" i="31"/>
  <c r="E32" i="47" s="1"/>
  <c r="L11" i="16"/>
  <c r="V14" i="37"/>
  <c r="V67" i="12"/>
  <c r="V68" i="12" s="1"/>
  <c r="V54" i="12"/>
  <c r="V63" i="12"/>
  <c r="U18" i="37"/>
  <c r="U20" i="13"/>
  <c r="U28" i="13"/>
  <c r="U55" i="12"/>
  <c r="T197" i="6"/>
  <c r="T218" i="6"/>
  <c r="V81" i="6"/>
  <c r="V87" i="6"/>
  <c r="V74" i="6"/>
  <c r="F4" i="47" l="1"/>
  <c r="F25" i="47"/>
  <c r="L39" i="16"/>
  <c r="L40" i="16" s="1"/>
  <c r="U197" i="6"/>
  <c r="U218" i="6"/>
  <c r="U54" i="6"/>
  <c r="U61" i="6"/>
  <c r="U67" i="6"/>
  <c r="V18" i="37"/>
  <c r="V20" i="13"/>
  <c r="V28" i="13"/>
  <c r="V55" i="12"/>
  <c r="W53" i="20"/>
  <c r="W54" i="20" s="1"/>
  <c r="W58" i="20" s="1"/>
  <c r="W59" i="20"/>
  <c r="W284" i="6"/>
  <c r="W285" i="6" s="1"/>
  <c r="W277" i="6"/>
  <c r="W244" i="6"/>
  <c r="W228" i="6"/>
  <c r="W236" i="6"/>
  <c r="W177" i="6"/>
  <c r="W121" i="6"/>
  <c r="W18" i="6"/>
  <c r="W19" i="6" s="1"/>
  <c r="W2" i="4" s="1"/>
  <c r="W74" i="6"/>
  <c r="W87" i="6"/>
  <c r="W81" i="6"/>
  <c r="M44" i="12"/>
  <c r="M45" i="12" s="1"/>
  <c r="M11" i="11"/>
  <c r="M12" i="11" s="1"/>
  <c r="M20" i="10"/>
  <c r="V2" i="40"/>
  <c r="V2" i="37"/>
  <c r="V2" i="34"/>
  <c r="V2" i="31"/>
  <c r="V2" i="22"/>
  <c r="V2" i="28"/>
  <c r="V2" i="21"/>
  <c r="V60" i="20"/>
  <c r="V61" i="20" s="1"/>
  <c r="V67" i="20" s="1"/>
  <c r="V2" i="20"/>
  <c r="V2" i="19"/>
  <c r="V2" i="18"/>
  <c r="V2" i="16"/>
  <c r="V2" i="17"/>
  <c r="V2" i="15"/>
  <c r="V2" i="13"/>
  <c r="V2" i="14"/>
  <c r="V2" i="12"/>
  <c r="V313" i="6"/>
  <c r="V315" i="6" s="1"/>
  <c r="V307" i="6"/>
  <c r="W308" i="6" s="1"/>
  <c r="V235" i="6"/>
  <c r="V237" i="6" s="1"/>
  <c r="V20" i="16" s="1"/>
  <c r="V2" i="11"/>
  <c r="V276" i="6"/>
  <c r="V278" i="6" s="1"/>
  <c r="V270" i="6" s="1"/>
  <c r="V271" i="6" s="1"/>
  <c r="V264" i="6" s="1"/>
  <c r="V243" i="6"/>
  <c r="V245" i="6" s="1"/>
  <c r="V21" i="18" s="1"/>
  <c r="V2" i="9"/>
  <c r="V2" i="7"/>
  <c r="V227" i="6"/>
  <c r="V229" i="6" s="1"/>
  <c r="V21" i="17" s="1"/>
  <c r="V170" i="6"/>
  <c r="V171" i="6" s="1"/>
  <c r="V120" i="6"/>
  <c r="V122" i="6" s="1"/>
  <c r="V127" i="6" s="1"/>
  <c r="V128" i="6" s="1"/>
  <c r="V132" i="6" s="1"/>
  <c r="V114" i="6"/>
  <c r="V115" i="6" s="1"/>
  <c r="V92" i="6"/>
  <c r="V52" i="6"/>
  <c r="V2" i="8"/>
  <c r="V2" i="10"/>
  <c r="V147" i="6"/>
  <c r="V72" i="6"/>
  <c r="V32" i="6"/>
  <c r="V203" i="6"/>
  <c r="V176" i="6"/>
  <c r="V178" i="6" s="1"/>
  <c r="V183" i="6" s="1"/>
  <c r="V184" i="6" s="1"/>
  <c r="V188" i="6" s="1"/>
  <c r="V2" i="6"/>
  <c r="L14" i="31"/>
  <c r="F29" i="47" s="1"/>
  <c r="M24" i="11"/>
  <c r="L19" i="34"/>
  <c r="F58" i="47" s="1"/>
  <c r="L12" i="16"/>
  <c r="L26" i="16"/>
  <c r="N27" i="16" s="1"/>
  <c r="W9" i="37"/>
  <c r="W39" i="10"/>
  <c r="W17" i="12"/>
  <c r="W19" i="10"/>
  <c r="W3" i="40"/>
  <c r="W3" i="37"/>
  <c r="W3" i="34"/>
  <c r="W3" i="28"/>
  <c r="W3" i="31"/>
  <c r="W3" i="21"/>
  <c r="W3" i="22"/>
  <c r="W3" i="20"/>
  <c r="W3" i="19"/>
  <c r="W3" i="18"/>
  <c r="W3" i="17"/>
  <c r="W3" i="16"/>
  <c r="W3" i="15"/>
  <c r="W3" i="14"/>
  <c r="W3" i="13"/>
  <c r="W3" i="11"/>
  <c r="W3" i="10"/>
  <c r="W3" i="9"/>
  <c r="W3" i="7"/>
  <c r="W3" i="12"/>
  <c r="W3" i="8"/>
  <c r="W99" i="6"/>
  <c r="W59" i="6"/>
  <c r="W79" i="6"/>
  <c r="W39" i="6"/>
  <c r="W3" i="6"/>
  <c r="W41" i="6"/>
  <c r="W47" i="6"/>
  <c r="W34" i="6"/>
  <c r="U162" i="6"/>
  <c r="U141" i="6"/>
  <c r="W107" i="6"/>
  <c r="W94" i="6"/>
  <c r="W101" i="6"/>
  <c r="X4" i="40"/>
  <c r="X4" i="37"/>
  <c r="X4" i="34"/>
  <c r="X4" i="31"/>
  <c r="X4" i="28"/>
  <c r="X74" i="20"/>
  <c r="X4" i="21"/>
  <c r="X4" i="22"/>
  <c r="X10" i="21"/>
  <c r="X4" i="20"/>
  <c r="X32" i="20"/>
  <c r="X28" i="19"/>
  <c r="X4" i="18"/>
  <c r="X4" i="19"/>
  <c r="X4" i="17"/>
  <c r="X10" i="18"/>
  <c r="X10" i="16"/>
  <c r="X10" i="17"/>
  <c r="X27" i="15"/>
  <c r="X4" i="16"/>
  <c r="X4" i="14"/>
  <c r="X40" i="15"/>
  <c r="X4" i="15"/>
  <c r="X4" i="13"/>
  <c r="X60" i="12"/>
  <c r="X50" i="12"/>
  <c r="X17" i="13"/>
  <c r="X25" i="13"/>
  <c r="X37" i="12"/>
  <c r="X4" i="12"/>
  <c r="X4" i="10"/>
  <c r="X23" i="11"/>
  <c r="X4" i="11"/>
  <c r="X10" i="9"/>
  <c r="X325" i="6"/>
  <c r="X326" i="6" s="1"/>
  <c r="X340" i="6"/>
  <c r="X341" i="6" s="1"/>
  <c r="X290" i="6"/>
  <c r="X291" i="6" s="1"/>
  <c r="X16" i="10"/>
  <c r="X253" i="6"/>
  <c r="X330" i="6"/>
  <c r="X331" i="6" s="1"/>
  <c r="X269" i="6"/>
  <c r="X4" i="9"/>
  <c r="X4" i="7"/>
  <c r="X345" i="6"/>
  <c r="X346" i="6" s="1"/>
  <c r="X295" i="6"/>
  <c r="X296" i="6" s="1"/>
  <c r="X18" i="12"/>
  <c r="X35" i="9"/>
  <c r="X4" i="8"/>
  <c r="X314" i="6"/>
  <c r="X60" i="6"/>
  <c r="X66" i="6"/>
  <c r="X73" i="6"/>
  <c r="X306" i="6"/>
  <c r="X140" i="6"/>
  <c r="X86" i="6"/>
  <c r="X182" i="6"/>
  <c r="X93" i="6"/>
  <c r="X40" i="6"/>
  <c r="Y28" i="6"/>
  <c r="Y4" i="4" s="1"/>
  <c r="X126" i="6"/>
  <c r="X106" i="6"/>
  <c r="X196" i="6"/>
  <c r="X4" i="6"/>
  <c r="X80" i="6"/>
  <c r="X53" i="6"/>
  <c r="X46" i="6"/>
  <c r="X11" i="6"/>
  <c r="X12" i="6" s="1"/>
  <c r="X33" i="6"/>
  <c r="X100" i="6"/>
  <c r="X23" i="6"/>
  <c r="X24" i="6" s="1"/>
  <c r="X3" i="4" s="1"/>
  <c r="X32" i="10"/>
  <c r="W14" i="37"/>
  <c r="W63" i="12"/>
  <c r="W54" i="12"/>
  <c r="W67" i="12"/>
  <c r="W68" i="12" s="1"/>
  <c r="V26" i="31"/>
  <c r="W11" i="21"/>
  <c r="W13" i="21" s="1"/>
  <c r="V29" i="9"/>
  <c r="W26" i="31" l="1"/>
  <c r="X11" i="21"/>
  <c r="X13" i="21" s="1"/>
  <c r="W29" i="9"/>
  <c r="X53" i="20"/>
  <c r="X54" i="20" s="1"/>
  <c r="X58" i="20" s="1"/>
  <c r="X59" i="20"/>
  <c r="X277" i="6"/>
  <c r="X244" i="6"/>
  <c r="X228" i="6"/>
  <c r="X236" i="6"/>
  <c r="X284" i="6"/>
  <c r="X285" i="6" s="1"/>
  <c r="X177" i="6"/>
  <c r="X121" i="6"/>
  <c r="X18" i="6"/>
  <c r="X19" i="6" s="1"/>
  <c r="X2" i="4" s="1"/>
  <c r="Y4" i="40"/>
  <c r="Y4" i="37"/>
  <c r="Y4" i="34"/>
  <c r="Y4" i="31"/>
  <c r="Y4" i="28"/>
  <c r="Y4" i="21"/>
  <c r="Y4" i="22"/>
  <c r="Y10" i="21"/>
  <c r="Y4" i="20"/>
  <c r="Y74" i="20"/>
  <c r="Y28" i="19"/>
  <c r="Y4" i="19"/>
  <c r="Y32" i="20"/>
  <c r="Y4" i="18"/>
  <c r="Y10" i="18"/>
  <c r="Y10" i="17"/>
  <c r="Y4" i="17"/>
  <c r="Y10" i="16"/>
  <c r="Y4" i="16"/>
  <c r="Y4" i="14"/>
  <c r="Y40" i="15"/>
  <c r="Y4" i="15"/>
  <c r="Y50" i="12"/>
  <c r="Y27" i="15"/>
  <c r="Y17" i="13"/>
  <c r="Y25" i="13"/>
  <c r="Y37" i="12"/>
  <c r="Y4" i="12"/>
  <c r="Y4" i="10"/>
  <c r="Y23" i="11"/>
  <c r="Y60" i="12"/>
  <c r="Y4" i="11"/>
  <c r="Y4" i="13"/>
  <c r="Y18" i="12"/>
  <c r="Y340" i="6"/>
  <c r="Y341" i="6" s="1"/>
  <c r="Y290" i="6"/>
  <c r="Y291" i="6" s="1"/>
  <c r="Y16" i="10"/>
  <c r="Y253" i="6"/>
  <c r="Y330" i="6"/>
  <c r="Y331" i="6" s="1"/>
  <c r="Y269" i="6"/>
  <c r="Y4" i="9"/>
  <c r="Y4" i="7"/>
  <c r="Y345" i="6"/>
  <c r="Y346" i="6" s="1"/>
  <c r="Y295" i="6"/>
  <c r="Y296" i="6" s="1"/>
  <c r="Y35" i="9"/>
  <c r="Y4" i="8"/>
  <c r="Y314" i="6"/>
  <c r="Y306" i="6"/>
  <c r="Y66" i="6"/>
  <c r="Y10" i="9"/>
  <c r="Y73" i="6"/>
  <c r="Y325" i="6"/>
  <c r="Y326" i="6" s="1"/>
  <c r="Y80" i="6"/>
  <c r="Y140" i="6"/>
  <c r="Y182" i="6"/>
  <c r="Y93" i="6"/>
  <c r="Y196" i="6"/>
  <c r="Y126" i="6"/>
  <c r="Y100" i="6"/>
  <c r="Y46" i="6"/>
  <c r="Y4" i="6"/>
  <c r="Y53" i="6"/>
  <c r="Y11" i="6"/>
  <c r="Y12" i="6" s="1"/>
  <c r="Y60" i="6"/>
  <c r="Y33" i="6"/>
  <c r="Y86" i="6"/>
  <c r="Y40" i="6"/>
  <c r="Y23" i="6"/>
  <c r="Y24" i="6" s="1"/>
  <c r="Y3" i="4" s="1"/>
  <c r="Y106" i="6"/>
  <c r="Z28" i="6"/>
  <c r="Z4" i="4" s="1"/>
  <c r="Y32" i="10"/>
  <c r="M16" i="37"/>
  <c r="M62" i="12"/>
  <c r="M64" i="12" s="1"/>
  <c r="M53" i="12"/>
  <c r="M56" i="12" s="1"/>
  <c r="V162" i="6"/>
  <c r="V141" i="6"/>
  <c r="W2" i="40"/>
  <c r="W2" i="37"/>
  <c r="W2" i="34"/>
  <c r="W2" i="31"/>
  <c r="W2" i="28"/>
  <c r="W2" i="21"/>
  <c r="W60" i="20"/>
  <c r="W2" i="22"/>
  <c r="W2" i="20"/>
  <c r="W2" i="19"/>
  <c r="W2" i="18"/>
  <c r="W2" i="17"/>
  <c r="W2" i="16"/>
  <c r="W2" i="15"/>
  <c r="W2" i="13"/>
  <c r="W2" i="14"/>
  <c r="W2" i="12"/>
  <c r="W2" i="10"/>
  <c r="W2" i="11"/>
  <c r="W235" i="6"/>
  <c r="W237" i="6" s="1"/>
  <c r="W20" i="16" s="1"/>
  <c r="W276" i="6"/>
  <c r="W278" i="6" s="1"/>
  <c r="W270" i="6" s="1"/>
  <c r="W271" i="6" s="1"/>
  <c r="W264" i="6" s="1"/>
  <c r="W243" i="6"/>
  <c r="W245" i="6" s="1"/>
  <c r="W21" i="18" s="1"/>
  <c r="W2" i="9"/>
  <c r="W2" i="7"/>
  <c r="W227" i="6"/>
  <c r="W229" i="6" s="1"/>
  <c r="W21" i="17" s="1"/>
  <c r="W2" i="8"/>
  <c r="W307" i="6"/>
  <c r="W114" i="6"/>
  <c r="W115" i="6" s="1"/>
  <c r="W313" i="6"/>
  <c r="W315" i="6" s="1"/>
  <c r="W52" i="6"/>
  <c r="W147" i="6"/>
  <c r="W72" i="6"/>
  <c r="W203" i="6"/>
  <c r="W176" i="6"/>
  <c r="W178" i="6" s="1"/>
  <c r="W183" i="6" s="1"/>
  <c r="W184" i="6" s="1"/>
  <c r="W188" i="6" s="1"/>
  <c r="W120" i="6"/>
  <c r="W122" i="6" s="1"/>
  <c r="W127" i="6" s="1"/>
  <c r="W128" i="6" s="1"/>
  <c r="W132" i="6" s="1"/>
  <c r="W92" i="6"/>
  <c r="W170" i="6"/>
  <c r="W171" i="6" s="1"/>
  <c r="W2" i="6"/>
  <c r="W32" i="6"/>
  <c r="X9" i="37"/>
  <c r="X39" i="10"/>
  <c r="X17" i="12"/>
  <c r="X19" i="10"/>
  <c r="X74" i="6"/>
  <c r="X81" i="6"/>
  <c r="X87" i="6"/>
  <c r="V218" i="6"/>
  <c r="V197" i="6"/>
  <c r="W61" i="20"/>
  <c r="W67" i="20" s="1"/>
  <c r="X3" i="40"/>
  <c r="X3" i="37"/>
  <c r="X3" i="34"/>
  <c r="X3" i="31"/>
  <c r="X3" i="28"/>
  <c r="X3" i="22"/>
  <c r="X3" i="21"/>
  <c r="X3" i="20"/>
  <c r="X3" i="19"/>
  <c r="X3" i="18"/>
  <c r="X3" i="16"/>
  <c r="X3" i="17"/>
  <c r="X3" i="15"/>
  <c r="X3" i="14"/>
  <c r="X3" i="11"/>
  <c r="X3" i="13"/>
  <c r="X3" i="12"/>
  <c r="X3" i="10"/>
  <c r="X3" i="9"/>
  <c r="X3" i="7"/>
  <c r="X3" i="8"/>
  <c r="X59" i="6"/>
  <c r="X79" i="6"/>
  <c r="X39" i="6"/>
  <c r="X99" i="6"/>
  <c r="X3" i="6"/>
  <c r="V54" i="6"/>
  <c r="V61" i="6"/>
  <c r="V67" i="6"/>
  <c r="X14" i="37"/>
  <c r="X63" i="12"/>
  <c r="X54" i="12"/>
  <c r="X67" i="12"/>
  <c r="X68" i="12" s="1"/>
  <c r="X308" i="6"/>
  <c r="X41" i="6"/>
  <c r="X47" i="6"/>
  <c r="X34" i="6"/>
  <c r="N14" i="16"/>
  <c r="N28" i="16"/>
  <c r="L32" i="16"/>
  <c r="L41" i="16"/>
  <c r="L45" i="16"/>
  <c r="L46" i="16" s="1"/>
  <c r="W18" i="37"/>
  <c r="W28" i="13"/>
  <c r="W55" i="12"/>
  <c r="W20" i="13"/>
  <c r="X94" i="6"/>
  <c r="X101" i="6"/>
  <c r="X107" i="6"/>
  <c r="M16" i="19"/>
  <c r="M17" i="19" s="1"/>
  <c r="M42" i="15"/>
  <c r="M20" i="15"/>
  <c r="M25" i="11"/>
  <c r="X26" i="31" l="1"/>
  <c r="Y11" i="21"/>
  <c r="Y13" i="21" s="1"/>
  <c r="X29" i="9"/>
  <c r="Y101" i="6"/>
  <c r="Y107" i="6"/>
  <c r="Y94" i="6"/>
  <c r="W218" i="6"/>
  <c r="W197" i="6"/>
  <c r="W61" i="6"/>
  <c r="W67" i="6"/>
  <c r="W54" i="6"/>
  <c r="Y14" i="37"/>
  <c r="Y63" i="12"/>
  <c r="Y54" i="12"/>
  <c r="Y67" i="12"/>
  <c r="Y68" i="12" s="1"/>
  <c r="L47" i="16"/>
  <c r="L33" i="16"/>
  <c r="L34" i="16" s="1"/>
  <c r="L17" i="28"/>
  <c r="W162" i="6"/>
  <c r="W141" i="6"/>
  <c r="M21" i="19"/>
  <c r="M43" i="15"/>
  <c r="M45" i="15" s="1"/>
  <c r="M21" i="15"/>
  <c r="O22" i="15" s="1"/>
  <c r="Y9" i="37"/>
  <c r="Y39" i="10"/>
  <c r="Y17" i="12"/>
  <c r="Y19" i="10"/>
  <c r="X2" i="40"/>
  <c r="X2" i="37"/>
  <c r="X2" i="34"/>
  <c r="X2" i="31"/>
  <c r="X2" i="28"/>
  <c r="X2" i="21"/>
  <c r="X2" i="22"/>
  <c r="X60" i="20"/>
  <c r="X2" i="20"/>
  <c r="X2" i="18"/>
  <c r="X2" i="17"/>
  <c r="X2" i="19"/>
  <c r="X2" i="14"/>
  <c r="X2" i="13"/>
  <c r="X2" i="16"/>
  <c r="X2" i="12"/>
  <c r="X2" i="10"/>
  <c r="X2" i="15"/>
  <c r="X2" i="11"/>
  <c r="X276" i="6"/>
  <c r="X278" i="6" s="1"/>
  <c r="X270" i="6" s="1"/>
  <c r="X271" i="6" s="1"/>
  <c r="X264" i="6" s="1"/>
  <c r="X243" i="6"/>
  <c r="X245" i="6" s="1"/>
  <c r="X21" i="18" s="1"/>
  <c r="X2" i="9"/>
  <c r="X2" i="7"/>
  <c r="X2" i="8"/>
  <c r="X313" i="6"/>
  <c r="X315" i="6" s="1"/>
  <c r="X307" i="6"/>
  <c r="Y308" i="6" s="1"/>
  <c r="X52" i="6"/>
  <c r="X227" i="6"/>
  <c r="X229" i="6" s="1"/>
  <c r="X21" i="17" s="1"/>
  <c r="X147" i="6"/>
  <c r="X203" i="6"/>
  <c r="X176" i="6"/>
  <c r="X178" i="6" s="1"/>
  <c r="X183" i="6" s="1"/>
  <c r="X184" i="6" s="1"/>
  <c r="X188" i="6" s="1"/>
  <c r="X170" i="6"/>
  <c r="X171" i="6" s="1"/>
  <c r="X120" i="6"/>
  <c r="X122" i="6" s="1"/>
  <c r="X127" i="6" s="1"/>
  <c r="X128" i="6" s="1"/>
  <c r="X132" i="6" s="1"/>
  <c r="X32" i="6"/>
  <c r="X235" i="6"/>
  <c r="X237" i="6" s="1"/>
  <c r="X20" i="16" s="1"/>
  <c r="X114" i="6"/>
  <c r="X115" i="6" s="1"/>
  <c r="X92" i="6"/>
  <c r="X2" i="6"/>
  <c r="X72" i="6"/>
  <c r="X18" i="37"/>
  <c r="X55" i="12"/>
  <c r="X20" i="13"/>
  <c r="X28" i="13"/>
  <c r="M15" i="37"/>
  <c r="N51" i="12"/>
  <c r="Z4" i="40"/>
  <c r="Z4" i="37"/>
  <c r="Z4" i="34"/>
  <c r="Z4" i="31"/>
  <c r="Z4" i="28"/>
  <c r="Z4" i="21"/>
  <c r="Z10" i="21"/>
  <c r="Z74" i="20"/>
  <c r="Z32" i="20"/>
  <c r="Z4" i="22"/>
  <c r="Z4" i="20"/>
  <c r="Z28" i="19"/>
  <c r="Z4" i="17"/>
  <c r="Z4" i="19"/>
  <c r="Z10" i="18"/>
  <c r="Z10" i="16"/>
  <c r="Z10" i="17"/>
  <c r="Z4" i="18"/>
  <c r="Z4" i="16"/>
  <c r="Z4" i="14"/>
  <c r="Z40" i="15"/>
  <c r="Z4" i="15"/>
  <c r="Z27" i="15"/>
  <c r="Z17" i="13"/>
  <c r="Z25" i="13"/>
  <c r="Z4" i="13"/>
  <c r="Z60" i="12"/>
  <c r="Z4" i="12"/>
  <c r="Z23" i="11"/>
  <c r="Z4" i="11"/>
  <c r="Z16" i="10"/>
  <c r="Z50" i="12"/>
  <c r="Z18" i="12"/>
  <c r="Z37" i="12"/>
  <c r="Z253" i="6"/>
  <c r="Z330" i="6"/>
  <c r="Z331" i="6" s="1"/>
  <c r="Z269" i="6"/>
  <c r="Z4" i="10"/>
  <c r="Z4" i="9"/>
  <c r="Z4" i="7"/>
  <c r="Z345" i="6"/>
  <c r="Z346" i="6" s="1"/>
  <c r="Z295" i="6"/>
  <c r="Z296" i="6" s="1"/>
  <c r="Z35" i="9"/>
  <c r="Z4" i="8"/>
  <c r="Z314" i="6"/>
  <c r="Z306" i="6"/>
  <c r="Z10" i="9"/>
  <c r="Z325" i="6"/>
  <c r="Z326" i="6" s="1"/>
  <c r="Z73" i="6"/>
  <c r="Z80" i="6"/>
  <c r="Z290" i="6"/>
  <c r="Z291" i="6" s="1"/>
  <c r="Z140" i="6"/>
  <c r="Z86" i="6"/>
  <c r="Z33" i="6"/>
  <c r="Z182" i="6"/>
  <c r="Z196" i="6"/>
  <c r="Z126" i="6"/>
  <c r="Z100" i="6"/>
  <c r="Z46" i="6"/>
  <c r="Z340" i="6"/>
  <c r="Z341" i="6" s="1"/>
  <c r="Z106" i="6"/>
  <c r="Z53" i="6"/>
  <c r="Z4" i="6"/>
  <c r="Z11" i="6"/>
  <c r="Z12" i="6" s="1"/>
  <c r="Z60" i="6"/>
  <c r="Z93" i="6"/>
  <c r="Z66" i="6"/>
  <c r="Z40" i="6"/>
  <c r="Z23" i="6"/>
  <c r="Z24" i="6" s="1"/>
  <c r="Z3" i="4" s="1"/>
  <c r="AA28" i="6"/>
  <c r="AA4" i="4" s="1"/>
  <c r="Z32" i="10"/>
  <c r="Y59" i="20"/>
  <c r="Y53" i="20"/>
  <c r="Y54" i="20" s="1"/>
  <c r="Y58" i="20" s="1"/>
  <c r="Y244" i="6"/>
  <c r="Y228" i="6"/>
  <c r="Y236" i="6"/>
  <c r="Y284" i="6"/>
  <c r="Y285" i="6" s="1"/>
  <c r="Y177" i="6"/>
  <c r="Y121" i="6"/>
  <c r="Y277" i="6"/>
  <c r="Y18" i="6"/>
  <c r="Y19" i="6" s="1"/>
  <c r="Y2" i="4" s="1"/>
  <c r="Y74" i="6"/>
  <c r="Y81" i="6"/>
  <c r="Y87" i="6"/>
  <c r="X61" i="20"/>
  <c r="X67" i="20" s="1"/>
  <c r="M17" i="37"/>
  <c r="N61" i="12"/>
  <c r="M17" i="11"/>
  <c r="M18" i="11" s="1"/>
  <c r="Y3" i="40"/>
  <c r="Y3" i="37"/>
  <c r="Y3" i="34"/>
  <c r="Y3" i="31"/>
  <c r="Y3" i="28"/>
  <c r="Y3" i="22"/>
  <c r="Y3" i="21"/>
  <c r="Y3" i="20"/>
  <c r="Y3" i="19"/>
  <c r="Y3" i="18"/>
  <c r="Y3" i="17"/>
  <c r="Y3" i="16"/>
  <c r="Y3" i="15"/>
  <c r="Y3" i="14"/>
  <c r="Y3" i="13"/>
  <c r="Y3" i="11"/>
  <c r="Y3" i="12"/>
  <c r="Y3" i="10"/>
  <c r="Y3" i="8"/>
  <c r="Y3" i="9"/>
  <c r="Y59" i="6"/>
  <c r="Y3" i="7"/>
  <c r="Y39" i="6"/>
  <c r="Y99" i="6"/>
  <c r="Y3" i="6"/>
  <c r="Y79" i="6"/>
  <c r="N20" i="34"/>
  <c r="H59" i="47" s="1"/>
  <c r="Y34" i="6"/>
  <c r="Y47" i="6"/>
  <c r="Y41" i="6"/>
  <c r="F13" i="47" l="1"/>
  <c r="O8" i="34"/>
  <c r="I47" i="47" s="1"/>
  <c r="O44" i="15"/>
  <c r="M8" i="28"/>
  <c r="M19" i="16"/>
  <c r="M21" i="16" s="1"/>
  <c r="M26" i="11"/>
  <c r="M27" i="11" s="1"/>
  <c r="Z9" i="37"/>
  <c r="Z17" i="12"/>
  <c r="Z39" i="10"/>
  <c r="Z19" i="10"/>
  <c r="Z59" i="20"/>
  <c r="Z53" i="20"/>
  <c r="Z54" i="20" s="1"/>
  <c r="Z58" i="20" s="1"/>
  <c r="Z228" i="6"/>
  <c r="Z236" i="6"/>
  <c r="Z284" i="6"/>
  <c r="Z285" i="6" s="1"/>
  <c r="Z277" i="6"/>
  <c r="Z177" i="6"/>
  <c r="Z121" i="6"/>
  <c r="Z244" i="6"/>
  <c r="Z18" i="6"/>
  <c r="Z19" i="6" s="1"/>
  <c r="Z2" i="4" s="1"/>
  <c r="N24" i="10"/>
  <c r="N26" i="10" s="1"/>
  <c r="AA4" i="40"/>
  <c r="AA4" i="37"/>
  <c r="AA4" i="34"/>
  <c r="AA4" i="28"/>
  <c r="AA4" i="31"/>
  <c r="AA4" i="21"/>
  <c r="AA4" i="22"/>
  <c r="AA4" i="20"/>
  <c r="AA10" i="21"/>
  <c r="AA74" i="20"/>
  <c r="AA32" i="20"/>
  <c r="AA4" i="19"/>
  <c r="AA28" i="19"/>
  <c r="AA10" i="18"/>
  <c r="AA4" i="18"/>
  <c r="AA4" i="17"/>
  <c r="AA10" i="17"/>
  <c r="AA4" i="16"/>
  <c r="AA40" i="15"/>
  <c r="AA10" i="16"/>
  <c r="AA4" i="15"/>
  <c r="AA27" i="15"/>
  <c r="AA4" i="14"/>
  <c r="AA17" i="13"/>
  <c r="AA25" i="13"/>
  <c r="AA37" i="12"/>
  <c r="AA4" i="13"/>
  <c r="AA60" i="12"/>
  <c r="AA50" i="12"/>
  <c r="AA23" i="11"/>
  <c r="AA4" i="11"/>
  <c r="AA16" i="10"/>
  <c r="AA18" i="12"/>
  <c r="AA330" i="6"/>
  <c r="AA331" i="6" s="1"/>
  <c r="AA269" i="6"/>
  <c r="AA4" i="10"/>
  <c r="AA4" i="9"/>
  <c r="AA4" i="7"/>
  <c r="AA345" i="6"/>
  <c r="AA346" i="6" s="1"/>
  <c r="AA295" i="6"/>
  <c r="AA296" i="6" s="1"/>
  <c r="AA4" i="12"/>
  <c r="AA35" i="9"/>
  <c r="AA4" i="8"/>
  <c r="AA314" i="6"/>
  <c r="AA196" i="6"/>
  <c r="AA306" i="6"/>
  <c r="AA10" i="9"/>
  <c r="AA325" i="6"/>
  <c r="AA326" i="6" s="1"/>
  <c r="AA340" i="6"/>
  <c r="AA341" i="6" s="1"/>
  <c r="AA290" i="6"/>
  <c r="AA291" i="6" s="1"/>
  <c r="AA253" i="6"/>
  <c r="AA80" i="6"/>
  <c r="AA140" i="6"/>
  <c r="AA86" i="6"/>
  <c r="AA33" i="6"/>
  <c r="AA182" i="6"/>
  <c r="AA93" i="6"/>
  <c r="AA40" i="6"/>
  <c r="AB28" i="6"/>
  <c r="AB4" i="4" s="1"/>
  <c r="AA126" i="6"/>
  <c r="AA106" i="6"/>
  <c r="AA53" i="6"/>
  <c r="AA60" i="6"/>
  <c r="AA11" i="6"/>
  <c r="AA12" i="6" s="1"/>
  <c r="AA73" i="6"/>
  <c r="AA46" i="6"/>
  <c r="AA66" i="6"/>
  <c r="AA23" i="6"/>
  <c r="AA24" i="6" s="1"/>
  <c r="AA3" i="4" s="1"/>
  <c r="AA100" i="6"/>
  <c r="AA4" i="6"/>
  <c r="AA32" i="10"/>
  <c r="Y18" i="37"/>
  <c r="Y55" i="12"/>
  <c r="Y20" i="13"/>
  <c r="Y28" i="13"/>
  <c r="Z3" i="40"/>
  <c r="Z3" i="37"/>
  <c r="Z3" i="34"/>
  <c r="Z3" i="31"/>
  <c r="Z3" i="22"/>
  <c r="Z3" i="28"/>
  <c r="Z3" i="21"/>
  <c r="Z3" i="20"/>
  <c r="Z3" i="19"/>
  <c r="Z3" i="18"/>
  <c r="Z3" i="16"/>
  <c r="Z3" i="17"/>
  <c r="Z3" i="15"/>
  <c r="Z3" i="13"/>
  <c r="Z3" i="14"/>
  <c r="Z3" i="12"/>
  <c r="Z3" i="11"/>
  <c r="Z3" i="9"/>
  <c r="Z3" i="7"/>
  <c r="Z3" i="10"/>
  <c r="Z79" i="6"/>
  <c r="Z3" i="8"/>
  <c r="Z99" i="6"/>
  <c r="Z3" i="6"/>
  <c r="Z59" i="6"/>
  <c r="Z39" i="6"/>
  <c r="L13" i="16"/>
  <c r="L15" i="16" s="1"/>
  <c r="X141" i="6"/>
  <c r="X162" i="6"/>
  <c r="Z81" i="6"/>
  <c r="Z87" i="6"/>
  <c r="Z74" i="6"/>
  <c r="M10" i="31"/>
  <c r="N41" i="15"/>
  <c r="Y2" i="40"/>
  <c r="Y2" i="37"/>
  <c r="Y2" i="34"/>
  <c r="Y2" i="31"/>
  <c r="Y2" i="28"/>
  <c r="Y2" i="21"/>
  <c r="Y2" i="22"/>
  <c r="Y60" i="20"/>
  <c r="Y61" i="20" s="1"/>
  <c r="Y67" i="20" s="1"/>
  <c r="Y2" i="20"/>
  <c r="Y2" i="19"/>
  <c r="Y2" i="18"/>
  <c r="Y2" i="17"/>
  <c r="Y2" i="16"/>
  <c r="Y2" i="14"/>
  <c r="Y2" i="15"/>
  <c r="Y2" i="12"/>
  <c r="Y2" i="10"/>
  <c r="Y2" i="13"/>
  <c r="Y2" i="11"/>
  <c r="Y276" i="6"/>
  <c r="Y278" i="6" s="1"/>
  <c r="Y270" i="6" s="1"/>
  <c r="Y271" i="6" s="1"/>
  <c r="Y264" i="6" s="1"/>
  <c r="Y243" i="6"/>
  <c r="Y245" i="6" s="1"/>
  <c r="Y21" i="18" s="1"/>
  <c r="Y2" i="9"/>
  <c r="Y2" i="7"/>
  <c r="Y227" i="6"/>
  <c r="Y229" i="6" s="1"/>
  <c r="Y21" i="17" s="1"/>
  <c r="Y203" i="6"/>
  <c r="Y2" i="8"/>
  <c r="Y313" i="6"/>
  <c r="Y315" i="6" s="1"/>
  <c r="Y307" i="6"/>
  <c r="Z308" i="6" s="1"/>
  <c r="Y235" i="6"/>
  <c r="Y237" i="6" s="1"/>
  <c r="Y20" i="16" s="1"/>
  <c r="Y147" i="6"/>
  <c r="Y72" i="6"/>
  <c r="Y176" i="6"/>
  <c r="Y178" i="6" s="1"/>
  <c r="Y183" i="6" s="1"/>
  <c r="Y184" i="6" s="1"/>
  <c r="Y188" i="6" s="1"/>
  <c r="Y170" i="6"/>
  <c r="Y171" i="6" s="1"/>
  <c r="Y120" i="6"/>
  <c r="Y122" i="6" s="1"/>
  <c r="Y127" i="6" s="1"/>
  <c r="Y128" i="6" s="1"/>
  <c r="Y132" i="6" s="1"/>
  <c r="Y114" i="6"/>
  <c r="Y115" i="6" s="1"/>
  <c r="Y92" i="6"/>
  <c r="Y2" i="6"/>
  <c r="Y52" i="6"/>
  <c r="Y32" i="6"/>
  <c r="Z34" i="6"/>
  <c r="Z41" i="6"/>
  <c r="Z47" i="6"/>
  <c r="X67" i="6"/>
  <c r="X61" i="6"/>
  <c r="X54" i="6"/>
  <c r="Z94" i="6"/>
  <c r="Z107" i="6"/>
  <c r="Z101" i="6"/>
  <c r="Z14" i="37"/>
  <c r="Z63" i="12"/>
  <c r="Z54" i="12"/>
  <c r="Z67" i="12"/>
  <c r="Z68" i="12" s="1"/>
  <c r="Z13" i="21"/>
  <c r="X218" i="6"/>
  <c r="X197" i="6"/>
  <c r="L24" i="34"/>
  <c r="F63" i="47" s="1"/>
  <c r="Y26" i="31"/>
  <c r="Z11" i="21"/>
  <c r="Y29" i="9"/>
  <c r="G4" i="47" l="1"/>
  <c r="G25" i="47"/>
  <c r="L17" i="31"/>
  <c r="F32" i="47" s="1"/>
  <c r="M11" i="16"/>
  <c r="Z2" i="40"/>
  <c r="Z2" i="37"/>
  <c r="Z2" i="34"/>
  <c r="Z2" i="31"/>
  <c r="Z2" i="28"/>
  <c r="Z2" i="21"/>
  <c r="Z2" i="22"/>
  <c r="Z60" i="20"/>
  <c r="Z61" i="20" s="1"/>
  <c r="Z67" i="20" s="1"/>
  <c r="Z2" i="20"/>
  <c r="Z2" i="17"/>
  <c r="Z2" i="19"/>
  <c r="Z2" i="18"/>
  <c r="Z2" i="14"/>
  <c r="Z2" i="15"/>
  <c r="Z2" i="16"/>
  <c r="Z2" i="13"/>
  <c r="Z2" i="12"/>
  <c r="Z2" i="11"/>
  <c r="Z243" i="6"/>
  <c r="Z245" i="6" s="1"/>
  <c r="Z21" i="18" s="1"/>
  <c r="Z2" i="9"/>
  <c r="Z2" i="7"/>
  <c r="Z227" i="6"/>
  <c r="Z229" i="6" s="1"/>
  <c r="Z21" i="17" s="1"/>
  <c r="Z203" i="6"/>
  <c r="Z2" i="8"/>
  <c r="Z313" i="6"/>
  <c r="Z315" i="6" s="1"/>
  <c r="Z307" i="6"/>
  <c r="Z235" i="6"/>
  <c r="Z237" i="6" s="1"/>
  <c r="Z20" i="16" s="1"/>
  <c r="Z2" i="10"/>
  <c r="Z147" i="6"/>
  <c r="Z276" i="6"/>
  <c r="Z278" i="6" s="1"/>
  <c r="Z270" i="6" s="1"/>
  <c r="Z271" i="6" s="1"/>
  <c r="Z264" i="6" s="1"/>
  <c r="Z72" i="6"/>
  <c r="Z176" i="6"/>
  <c r="Z178" i="6" s="1"/>
  <c r="Z183" i="6" s="1"/>
  <c r="Z184" i="6" s="1"/>
  <c r="Z188" i="6" s="1"/>
  <c r="Z170" i="6"/>
  <c r="Z171" i="6" s="1"/>
  <c r="Z120" i="6"/>
  <c r="Z122" i="6" s="1"/>
  <c r="Z127" i="6" s="1"/>
  <c r="Z128" i="6" s="1"/>
  <c r="Z132" i="6" s="1"/>
  <c r="Z114" i="6"/>
  <c r="Z115" i="6" s="1"/>
  <c r="Z92" i="6"/>
  <c r="Z2" i="6"/>
  <c r="Z52" i="6"/>
  <c r="Z32" i="6"/>
  <c r="M14" i="31"/>
  <c r="G29" i="47" s="1"/>
  <c r="N24" i="11"/>
  <c r="AB4" i="40"/>
  <c r="AB4" i="37"/>
  <c r="AB4" i="34"/>
  <c r="AB4" i="31"/>
  <c r="AB4" i="28"/>
  <c r="AB4" i="22"/>
  <c r="AB10" i="21"/>
  <c r="AB4" i="21"/>
  <c r="AB74" i="20"/>
  <c r="AB32" i="20"/>
  <c r="AB4" i="20"/>
  <c r="AB4" i="19"/>
  <c r="AB28" i="19"/>
  <c r="AB10" i="18"/>
  <c r="AB10" i="17"/>
  <c r="AB4" i="18"/>
  <c r="AB4" i="16"/>
  <c r="AB40" i="15"/>
  <c r="AB10" i="16"/>
  <c r="AB4" i="15"/>
  <c r="AB27" i="15"/>
  <c r="AB4" i="17"/>
  <c r="AB17" i="13"/>
  <c r="AB25" i="13"/>
  <c r="AB37" i="12"/>
  <c r="AB50" i="12"/>
  <c r="AB23" i="11"/>
  <c r="AB4" i="11"/>
  <c r="AB16" i="10"/>
  <c r="AB60" i="12"/>
  <c r="AB18" i="12"/>
  <c r="AB4" i="13"/>
  <c r="AB4" i="14"/>
  <c r="AB4" i="12"/>
  <c r="AB4" i="10"/>
  <c r="AB4" i="9"/>
  <c r="AB4" i="7"/>
  <c r="AB345" i="6"/>
  <c r="AB346" i="6" s="1"/>
  <c r="AB295" i="6"/>
  <c r="AB296" i="6" s="1"/>
  <c r="AB35" i="9"/>
  <c r="AB4" i="8"/>
  <c r="AB314" i="6"/>
  <c r="AB306" i="6"/>
  <c r="AB10" i="9"/>
  <c r="AB325" i="6"/>
  <c r="AB326" i="6" s="1"/>
  <c r="AB340" i="6"/>
  <c r="AB341" i="6" s="1"/>
  <c r="AB290" i="6"/>
  <c r="AB291" i="6" s="1"/>
  <c r="AB253" i="6"/>
  <c r="AB140" i="6"/>
  <c r="AB86" i="6"/>
  <c r="AB33" i="6"/>
  <c r="AB182" i="6"/>
  <c r="AB93" i="6"/>
  <c r="AB40" i="6"/>
  <c r="AB126" i="6"/>
  <c r="AB100" i="6"/>
  <c r="AB46" i="6"/>
  <c r="AB269" i="6"/>
  <c r="AB196" i="6"/>
  <c r="AB60" i="6"/>
  <c r="AB330" i="6"/>
  <c r="AB331" i="6" s="1"/>
  <c r="AB66" i="6"/>
  <c r="AB73" i="6"/>
  <c r="AB53" i="6"/>
  <c r="AB80" i="6"/>
  <c r="AB23" i="6"/>
  <c r="AB24" i="6" s="1"/>
  <c r="AB3" i="4" s="1"/>
  <c r="AC28" i="6"/>
  <c r="AC4" i="4" s="1"/>
  <c r="AB106" i="6"/>
  <c r="AB4" i="6"/>
  <c r="AB11" i="6"/>
  <c r="AB12" i="6" s="1"/>
  <c r="AB32" i="10"/>
  <c r="M19" i="34"/>
  <c r="G58" i="47" s="1"/>
  <c r="M12" i="16"/>
  <c r="M26" i="16"/>
  <c r="O27" i="16" s="1"/>
  <c r="AA87" i="6"/>
  <c r="AA74" i="6"/>
  <c r="AA81" i="6"/>
  <c r="Z26" i="31"/>
  <c r="AA11" i="21"/>
  <c r="AA13" i="21" s="1"/>
  <c r="Z29" i="9"/>
  <c r="AA14" i="37"/>
  <c r="AA67" i="12"/>
  <c r="AA68" i="12" s="1"/>
  <c r="AA54" i="12"/>
  <c r="AA63" i="12"/>
  <c r="AA9" i="37"/>
  <c r="AA17" i="12"/>
  <c r="AA39" i="10"/>
  <c r="AA19" i="10"/>
  <c r="AA53" i="20"/>
  <c r="AA54" i="20" s="1"/>
  <c r="AA58" i="20" s="1"/>
  <c r="AA59" i="20"/>
  <c r="AA228" i="6"/>
  <c r="AA236" i="6"/>
  <c r="AA284" i="6"/>
  <c r="AA285" i="6" s="1"/>
  <c r="AA277" i="6"/>
  <c r="AA244" i="6"/>
  <c r="AA177" i="6"/>
  <c r="AA121" i="6"/>
  <c r="AA18" i="6"/>
  <c r="AA19" i="6" s="1"/>
  <c r="AA2" i="4" s="1"/>
  <c r="AA34" i="6"/>
  <c r="AA41" i="6"/>
  <c r="AA47" i="6"/>
  <c r="N11" i="11"/>
  <c r="N12" i="11" s="1"/>
  <c r="N44" i="12"/>
  <c r="N45" i="12" s="1"/>
  <c r="N20" i="10"/>
  <c r="Z18" i="37"/>
  <c r="Z20" i="13"/>
  <c r="Z28" i="13"/>
  <c r="Z55" i="12"/>
  <c r="Y141" i="6"/>
  <c r="Y162" i="6"/>
  <c r="Y54" i="6"/>
  <c r="Y67" i="6"/>
  <c r="Y61" i="6"/>
  <c r="AA94" i="6"/>
  <c r="AA101" i="6"/>
  <c r="AA107" i="6"/>
  <c r="AA308" i="6"/>
  <c r="Y197" i="6"/>
  <c r="Y218" i="6"/>
  <c r="AA3" i="40"/>
  <c r="AA3" i="37"/>
  <c r="AA3" i="34"/>
  <c r="AA3" i="31"/>
  <c r="AA3" i="28"/>
  <c r="AA3" i="21"/>
  <c r="AA3" i="22"/>
  <c r="AA3" i="20"/>
  <c r="AA3" i="19"/>
  <c r="AA3" i="18"/>
  <c r="AA3" i="17"/>
  <c r="AA3" i="16"/>
  <c r="AA3" i="15"/>
  <c r="AA3" i="14"/>
  <c r="AA3" i="13"/>
  <c r="AA3" i="12"/>
  <c r="AA3" i="10"/>
  <c r="AA3" i="11"/>
  <c r="AA3" i="9"/>
  <c r="AA3" i="7"/>
  <c r="AA3" i="8"/>
  <c r="AA79" i="6"/>
  <c r="AA99" i="6"/>
  <c r="AA3" i="6"/>
  <c r="AA59" i="6"/>
  <c r="AA39" i="6"/>
  <c r="AA26" i="31" l="1"/>
  <c r="AB11" i="21"/>
  <c r="AA29" i="9"/>
  <c r="AB13" i="21"/>
  <c r="N16" i="37"/>
  <c r="N62" i="12"/>
  <c r="N64" i="12" s="1"/>
  <c r="N53" i="12"/>
  <c r="N56" i="12" s="1"/>
  <c r="N16" i="19"/>
  <c r="N17" i="19" s="1"/>
  <c r="N42" i="15"/>
  <c r="N20" i="15"/>
  <c r="N25" i="11"/>
  <c r="AB9" i="37"/>
  <c r="AB17" i="12"/>
  <c r="AB19" i="10"/>
  <c r="AB39" i="10"/>
  <c r="AB53" i="20"/>
  <c r="AB54" i="20" s="1"/>
  <c r="AB58" i="20" s="1"/>
  <c r="AB59" i="20"/>
  <c r="AB236" i="6"/>
  <c r="AB284" i="6"/>
  <c r="AB285" i="6" s="1"/>
  <c r="AB277" i="6"/>
  <c r="AB244" i="6"/>
  <c r="AB177" i="6"/>
  <c r="AB121" i="6"/>
  <c r="AB228" i="6"/>
  <c r="AB18" i="6"/>
  <c r="AB19" i="6" s="1"/>
  <c r="AB2" i="4" s="1"/>
  <c r="M39" i="16"/>
  <c r="M40" i="16" s="1"/>
  <c r="AB41" i="6"/>
  <c r="AB47" i="6"/>
  <c r="AB34" i="6"/>
  <c r="AB14" i="37"/>
  <c r="AB67" i="12"/>
  <c r="AB68" i="12" s="1"/>
  <c r="AB63" i="12"/>
  <c r="AB54" i="12"/>
  <c r="AA2" i="40"/>
  <c r="AA2" i="37"/>
  <c r="AA2" i="34"/>
  <c r="AA2" i="28"/>
  <c r="AA2" i="31"/>
  <c r="AA2" i="21"/>
  <c r="AA2" i="22"/>
  <c r="AA2" i="20"/>
  <c r="AA60" i="20"/>
  <c r="AA2" i="19"/>
  <c r="AA2" i="18"/>
  <c r="AA2" i="17"/>
  <c r="AA2" i="16"/>
  <c r="AA2" i="15"/>
  <c r="AA2" i="14"/>
  <c r="AA2" i="13"/>
  <c r="AA2" i="11"/>
  <c r="AA2" i="12"/>
  <c r="AA2" i="9"/>
  <c r="AA2" i="7"/>
  <c r="AA227" i="6"/>
  <c r="AA229" i="6" s="1"/>
  <c r="AA21" i="17" s="1"/>
  <c r="AA203" i="6"/>
  <c r="AA2" i="8"/>
  <c r="AA313" i="6"/>
  <c r="AA315" i="6" s="1"/>
  <c r="AA307" i="6"/>
  <c r="AB308" i="6" s="1"/>
  <c r="AA235" i="6"/>
  <c r="AA237" i="6" s="1"/>
  <c r="AA20" i="16" s="1"/>
  <c r="AA2" i="10"/>
  <c r="AA276" i="6"/>
  <c r="AA278" i="6" s="1"/>
  <c r="AA270" i="6" s="1"/>
  <c r="AA271" i="6" s="1"/>
  <c r="AA264" i="6" s="1"/>
  <c r="AA147" i="6"/>
  <c r="AA243" i="6"/>
  <c r="AA245" i="6" s="1"/>
  <c r="AA21" i="18" s="1"/>
  <c r="AA72" i="6"/>
  <c r="AA176" i="6"/>
  <c r="AA178" i="6" s="1"/>
  <c r="AA183" i="6" s="1"/>
  <c r="AA184" i="6" s="1"/>
  <c r="AA188" i="6" s="1"/>
  <c r="AA170" i="6"/>
  <c r="AA171" i="6" s="1"/>
  <c r="AA120" i="6"/>
  <c r="AA122" i="6" s="1"/>
  <c r="AA127" i="6" s="1"/>
  <c r="AA128" i="6" s="1"/>
  <c r="AA132" i="6" s="1"/>
  <c r="AA32" i="6"/>
  <c r="AA52" i="6"/>
  <c r="AA114" i="6"/>
  <c r="AA115" i="6" s="1"/>
  <c r="AA92" i="6"/>
  <c r="AA2" i="6"/>
  <c r="O14" i="16"/>
  <c r="O28" i="16"/>
  <c r="AB74" i="6"/>
  <c r="AB87" i="6"/>
  <c r="AB81" i="6"/>
  <c r="AB94" i="6"/>
  <c r="AB101" i="6"/>
  <c r="AB107" i="6"/>
  <c r="Z141" i="6"/>
  <c r="Z162" i="6"/>
  <c r="AA61" i="20"/>
  <c r="AA67" i="20" s="1"/>
  <c r="AC4" i="40"/>
  <c r="AC4" i="37"/>
  <c r="AC4" i="34"/>
  <c r="AC4" i="31"/>
  <c r="AC4" i="28"/>
  <c r="AC4" i="22"/>
  <c r="AC10" i="21"/>
  <c r="AC74" i="20"/>
  <c r="AC4" i="21"/>
  <c r="AC4" i="20"/>
  <c r="AC32" i="20"/>
  <c r="AC28" i="19"/>
  <c r="AC4" i="19"/>
  <c r="AC10" i="18"/>
  <c r="AC4" i="18"/>
  <c r="AC4" i="17"/>
  <c r="AC10" i="17"/>
  <c r="AC4" i="16"/>
  <c r="AC10" i="16"/>
  <c r="AC4" i="15"/>
  <c r="AC27" i="15"/>
  <c r="AC4" i="14"/>
  <c r="AC25" i="13"/>
  <c r="AC40" i="15"/>
  <c r="AC4" i="13"/>
  <c r="AC60" i="12"/>
  <c r="AC4" i="11"/>
  <c r="AC17" i="13"/>
  <c r="AC18" i="12"/>
  <c r="AC50" i="12"/>
  <c r="AC37" i="12"/>
  <c r="AC4" i="12"/>
  <c r="AC16" i="10"/>
  <c r="AC4" i="10"/>
  <c r="AC35" i="9"/>
  <c r="AC4" i="8"/>
  <c r="AC314" i="6"/>
  <c r="AC23" i="11"/>
  <c r="AC196" i="6"/>
  <c r="AC306" i="6"/>
  <c r="AC10" i="9"/>
  <c r="AC325" i="6"/>
  <c r="AC326" i="6" s="1"/>
  <c r="AC340" i="6"/>
  <c r="AC341" i="6" s="1"/>
  <c r="AC290" i="6"/>
  <c r="AC291" i="6" s="1"/>
  <c r="AC253" i="6"/>
  <c r="AC330" i="6"/>
  <c r="AC331" i="6" s="1"/>
  <c r="AC269" i="6"/>
  <c r="AC4" i="9"/>
  <c r="AC140" i="6"/>
  <c r="AC182" i="6"/>
  <c r="AC93" i="6"/>
  <c r="AC40" i="6"/>
  <c r="AC345" i="6"/>
  <c r="AC346" i="6" s="1"/>
  <c r="AC126" i="6"/>
  <c r="AC100" i="6"/>
  <c r="AC46" i="6"/>
  <c r="AC106" i="6"/>
  <c r="AC53" i="6"/>
  <c r="AC4" i="7"/>
  <c r="AC66" i="6"/>
  <c r="AC73" i="6"/>
  <c r="AC295" i="6"/>
  <c r="AC296" i="6" s="1"/>
  <c r="AC80" i="6"/>
  <c r="AC60" i="6"/>
  <c r="AC23" i="6"/>
  <c r="AC24" i="6" s="1"/>
  <c r="AC3" i="4" s="1"/>
  <c r="AC33" i="6"/>
  <c r="AC86" i="6"/>
  <c r="AD28" i="6"/>
  <c r="AD4" i="4" s="1"/>
  <c r="AC4" i="6"/>
  <c r="AC11" i="6"/>
  <c r="AC12" i="6" s="1"/>
  <c r="AC32" i="10"/>
  <c r="AA18" i="37"/>
  <c r="AA20" i="13"/>
  <c r="AA28" i="13"/>
  <c r="AA55" i="12"/>
  <c r="AB3" i="40"/>
  <c r="AB3" i="37"/>
  <c r="AB3" i="34"/>
  <c r="AB3" i="31"/>
  <c r="AB3" i="28"/>
  <c r="AB3" i="21"/>
  <c r="AB3" i="22"/>
  <c r="AB3" i="20"/>
  <c r="AB3" i="19"/>
  <c r="AB3" i="18"/>
  <c r="AB3" i="17"/>
  <c r="AB3" i="14"/>
  <c r="AB3" i="13"/>
  <c r="AB3" i="16"/>
  <c r="AB3" i="15"/>
  <c r="AB3" i="12"/>
  <c r="AB3" i="10"/>
  <c r="AB3" i="11"/>
  <c r="AB3" i="9"/>
  <c r="AB3" i="7"/>
  <c r="AB3" i="8"/>
  <c r="AB79" i="6"/>
  <c r="AB39" i="6"/>
  <c r="AB59" i="6"/>
  <c r="AB3" i="6"/>
  <c r="AB99" i="6"/>
  <c r="Z197" i="6"/>
  <c r="Z218" i="6"/>
  <c r="Z54" i="6"/>
  <c r="Z61" i="6"/>
  <c r="Z67" i="6"/>
  <c r="O20" i="34" l="1"/>
  <c r="I59" i="47" s="1"/>
  <c r="N15" i="37"/>
  <c r="O51" i="12"/>
  <c r="AC9" i="37"/>
  <c r="AC19" i="10"/>
  <c r="AC39" i="10"/>
  <c r="AC17" i="12"/>
  <c r="AA197" i="6"/>
  <c r="AA218" i="6"/>
  <c r="N17" i="37"/>
  <c r="O61" i="12"/>
  <c r="N17" i="11"/>
  <c r="N18" i="11" s="1"/>
  <c r="AC53" i="20"/>
  <c r="AC54" i="20" s="1"/>
  <c r="AC58" i="20" s="1"/>
  <c r="AC59" i="20"/>
  <c r="AC236" i="6"/>
  <c r="AC284" i="6"/>
  <c r="AC285" i="6" s="1"/>
  <c r="AC277" i="6"/>
  <c r="AC244" i="6"/>
  <c r="AC228" i="6"/>
  <c r="AC121" i="6"/>
  <c r="AC177" i="6"/>
  <c r="AC18" i="6"/>
  <c r="AC19" i="6" s="1"/>
  <c r="AC2" i="4" s="1"/>
  <c r="AA61" i="6"/>
  <c r="AA67" i="6"/>
  <c r="AA54" i="6"/>
  <c r="AC47" i="6"/>
  <c r="AC41" i="6"/>
  <c r="AC34" i="6"/>
  <c r="AC74" i="6"/>
  <c r="AC81" i="6"/>
  <c r="AC87" i="6"/>
  <c r="AB18" i="37"/>
  <c r="AB20" i="13"/>
  <c r="AB28" i="13"/>
  <c r="AB55" i="12"/>
  <c r="AB2" i="40"/>
  <c r="AB2" i="37"/>
  <c r="AB2" i="34"/>
  <c r="AB2" i="31"/>
  <c r="AB2" i="28"/>
  <c r="AB2" i="22"/>
  <c r="AB60" i="20"/>
  <c r="AB2" i="21"/>
  <c r="AB2" i="20"/>
  <c r="AB2" i="19"/>
  <c r="AB2" i="18"/>
  <c r="AB2" i="17"/>
  <c r="AB2" i="16"/>
  <c r="AB2" i="15"/>
  <c r="AB2" i="14"/>
  <c r="AB2" i="11"/>
  <c r="AB2" i="13"/>
  <c r="AB2" i="12"/>
  <c r="AB2" i="10"/>
  <c r="AB2" i="9"/>
  <c r="AB2" i="7"/>
  <c r="AB227" i="6"/>
  <c r="AB229" i="6" s="1"/>
  <c r="AB21" i="17" s="1"/>
  <c r="AB203" i="6"/>
  <c r="AB2" i="8"/>
  <c r="AB313" i="6"/>
  <c r="AB315" i="6" s="1"/>
  <c r="AB307" i="6"/>
  <c r="AC308" i="6" s="1"/>
  <c r="AB235" i="6"/>
  <c r="AB237" i="6" s="1"/>
  <c r="AB20" i="16" s="1"/>
  <c r="AB276" i="6"/>
  <c r="AB278" i="6" s="1"/>
  <c r="AB270" i="6" s="1"/>
  <c r="AB271" i="6" s="1"/>
  <c r="AB264" i="6" s="1"/>
  <c r="AB243" i="6"/>
  <c r="AB245" i="6" s="1"/>
  <c r="AB21" i="18" s="1"/>
  <c r="AB176" i="6"/>
  <c r="AB178" i="6" s="1"/>
  <c r="AB183" i="6" s="1"/>
  <c r="AB184" i="6" s="1"/>
  <c r="AB188" i="6" s="1"/>
  <c r="AB170" i="6"/>
  <c r="AB171" i="6" s="1"/>
  <c r="AB120" i="6"/>
  <c r="AB122" i="6" s="1"/>
  <c r="AB127" i="6" s="1"/>
  <c r="AB128" i="6" s="1"/>
  <c r="AB132" i="6" s="1"/>
  <c r="AB114" i="6"/>
  <c r="AB115" i="6" s="1"/>
  <c r="AB92" i="6"/>
  <c r="AB52" i="6"/>
  <c r="AB147" i="6"/>
  <c r="AB32" i="6"/>
  <c r="AB72" i="6"/>
  <c r="AB2" i="6"/>
  <c r="N21" i="19"/>
  <c r="N43" i="15"/>
  <c r="N45" i="15" s="1"/>
  <c r="N21" i="15"/>
  <c r="P22" i="15" s="1"/>
  <c r="AD4" i="40"/>
  <c r="AD4" i="37"/>
  <c r="AD4" i="34"/>
  <c r="AD4" i="31"/>
  <c r="AD4" i="22"/>
  <c r="AD10" i="21"/>
  <c r="AD4" i="28"/>
  <c r="AD4" i="21"/>
  <c r="AD74" i="20"/>
  <c r="AD32" i="20"/>
  <c r="AD28" i="19"/>
  <c r="AD4" i="20"/>
  <c r="AD4" i="19"/>
  <c r="AD10" i="17"/>
  <c r="AD4" i="18"/>
  <c r="AD4" i="16"/>
  <c r="AD10" i="18"/>
  <c r="AD4" i="17"/>
  <c r="AD10" i="16"/>
  <c r="AD4" i="15"/>
  <c r="AD27" i="15"/>
  <c r="AD40" i="15"/>
  <c r="AD37" i="12"/>
  <c r="AD4" i="13"/>
  <c r="AD60" i="12"/>
  <c r="AD50" i="12"/>
  <c r="AD4" i="14"/>
  <c r="AD17" i="13"/>
  <c r="AD18" i="12"/>
  <c r="AD4" i="12"/>
  <c r="AD25" i="13"/>
  <c r="AD23" i="11"/>
  <c r="AD196" i="6"/>
  <c r="AD306" i="6"/>
  <c r="AD10" i="9"/>
  <c r="AD325" i="6"/>
  <c r="AD326" i="6" s="1"/>
  <c r="AD4" i="11"/>
  <c r="AD340" i="6"/>
  <c r="AD341" i="6" s="1"/>
  <c r="AD290" i="6"/>
  <c r="AD291" i="6" s="1"/>
  <c r="AD253" i="6"/>
  <c r="AD330" i="6"/>
  <c r="AD331" i="6" s="1"/>
  <c r="AD269" i="6"/>
  <c r="AD4" i="9"/>
  <c r="AD4" i="7"/>
  <c r="AD345" i="6"/>
  <c r="AD346" i="6" s="1"/>
  <c r="AD295" i="6"/>
  <c r="AD296" i="6" s="1"/>
  <c r="AD182" i="6"/>
  <c r="AD126" i="6"/>
  <c r="AD100" i="6"/>
  <c r="AD46" i="6"/>
  <c r="AD106" i="6"/>
  <c r="AD53" i="6"/>
  <c r="AD35" i="9"/>
  <c r="AD60" i="6"/>
  <c r="AD16" i="10"/>
  <c r="AD4" i="8"/>
  <c r="AD314" i="6"/>
  <c r="AD4" i="10"/>
  <c r="AD73" i="6"/>
  <c r="AD80" i="6"/>
  <c r="AD23" i="6"/>
  <c r="AD24" i="6" s="1"/>
  <c r="AD3" i="4" s="1"/>
  <c r="AD33" i="6"/>
  <c r="AD66" i="6"/>
  <c r="AD93" i="6"/>
  <c r="AD86" i="6"/>
  <c r="AD40" i="6"/>
  <c r="AE28" i="6"/>
  <c r="AE4" i="4" s="1"/>
  <c r="AD4" i="6"/>
  <c r="AD11" i="6"/>
  <c r="AD12" i="6" s="1"/>
  <c r="AD140" i="6"/>
  <c r="AD32" i="10"/>
  <c r="AC101" i="6"/>
  <c r="AC107" i="6"/>
  <c r="AC94" i="6"/>
  <c r="AA141" i="6"/>
  <c r="AA162" i="6"/>
  <c r="AB61" i="20"/>
  <c r="AB67" i="20" s="1"/>
  <c r="AB26" i="31"/>
  <c r="AC11" i="21"/>
  <c r="AB29" i="9"/>
  <c r="AC14" i="37"/>
  <c r="AC63" i="12"/>
  <c r="AC54" i="12"/>
  <c r="AC67" i="12"/>
  <c r="AC68" i="12" s="1"/>
  <c r="M45" i="16"/>
  <c r="M46" i="16" s="1"/>
  <c r="M41" i="16"/>
  <c r="M32" i="16"/>
  <c r="AC3" i="40"/>
  <c r="AC3" i="37"/>
  <c r="AC3" i="34"/>
  <c r="AC3" i="31"/>
  <c r="AC3" i="28"/>
  <c r="AC3" i="21"/>
  <c r="AC3" i="22"/>
  <c r="AC3" i="20"/>
  <c r="AC3" i="19"/>
  <c r="AC3" i="18"/>
  <c r="AC3" i="17"/>
  <c r="AC3" i="16"/>
  <c r="AC3" i="14"/>
  <c r="AC3" i="15"/>
  <c r="AC3" i="12"/>
  <c r="AC3" i="10"/>
  <c r="AC3" i="13"/>
  <c r="AC3" i="11"/>
  <c r="AC3" i="9"/>
  <c r="AC3" i="7"/>
  <c r="AC3" i="8"/>
  <c r="AC39" i="6"/>
  <c r="AC99" i="6"/>
  <c r="AC59" i="6"/>
  <c r="AC3" i="6"/>
  <c r="AC79" i="6"/>
  <c r="AC13" i="21"/>
  <c r="N10" i="31" l="1"/>
  <c r="O41" i="15"/>
  <c r="P8" i="34"/>
  <c r="J47" i="47" s="1"/>
  <c r="P44" i="15"/>
  <c r="AD53" i="20"/>
  <c r="AD54" i="20" s="1"/>
  <c r="AD58" i="20" s="1"/>
  <c r="AD59" i="20"/>
  <c r="AD236" i="6"/>
  <c r="AD284" i="6"/>
  <c r="AD285" i="6" s="1"/>
  <c r="AD277" i="6"/>
  <c r="AD244" i="6"/>
  <c r="AD228" i="6"/>
  <c r="AD177" i="6"/>
  <c r="AD121" i="6"/>
  <c r="AD18" i="6"/>
  <c r="AD19" i="6" s="1"/>
  <c r="AD2" i="4" s="1"/>
  <c r="AD3" i="40"/>
  <c r="AD3" i="37"/>
  <c r="AD3" i="34"/>
  <c r="AD3" i="31"/>
  <c r="AD3" i="28"/>
  <c r="AD3" i="21"/>
  <c r="AD3" i="22"/>
  <c r="AD3" i="20"/>
  <c r="AD3" i="19"/>
  <c r="AD3" i="17"/>
  <c r="AD3" i="18"/>
  <c r="AD3" i="14"/>
  <c r="AD3" i="15"/>
  <c r="AD3" i="16"/>
  <c r="AD3" i="13"/>
  <c r="AD3" i="12"/>
  <c r="AD3" i="11"/>
  <c r="AD3" i="9"/>
  <c r="AD3" i="7"/>
  <c r="AD3" i="8"/>
  <c r="AD3" i="10"/>
  <c r="AD39" i="6"/>
  <c r="AD99" i="6"/>
  <c r="AD3" i="6"/>
  <c r="AD79" i="6"/>
  <c r="AD59" i="6"/>
  <c r="AD107" i="6"/>
  <c r="AD101" i="6"/>
  <c r="AD94" i="6"/>
  <c r="AC18" i="37"/>
  <c r="AC20" i="13"/>
  <c r="AC28" i="13"/>
  <c r="AC55" i="12"/>
  <c r="AD14" i="37"/>
  <c r="AD67" i="12"/>
  <c r="AD68" i="12" s="1"/>
  <c r="AD54" i="12"/>
  <c r="AD63" i="12"/>
  <c r="AB197" i="6"/>
  <c r="AB218" i="6"/>
  <c r="N8" i="28"/>
  <c r="N19" i="16"/>
  <c r="N21" i="16" s="1"/>
  <c r="N26" i="11"/>
  <c r="N27" i="11" s="1"/>
  <c r="AC26" i="31"/>
  <c r="AD11" i="21"/>
  <c r="AC29" i="9"/>
  <c r="AE4" i="40"/>
  <c r="AE4" i="37"/>
  <c r="AE4" i="34"/>
  <c r="AE4" i="31"/>
  <c r="AE4" i="28"/>
  <c r="AE10" i="21"/>
  <c r="AE74" i="20"/>
  <c r="AE4" i="21"/>
  <c r="AE4" i="22"/>
  <c r="AE4" i="20"/>
  <c r="AE32" i="20"/>
  <c r="AE28" i="19"/>
  <c r="AE4" i="19"/>
  <c r="AE4" i="18"/>
  <c r="AE10" i="18"/>
  <c r="AE10" i="17"/>
  <c r="AE10" i="16"/>
  <c r="AE4" i="17"/>
  <c r="AE4" i="16"/>
  <c r="AE4" i="15"/>
  <c r="AE27" i="15"/>
  <c r="AE4" i="14"/>
  <c r="AE40" i="15"/>
  <c r="AE4" i="13"/>
  <c r="AE60" i="12"/>
  <c r="AE50" i="12"/>
  <c r="AE17" i="13"/>
  <c r="AE25" i="13"/>
  <c r="AE18" i="12"/>
  <c r="AE4" i="12"/>
  <c r="AE4" i="10"/>
  <c r="AE37" i="12"/>
  <c r="AE23" i="11"/>
  <c r="AE4" i="11"/>
  <c r="AE16" i="10"/>
  <c r="AE306" i="6"/>
  <c r="AE10" i="9"/>
  <c r="AE325" i="6"/>
  <c r="AE326" i="6" s="1"/>
  <c r="AE340" i="6"/>
  <c r="AE341" i="6" s="1"/>
  <c r="AE290" i="6"/>
  <c r="AE291" i="6" s="1"/>
  <c r="AE253" i="6"/>
  <c r="AE330" i="6"/>
  <c r="AE331" i="6" s="1"/>
  <c r="AE269" i="6"/>
  <c r="AE4" i="9"/>
  <c r="AE4" i="7"/>
  <c r="AE345" i="6"/>
  <c r="AE346" i="6" s="1"/>
  <c r="AE295" i="6"/>
  <c r="AE296" i="6" s="1"/>
  <c r="AE35" i="9"/>
  <c r="AE4" i="8"/>
  <c r="AE314" i="6"/>
  <c r="AE126" i="6"/>
  <c r="AE106" i="6"/>
  <c r="AE53" i="6"/>
  <c r="AE60" i="6"/>
  <c r="AE196" i="6"/>
  <c r="AE66" i="6"/>
  <c r="AE80" i="6"/>
  <c r="AE140" i="6"/>
  <c r="AE86" i="6"/>
  <c r="AE33" i="6"/>
  <c r="AE73" i="6"/>
  <c r="AE46" i="6"/>
  <c r="AE182" i="6"/>
  <c r="AE93" i="6"/>
  <c r="AE40" i="6"/>
  <c r="AF28" i="6"/>
  <c r="AF4" i="4" s="1"/>
  <c r="AE100" i="6"/>
  <c r="AE4" i="6"/>
  <c r="AE11" i="6"/>
  <c r="AE12" i="6" s="1"/>
  <c r="AE23" i="6"/>
  <c r="AE24" i="6" s="1"/>
  <c r="AE3" i="4" s="1"/>
  <c r="AE32" i="10"/>
  <c r="AD81" i="6"/>
  <c r="AD87" i="6"/>
  <c r="AD74" i="6"/>
  <c r="AD13" i="21"/>
  <c r="AD9" i="37"/>
  <c r="AD19" i="10"/>
  <c r="AD39" i="10"/>
  <c r="AD17" i="12"/>
  <c r="AC2" i="40"/>
  <c r="AC2" i="37"/>
  <c r="AC2" i="34"/>
  <c r="AC2" i="31"/>
  <c r="AC2" i="28"/>
  <c r="AC2" i="22"/>
  <c r="AC2" i="21"/>
  <c r="AC60" i="20"/>
  <c r="AC2" i="20"/>
  <c r="AC2" i="19"/>
  <c r="AC2" i="18"/>
  <c r="AC2" i="17"/>
  <c r="AC2" i="16"/>
  <c r="AC2" i="15"/>
  <c r="AC2" i="14"/>
  <c r="AC2" i="13"/>
  <c r="AC2" i="11"/>
  <c r="AC2" i="12"/>
  <c r="AC2" i="8"/>
  <c r="AC313" i="6"/>
  <c r="AC315" i="6" s="1"/>
  <c r="AC307" i="6"/>
  <c r="AD308" i="6" s="1"/>
  <c r="AC235" i="6"/>
  <c r="AC237" i="6" s="1"/>
  <c r="AC20" i="16" s="1"/>
  <c r="AC2" i="10"/>
  <c r="AC276" i="6"/>
  <c r="AC278" i="6" s="1"/>
  <c r="AC270" i="6" s="1"/>
  <c r="AC271" i="6" s="1"/>
  <c r="AC264" i="6" s="1"/>
  <c r="AC243" i="6"/>
  <c r="AC245" i="6" s="1"/>
  <c r="AC21" i="18" s="1"/>
  <c r="AC176" i="6"/>
  <c r="AC178" i="6" s="1"/>
  <c r="AC183" i="6" s="1"/>
  <c r="AC184" i="6" s="1"/>
  <c r="AC188" i="6" s="1"/>
  <c r="AC227" i="6"/>
  <c r="AC229" i="6" s="1"/>
  <c r="AC21" i="17" s="1"/>
  <c r="AC170" i="6"/>
  <c r="AC171" i="6" s="1"/>
  <c r="AC120" i="6"/>
  <c r="AC122" i="6" s="1"/>
  <c r="AC127" i="6" s="1"/>
  <c r="AC128" i="6" s="1"/>
  <c r="AC132" i="6" s="1"/>
  <c r="AC114" i="6"/>
  <c r="AC115" i="6" s="1"/>
  <c r="AC92" i="6"/>
  <c r="AC2" i="7"/>
  <c r="AC203" i="6"/>
  <c r="AC147" i="6"/>
  <c r="AC2" i="9"/>
  <c r="AC32" i="6"/>
  <c r="AC52" i="6"/>
  <c r="AC72" i="6"/>
  <c r="AC2" i="6"/>
  <c r="O24" i="10"/>
  <c r="O26" i="10" s="1"/>
  <c r="M17" i="28"/>
  <c r="AC61" i="20"/>
  <c r="AC67" i="20" s="1"/>
  <c r="M47" i="16"/>
  <c r="M33" i="16"/>
  <c r="M34" i="16" s="1"/>
  <c r="AD34" i="6"/>
  <c r="AD41" i="6"/>
  <c r="AD47" i="6"/>
  <c r="AB141" i="6"/>
  <c r="AB162" i="6"/>
  <c r="AB54" i="6"/>
  <c r="AB67" i="6"/>
  <c r="AB61" i="6"/>
  <c r="G13" i="47" l="1"/>
  <c r="H4" i="47"/>
  <c r="H25" i="47"/>
  <c r="M13" i="16"/>
  <c r="M15" i="16" s="1"/>
  <c r="AD26" i="31"/>
  <c r="AE11" i="21"/>
  <c r="AD29" i="9"/>
  <c r="AE107" i="6"/>
  <c r="AE94" i="6"/>
  <c r="AE101" i="6"/>
  <c r="AC162" i="6"/>
  <c r="AC141" i="6"/>
  <c r="AE53" i="20"/>
  <c r="AE54" i="20" s="1"/>
  <c r="AE58" i="20" s="1"/>
  <c r="AE59" i="20"/>
  <c r="AE284" i="6"/>
  <c r="AE285" i="6" s="1"/>
  <c r="AE277" i="6"/>
  <c r="AE244" i="6"/>
  <c r="AE228" i="6"/>
  <c r="AE236" i="6"/>
  <c r="AE177" i="6"/>
  <c r="AE121" i="6"/>
  <c r="AE18" i="6"/>
  <c r="AE19" i="6" s="1"/>
  <c r="AE2" i="4" s="1"/>
  <c r="AE14" i="37"/>
  <c r="AE63" i="12"/>
  <c r="AE54" i="12"/>
  <c r="AE67" i="12"/>
  <c r="AE68" i="12" s="1"/>
  <c r="N14" i="31"/>
  <c r="H29" i="47" s="1"/>
  <c r="O24" i="11"/>
  <c r="AD18" i="37"/>
  <c r="AD20" i="13"/>
  <c r="AD28" i="13"/>
  <c r="AD55" i="12"/>
  <c r="AD2" i="40"/>
  <c r="AD2" i="37"/>
  <c r="AD2" i="34"/>
  <c r="AD2" i="31"/>
  <c r="AD2" i="22"/>
  <c r="AD2" i="28"/>
  <c r="AD2" i="21"/>
  <c r="AD60" i="20"/>
  <c r="AD61" i="20" s="1"/>
  <c r="AD67" i="20" s="1"/>
  <c r="AD2" i="20"/>
  <c r="AD2" i="19"/>
  <c r="AD2" i="18"/>
  <c r="AD2" i="17"/>
  <c r="AD2" i="16"/>
  <c r="AD2" i="15"/>
  <c r="AD2" i="14"/>
  <c r="AD2" i="13"/>
  <c r="AD2" i="12"/>
  <c r="AD313" i="6"/>
  <c r="AD315" i="6" s="1"/>
  <c r="AD307" i="6"/>
  <c r="AE308" i="6" s="1"/>
  <c r="AD235" i="6"/>
  <c r="AD237" i="6" s="1"/>
  <c r="AD20" i="16" s="1"/>
  <c r="AD2" i="11"/>
  <c r="AD2" i="10"/>
  <c r="AD276" i="6"/>
  <c r="AD278" i="6" s="1"/>
  <c r="AD270" i="6" s="1"/>
  <c r="AD271" i="6" s="1"/>
  <c r="AD264" i="6" s="1"/>
  <c r="AD243" i="6"/>
  <c r="AD245" i="6" s="1"/>
  <c r="AD21" i="18" s="1"/>
  <c r="AD2" i="9"/>
  <c r="AD2" i="7"/>
  <c r="AD227" i="6"/>
  <c r="AD229" i="6" s="1"/>
  <c r="AD21" i="17" s="1"/>
  <c r="AD170" i="6"/>
  <c r="AD171" i="6" s="1"/>
  <c r="AD120" i="6"/>
  <c r="AD122" i="6" s="1"/>
  <c r="AD127" i="6" s="1"/>
  <c r="AD128" i="6" s="1"/>
  <c r="AD132" i="6" s="1"/>
  <c r="AD114" i="6"/>
  <c r="AD115" i="6" s="1"/>
  <c r="AD92" i="6"/>
  <c r="AD2" i="8"/>
  <c r="AD203" i="6"/>
  <c r="AD52" i="6"/>
  <c r="AD147" i="6"/>
  <c r="AD72" i="6"/>
  <c r="AD176" i="6"/>
  <c r="AD178" i="6" s="1"/>
  <c r="AD183" i="6" s="1"/>
  <c r="AD184" i="6" s="1"/>
  <c r="AD188" i="6" s="1"/>
  <c r="AD32" i="6"/>
  <c r="AD2" i="6"/>
  <c r="N19" i="34"/>
  <c r="H58" i="47" s="1"/>
  <c r="N26" i="16"/>
  <c r="P27" i="16" s="1"/>
  <c r="N12" i="16"/>
  <c r="AC197" i="6"/>
  <c r="AC218" i="6"/>
  <c r="AC54" i="6"/>
  <c r="AC61" i="6"/>
  <c r="AC67" i="6"/>
  <c r="AF4" i="40"/>
  <c r="AF4" i="37"/>
  <c r="AF4" i="34"/>
  <c r="AF4" i="31"/>
  <c r="AF4" i="28"/>
  <c r="AF74" i="20"/>
  <c r="AF4" i="21"/>
  <c r="AF4" i="22"/>
  <c r="AF10" i="21"/>
  <c r="AF4" i="20"/>
  <c r="AF32" i="20"/>
  <c r="AF28" i="19"/>
  <c r="AF4" i="19"/>
  <c r="AF4" i="18"/>
  <c r="AF4" i="17"/>
  <c r="AF10" i="18"/>
  <c r="AF40" i="15"/>
  <c r="AF10" i="16"/>
  <c r="AF27" i="15"/>
  <c r="AF10" i="17"/>
  <c r="AF4" i="14"/>
  <c r="AF4" i="13"/>
  <c r="AF60" i="12"/>
  <c r="AF50" i="12"/>
  <c r="AF4" i="16"/>
  <c r="AF17" i="13"/>
  <c r="AF25" i="13"/>
  <c r="AF37" i="12"/>
  <c r="AF4" i="15"/>
  <c r="AF4" i="12"/>
  <c r="AF4" i="10"/>
  <c r="AF23" i="11"/>
  <c r="AF4" i="11"/>
  <c r="AF10" i="9"/>
  <c r="AF325" i="6"/>
  <c r="AF326" i="6" s="1"/>
  <c r="AF340" i="6"/>
  <c r="AF341" i="6" s="1"/>
  <c r="AF290" i="6"/>
  <c r="AF291" i="6" s="1"/>
  <c r="AF253" i="6"/>
  <c r="AF330" i="6"/>
  <c r="AF331" i="6" s="1"/>
  <c r="AF269" i="6"/>
  <c r="AF18" i="12"/>
  <c r="AF4" i="9"/>
  <c r="AF4" i="7"/>
  <c r="AF345" i="6"/>
  <c r="AF346" i="6" s="1"/>
  <c r="AF295" i="6"/>
  <c r="AF296" i="6" s="1"/>
  <c r="AF35" i="9"/>
  <c r="AF4" i="8"/>
  <c r="AF314" i="6"/>
  <c r="AF16" i="10"/>
  <c r="AF60" i="6"/>
  <c r="AF196" i="6"/>
  <c r="AF66" i="6"/>
  <c r="AF306" i="6"/>
  <c r="AF73" i="6"/>
  <c r="AF140" i="6"/>
  <c r="AF86" i="6"/>
  <c r="AF182" i="6"/>
  <c r="AF93" i="6"/>
  <c r="AF40" i="6"/>
  <c r="AG28" i="6"/>
  <c r="AG4" i="4" s="1"/>
  <c r="AF80" i="6"/>
  <c r="AF53" i="6"/>
  <c r="AF46" i="6"/>
  <c r="AF33" i="6"/>
  <c r="AF100" i="6"/>
  <c r="AF4" i="6"/>
  <c r="AF11" i="6"/>
  <c r="AF12" i="6" s="1"/>
  <c r="AF106" i="6"/>
  <c r="AF23" i="6"/>
  <c r="AF24" i="6" s="1"/>
  <c r="AF3" i="4" s="1"/>
  <c r="AF126" i="6"/>
  <c r="AF32" i="10"/>
  <c r="AE74" i="6"/>
  <c r="AE87" i="6"/>
  <c r="AE81" i="6"/>
  <c r="O44" i="12"/>
  <c r="O45" i="12" s="1"/>
  <c r="O20" i="10"/>
  <c r="O11" i="11"/>
  <c r="O12" i="11" s="1"/>
  <c r="AE13" i="21"/>
  <c r="AE9" i="37"/>
  <c r="AE39" i="10"/>
  <c r="AE17" i="12"/>
  <c r="AE19" i="10"/>
  <c r="M24" i="34"/>
  <c r="G63" i="47" s="1"/>
  <c r="AE3" i="40"/>
  <c r="AE3" i="37"/>
  <c r="AE3" i="34"/>
  <c r="AE3" i="28"/>
  <c r="AE3" i="31"/>
  <c r="AE3" i="21"/>
  <c r="AE3" i="22"/>
  <c r="AE3" i="20"/>
  <c r="AE3" i="19"/>
  <c r="AE3" i="18"/>
  <c r="AE3" i="17"/>
  <c r="AE3" i="16"/>
  <c r="AE3" i="15"/>
  <c r="AE3" i="14"/>
  <c r="AE3" i="13"/>
  <c r="AE3" i="11"/>
  <c r="AE3" i="12"/>
  <c r="AE3" i="9"/>
  <c r="AE3" i="7"/>
  <c r="AE3" i="8"/>
  <c r="AE3" i="10"/>
  <c r="AE99" i="6"/>
  <c r="AE59" i="6"/>
  <c r="AE79" i="6"/>
  <c r="AE39" i="6"/>
  <c r="AE3" i="6"/>
  <c r="AE41" i="6"/>
  <c r="AE47" i="6"/>
  <c r="AE34" i="6"/>
  <c r="AF3" i="40" l="1"/>
  <c r="AF3" i="37"/>
  <c r="AF3" i="34"/>
  <c r="AF3" i="31"/>
  <c r="AF3" i="28"/>
  <c r="AF3" i="22"/>
  <c r="AF3" i="21"/>
  <c r="AF3" i="20"/>
  <c r="AF3" i="19"/>
  <c r="AF3" i="18"/>
  <c r="AF3" i="17"/>
  <c r="AF3" i="16"/>
  <c r="AF3" i="15"/>
  <c r="AF3" i="14"/>
  <c r="AF3" i="11"/>
  <c r="AF3" i="13"/>
  <c r="AF3" i="12"/>
  <c r="AF3" i="10"/>
  <c r="AF3" i="9"/>
  <c r="AF3" i="7"/>
  <c r="AF3" i="8"/>
  <c r="AF59" i="6"/>
  <c r="AF79" i="6"/>
  <c r="AF39" i="6"/>
  <c r="AF99" i="6"/>
  <c r="AF3" i="6"/>
  <c r="AE26" i="31"/>
  <c r="AF11" i="21"/>
  <c r="AE29" i="9"/>
  <c r="O16" i="19"/>
  <c r="O17" i="19" s="1"/>
  <c r="O42" i="15"/>
  <c r="O20" i="15"/>
  <c r="O25" i="11"/>
  <c r="AF41" i="6"/>
  <c r="AF47" i="6"/>
  <c r="AF34" i="6"/>
  <c r="AD218" i="6"/>
  <c r="AD197" i="6"/>
  <c r="AG4" i="40"/>
  <c r="AG4" i="37"/>
  <c r="AG4" i="34"/>
  <c r="AG4" i="31"/>
  <c r="AG4" i="28"/>
  <c r="AG4" i="21"/>
  <c r="AG4" i="22"/>
  <c r="AG10" i="21"/>
  <c r="AG4" i="20"/>
  <c r="AG74" i="20"/>
  <c r="AG28" i="19"/>
  <c r="AG32" i="20"/>
  <c r="AG4" i="19"/>
  <c r="AG4" i="18"/>
  <c r="AG10" i="18"/>
  <c r="AG10" i="17"/>
  <c r="AG10" i="16"/>
  <c r="AG4" i="17"/>
  <c r="AG4" i="16"/>
  <c r="AG4" i="14"/>
  <c r="AG40" i="15"/>
  <c r="AG4" i="15"/>
  <c r="AG50" i="12"/>
  <c r="AG27" i="15"/>
  <c r="AG17" i="13"/>
  <c r="AG25" i="13"/>
  <c r="AG37" i="12"/>
  <c r="AG4" i="12"/>
  <c r="AG4" i="10"/>
  <c r="AG60" i="12"/>
  <c r="AG4" i="13"/>
  <c r="AG23" i="11"/>
  <c r="AG4" i="11"/>
  <c r="AG18" i="12"/>
  <c r="AG340" i="6"/>
  <c r="AG341" i="6" s="1"/>
  <c r="AG290" i="6"/>
  <c r="AG291" i="6" s="1"/>
  <c r="AG253" i="6"/>
  <c r="AG330" i="6"/>
  <c r="AG331" i="6" s="1"/>
  <c r="AG269" i="6"/>
  <c r="AG4" i="9"/>
  <c r="AG4" i="7"/>
  <c r="AG345" i="6"/>
  <c r="AG346" i="6" s="1"/>
  <c r="AG295" i="6"/>
  <c r="AG296" i="6" s="1"/>
  <c r="AG35" i="9"/>
  <c r="AG4" i="8"/>
  <c r="AG314" i="6"/>
  <c r="AG16" i="10"/>
  <c r="AG306" i="6"/>
  <c r="AG10" i="9"/>
  <c r="AG196" i="6"/>
  <c r="AG66" i="6"/>
  <c r="AG325" i="6"/>
  <c r="AG326" i="6" s="1"/>
  <c r="AG73" i="6"/>
  <c r="AG80" i="6"/>
  <c r="AG140" i="6"/>
  <c r="AG182" i="6"/>
  <c r="AG93" i="6"/>
  <c r="AG126" i="6"/>
  <c r="AG100" i="6"/>
  <c r="AG46" i="6"/>
  <c r="AG60" i="6"/>
  <c r="AG4" i="6"/>
  <c r="AG40" i="6"/>
  <c r="AH28" i="6"/>
  <c r="AH4" i="4" s="1"/>
  <c r="AG86" i="6"/>
  <c r="AG11" i="6"/>
  <c r="AG12" i="6" s="1"/>
  <c r="AG106" i="6"/>
  <c r="AG23" i="6"/>
  <c r="AG24" i="6" s="1"/>
  <c r="AG3" i="4" s="1"/>
  <c r="AG53" i="6"/>
  <c r="AG33" i="6"/>
  <c r="AG32" i="10"/>
  <c r="AF94" i="6"/>
  <c r="AF101" i="6"/>
  <c r="AF107" i="6"/>
  <c r="AF13" i="21"/>
  <c r="O16" i="37"/>
  <c r="O53" i="12"/>
  <c r="O56" i="12" s="1"/>
  <c r="O62" i="12"/>
  <c r="O64" i="12" s="1"/>
  <c r="AF53" i="20"/>
  <c r="AF54" i="20" s="1"/>
  <c r="AF58" i="20" s="1"/>
  <c r="AF59" i="20"/>
  <c r="AF277" i="6"/>
  <c r="AF244" i="6"/>
  <c r="AF228" i="6"/>
  <c r="AF236" i="6"/>
  <c r="AF177" i="6"/>
  <c r="AF121" i="6"/>
  <c r="AF284" i="6"/>
  <c r="AF285" i="6" s="1"/>
  <c r="AF18" i="6"/>
  <c r="AF19" i="6" s="1"/>
  <c r="AF2" i="4" s="1"/>
  <c r="AD54" i="6"/>
  <c r="AD61" i="6"/>
  <c r="AD67" i="6"/>
  <c r="AE2" i="40"/>
  <c r="AE2" i="37"/>
  <c r="AE2" i="34"/>
  <c r="AE2" i="31"/>
  <c r="AE2" i="28"/>
  <c r="AE2" i="22"/>
  <c r="AE60" i="20"/>
  <c r="AE61" i="20" s="1"/>
  <c r="AE67" i="20" s="1"/>
  <c r="AE2" i="20"/>
  <c r="AE2" i="21"/>
  <c r="AE2" i="19"/>
  <c r="AE2" i="18"/>
  <c r="AE2" i="17"/>
  <c r="AE2" i="15"/>
  <c r="AE2" i="16"/>
  <c r="AE2" i="13"/>
  <c r="AE2" i="12"/>
  <c r="AE2" i="10"/>
  <c r="AE2" i="14"/>
  <c r="AE2" i="11"/>
  <c r="AE235" i="6"/>
  <c r="AE237" i="6" s="1"/>
  <c r="AE20" i="16" s="1"/>
  <c r="AE276" i="6"/>
  <c r="AE278" i="6" s="1"/>
  <c r="AE270" i="6" s="1"/>
  <c r="AE271" i="6" s="1"/>
  <c r="AE264" i="6" s="1"/>
  <c r="AE243" i="6"/>
  <c r="AE245" i="6" s="1"/>
  <c r="AE21" i="18" s="1"/>
  <c r="AE2" i="9"/>
  <c r="AE2" i="7"/>
  <c r="AE227" i="6"/>
  <c r="AE229" i="6" s="1"/>
  <c r="AE21" i="17" s="1"/>
  <c r="AE2" i="8"/>
  <c r="AE313" i="6"/>
  <c r="AE315" i="6" s="1"/>
  <c r="AE114" i="6"/>
  <c r="AE115" i="6" s="1"/>
  <c r="AE203" i="6"/>
  <c r="AE52" i="6"/>
  <c r="AE147" i="6"/>
  <c r="AE72" i="6"/>
  <c r="AE176" i="6"/>
  <c r="AE178" i="6" s="1"/>
  <c r="AE183" i="6" s="1"/>
  <c r="AE184" i="6" s="1"/>
  <c r="AE188" i="6" s="1"/>
  <c r="AE307" i="6"/>
  <c r="AF308" i="6" s="1"/>
  <c r="AE170" i="6"/>
  <c r="AE171" i="6" s="1"/>
  <c r="AE32" i="6"/>
  <c r="AE2" i="6"/>
  <c r="AE92" i="6"/>
  <c r="AE120" i="6"/>
  <c r="AE122" i="6" s="1"/>
  <c r="AE127" i="6" s="1"/>
  <c r="AE128" i="6" s="1"/>
  <c r="AE132" i="6" s="1"/>
  <c r="M17" i="31"/>
  <c r="G32" i="47" s="1"/>
  <c r="N11" i="16"/>
  <c r="P14" i="16"/>
  <c r="P28" i="16"/>
  <c r="P20" i="34" s="1"/>
  <c r="J59" i="47" s="1"/>
  <c r="AE18" i="37"/>
  <c r="AE28" i="13"/>
  <c r="AE55" i="12"/>
  <c r="AE20" i="13"/>
  <c r="AF14" i="37"/>
  <c r="AF63" i="12"/>
  <c r="AF54" i="12"/>
  <c r="AF67" i="12"/>
  <c r="AF68" i="12" s="1"/>
  <c r="AF9" i="37"/>
  <c r="AF39" i="10"/>
  <c r="AF17" i="12"/>
  <c r="AF19" i="10"/>
  <c r="AF74" i="6"/>
  <c r="AF81" i="6"/>
  <c r="AF87" i="6"/>
  <c r="AD162" i="6"/>
  <c r="AD141" i="6"/>
  <c r="O17" i="37" l="1"/>
  <c r="O17" i="11"/>
  <c r="O18" i="11" s="1"/>
  <c r="P61" i="12"/>
  <c r="AG34" i="6"/>
  <c r="AG47" i="6"/>
  <c r="AG41" i="6"/>
  <c r="O15" i="37"/>
  <c r="P51" i="12"/>
  <c r="AG59" i="20"/>
  <c r="AG53" i="20"/>
  <c r="AG54" i="20" s="1"/>
  <c r="AG58" i="20" s="1"/>
  <c r="AG244" i="6"/>
  <c r="AG228" i="6"/>
  <c r="AG236" i="6"/>
  <c r="AG284" i="6"/>
  <c r="AG285" i="6" s="1"/>
  <c r="AG177" i="6"/>
  <c r="AG121" i="6"/>
  <c r="AG277" i="6"/>
  <c r="AG18" i="6"/>
  <c r="AG19" i="6" s="1"/>
  <c r="AG2" i="4" s="1"/>
  <c r="AG101" i="6"/>
  <c r="AG107" i="6"/>
  <c r="AG94" i="6"/>
  <c r="AG14" i="37"/>
  <c r="AG63" i="12"/>
  <c r="AG54" i="12"/>
  <c r="AG67" i="12"/>
  <c r="AG68" i="12" s="1"/>
  <c r="AF18" i="37"/>
  <c r="AF55" i="12"/>
  <c r="AF20" i="13"/>
  <c r="AF28" i="13"/>
  <c r="AE162" i="6"/>
  <c r="AE141" i="6"/>
  <c r="AG9" i="37"/>
  <c r="AG39" i="10"/>
  <c r="AG17" i="12"/>
  <c r="AG19" i="10"/>
  <c r="AH4" i="40"/>
  <c r="AH4" i="37"/>
  <c r="AH4" i="34"/>
  <c r="AH4" i="31"/>
  <c r="AH4" i="28"/>
  <c r="AH4" i="21"/>
  <c r="AH10" i="21"/>
  <c r="AH74" i="20"/>
  <c r="AH4" i="22"/>
  <c r="AH32" i="20"/>
  <c r="AH4" i="20"/>
  <c r="AH28" i="19"/>
  <c r="AH4" i="19"/>
  <c r="AH4" i="17"/>
  <c r="AH10" i="18"/>
  <c r="AH10" i="16"/>
  <c r="AH4" i="18"/>
  <c r="AH10" i="17"/>
  <c r="AH4" i="14"/>
  <c r="AH40" i="15"/>
  <c r="AH4" i="15"/>
  <c r="AH4" i="16"/>
  <c r="AH27" i="15"/>
  <c r="AH17" i="13"/>
  <c r="AH25" i="13"/>
  <c r="AH4" i="13"/>
  <c r="AH60" i="12"/>
  <c r="AH4" i="12"/>
  <c r="AH23" i="11"/>
  <c r="AH50" i="12"/>
  <c r="AH37" i="12"/>
  <c r="AH4" i="11"/>
  <c r="AH16" i="10"/>
  <c r="AH253" i="6"/>
  <c r="AH330" i="6"/>
  <c r="AH331" i="6" s="1"/>
  <c r="AH269" i="6"/>
  <c r="AH4" i="9"/>
  <c r="AH4" i="7"/>
  <c r="AH345" i="6"/>
  <c r="AH346" i="6" s="1"/>
  <c r="AH295" i="6"/>
  <c r="AH296" i="6" s="1"/>
  <c r="AH35" i="9"/>
  <c r="AH4" i="8"/>
  <c r="AH314" i="6"/>
  <c r="AH306" i="6"/>
  <c r="AH4" i="10"/>
  <c r="AH10" i="9"/>
  <c r="AH325" i="6"/>
  <c r="AH326" i="6" s="1"/>
  <c r="AH196" i="6"/>
  <c r="AH73" i="6"/>
  <c r="AH290" i="6"/>
  <c r="AH291" i="6" s="1"/>
  <c r="AH80" i="6"/>
  <c r="AH140" i="6"/>
  <c r="AH86" i="6"/>
  <c r="AH33" i="6"/>
  <c r="AH182" i="6"/>
  <c r="AH340" i="6"/>
  <c r="AH341" i="6" s="1"/>
  <c r="AH126" i="6"/>
  <c r="AH100" i="6"/>
  <c r="AH46" i="6"/>
  <c r="AH106" i="6"/>
  <c r="AH53" i="6"/>
  <c r="AH40" i="6"/>
  <c r="AI28" i="6"/>
  <c r="AI4" i="4" s="1"/>
  <c r="AH4" i="6"/>
  <c r="AH93" i="6"/>
  <c r="AH66" i="6"/>
  <c r="AH11" i="6"/>
  <c r="AH12" i="6" s="1"/>
  <c r="AH23" i="6"/>
  <c r="AH24" i="6" s="1"/>
  <c r="AH3" i="4" s="1"/>
  <c r="AH60" i="6"/>
  <c r="O21" i="19"/>
  <c r="O43" i="15"/>
  <c r="O45" i="15" s="1"/>
  <c r="O21" i="15"/>
  <c r="Q22" i="15" s="1"/>
  <c r="AE218" i="6"/>
  <c r="AE197" i="6"/>
  <c r="AE61" i="6"/>
  <c r="AE67" i="6"/>
  <c r="AE54" i="6"/>
  <c r="AF26" i="31"/>
  <c r="AG11" i="21"/>
  <c r="AG13" i="21" s="1"/>
  <c r="AF29" i="9"/>
  <c r="N39" i="16"/>
  <c r="N40" i="16" s="1"/>
  <c r="AG74" i="6"/>
  <c r="AG81" i="6"/>
  <c r="AG87" i="6"/>
  <c r="AF2" i="40"/>
  <c r="AF2" i="37"/>
  <c r="AF2" i="34"/>
  <c r="AF2" i="31"/>
  <c r="AF2" i="28"/>
  <c r="AF2" i="21"/>
  <c r="AF2" i="22"/>
  <c r="AF60" i="20"/>
  <c r="AF61" i="20" s="1"/>
  <c r="AF67" i="20" s="1"/>
  <c r="AF2" i="20"/>
  <c r="AF2" i="18"/>
  <c r="AF2" i="17"/>
  <c r="AF2" i="19"/>
  <c r="AF2" i="14"/>
  <c r="AF2" i="16"/>
  <c r="AF2" i="13"/>
  <c r="AF2" i="15"/>
  <c r="AF2" i="12"/>
  <c r="AF2" i="10"/>
  <c r="AF2" i="11"/>
  <c r="AF276" i="6"/>
  <c r="AF278" i="6" s="1"/>
  <c r="AF270" i="6" s="1"/>
  <c r="AF271" i="6" s="1"/>
  <c r="AF264" i="6" s="1"/>
  <c r="AF243" i="6"/>
  <c r="AF245" i="6" s="1"/>
  <c r="AF21" i="18" s="1"/>
  <c r="AF2" i="9"/>
  <c r="AF2" i="7"/>
  <c r="AF2" i="8"/>
  <c r="AF313" i="6"/>
  <c r="AF315" i="6" s="1"/>
  <c r="AF307" i="6"/>
  <c r="AG308" i="6" s="1"/>
  <c r="AF227" i="6"/>
  <c r="AF229" i="6" s="1"/>
  <c r="AF21" i="17" s="1"/>
  <c r="AF203" i="6"/>
  <c r="AF52" i="6"/>
  <c r="AF147" i="6"/>
  <c r="AF176" i="6"/>
  <c r="AF178" i="6" s="1"/>
  <c r="AF183" i="6" s="1"/>
  <c r="AF184" i="6" s="1"/>
  <c r="AF188" i="6" s="1"/>
  <c r="AF235" i="6"/>
  <c r="AF237" i="6" s="1"/>
  <c r="AF20" i="16" s="1"/>
  <c r="AF170" i="6"/>
  <c r="AF171" i="6" s="1"/>
  <c r="AF120" i="6"/>
  <c r="AF122" i="6" s="1"/>
  <c r="AF127" i="6" s="1"/>
  <c r="AF128" i="6" s="1"/>
  <c r="AF132" i="6" s="1"/>
  <c r="AF32" i="6"/>
  <c r="AF2" i="6"/>
  <c r="AF72" i="6"/>
  <c r="AF92" i="6"/>
  <c r="AF114" i="6"/>
  <c r="AF115" i="6" s="1"/>
  <c r="AG3" i="40"/>
  <c r="AG3" i="37"/>
  <c r="AG3" i="34"/>
  <c r="AG3" i="31"/>
  <c r="AG3" i="28"/>
  <c r="AG3" i="22"/>
  <c r="AG3" i="21"/>
  <c r="AG3" i="20"/>
  <c r="AG3" i="19"/>
  <c r="AG3" i="18"/>
  <c r="AG3" i="17"/>
  <c r="AG3" i="16"/>
  <c r="AG3" i="15"/>
  <c r="AG3" i="14"/>
  <c r="AG3" i="13"/>
  <c r="AG3" i="11"/>
  <c r="AG3" i="12"/>
  <c r="AG3" i="8"/>
  <c r="AG3" i="10"/>
  <c r="AG59" i="6"/>
  <c r="AG3" i="7"/>
  <c r="AG39" i="6"/>
  <c r="AG3" i="9"/>
  <c r="AG79" i="6"/>
  <c r="AG99" i="6"/>
  <c r="AG3" i="6"/>
  <c r="Q8" i="34" l="1"/>
  <c r="K47" i="47" s="1"/>
  <c r="Q44" i="15"/>
  <c r="AG26" i="31"/>
  <c r="AH11" i="21"/>
  <c r="AH13" i="21" s="1"/>
  <c r="AG29" i="9"/>
  <c r="O10" i="31"/>
  <c r="I25" i="47" s="1"/>
  <c r="P41" i="15"/>
  <c r="AH34" i="6"/>
  <c r="AH41" i="6"/>
  <c r="AH47" i="6"/>
  <c r="AI4" i="40"/>
  <c r="AI4" i="37"/>
  <c r="AI4" i="34"/>
  <c r="AI4" i="28"/>
  <c r="AI4" i="31"/>
  <c r="AI4" i="21"/>
  <c r="AI4" i="22"/>
  <c r="AI10" i="21"/>
  <c r="AI4" i="20"/>
  <c r="AI32" i="20"/>
  <c r="AI74" i="20"/>
  <c r="AI4" i="19"/>
  <c r="AI28" i="19"/>
  <c r="AI10" i="18"/>
  <c r="AI4" i="18"/>
  <c r="AI4" i="17"/>
  <c r="AI4" i="16"/>
  <c r="AI10" i="17"/>
  <c r="AI40" i="15"/>
  <c r="AI10" i="16"/>
  <c r="AI4" i="15"/>
  <c r="AI27" i="15"/>
  <c r="AI17" i="13"/>
  <c r="AI25" i="13"/>
  <c r="AI37" i="12"/>
  <c r="AI4" i="14"/>
  <c r="AI4" i="13"/>
  <c r="AI60" i="12"/>
  <c r="AI50" i="12"/>
  <c r="AI23" i="11"/>
  <c r="AI4" i="11"/>
  <c r="AI16" i="10"/>
  <c r="AI330" i="6"/>
  <c r="AI331" i="6" s="1"/>
  <c r="AI269" i="6"/>
  <c r="AI4" i="12"/>
  <c r="AI4" i="9"/>
  <c r="AI4" i="7"/>
  <c r="AI345" i="6"/>
  <c r="AI346" i="6" s="1"/>
  <c r="AI295" i="6"/>
  <c r="AI296" i="6" s="1"/>
  <c r="AI35" i="9"/>
  <c r="AI4" i="8"/>
  <c r="AI314" i="6"/>
  <c r="AI196" i="6"/>
  <c r="AI306" i="6"/>
  <c r="AI4" i="10"/>
  <c r="AI10" i="9"/>
  <c r="AI325" i="6"/>
  <c r="AI326" i="6" s="1"/>
  <c r="AI340" i="6"/>
  <c r="AI341" i="6" s="1"/>
  <c r="AI290" i="6"/>
  <c r="AI291" i="6" s="1"/>
  <c r="AI80" i="6"/>
  <c r="AI140" i="6"/>
  <c r="AI86" i="6"/>
  <c r="AI33" i="6"/>
  <c r="AI182" i="6"/>
  <c r="AI93" i="6"/>
  <c r="AI40" i="6"/>
  <c r="AJ28" i="6"/>
  <c r="AJ4" i="4" s="1"/>
  <c r="AI126" i="6"/>
  <c r="AI106" i="6"/>
  <c r="AI53" i="6"/>
  <c r="AI60" i="6"/>
  <c r="AI253" i="6"/>
  <c r="AI66" i="6"/>
  <c r="AI11" i="6"/>
  <c r="AI12" i="6" s="1"/>
  <c r="AI100" i="6"/>
  <c r="AI23" i="6"/>
  <c r="AI24" i="6" s="1"/>
  <c r="AI3" i="4" s="1"/>
  <c r="AI73" i="6"/>
  <c r="AI46" i="6"/>
  <c r="AI4" i="6"/>
  <c r="AG2" i="40"/>
  <c r="AG2" i="37"/>
  <c r="AG2" i="34"/>
  <c r="AG2" i="31"/>
  <c r="AG2" i="28"/>
  <c r="AG2" i="21"/>
  <c r="AG2" i="22"/>
  <c r="AG60" i="20"/>
  <c r="AG61" i="20" s="1"/>
  <c r="AG67" i="20" s="1"/>
  <c r="AG2" i="20"/>
  <c r="AG2" i="19"/>
  <c r="AG2" i="18"/>
  <c r="AG2" i="16"/>
  <c r="AG2" i="14"/>
  <c r="AG2" i="15"/>
  <c r="AG2" i="17"/>
  <c r="AG2" i="13"/>
  <c r="AG2" i="12"/>
  <c r="AG2" i="10"/>
  <c r="AG2" i="11"/>
  <c r="AG276" i="6"/>
  <c r="AG278" i="6" s="1"/>
  <c r="AG270" i="6" s="1"/>
  <c r="AG271" i="6" s="1"/>
  <c r="AG264" i="6" s="1"/>
  <c r="AG243" i="6"/>
  <c r="AG245" i="6" s="1"/>
  <c r="AG21" i="18" s="1"/>
  <c r="AG2" i="9"/>
  <c r="AG2" i="7"/>
  <c r="AG227" i="6"/>
  <c r="AG229" i="6" s="1"/>
  <c r="AG21" i="17" s="1"/>
  <c r="AG203" i="6"/>
  <c r="AG2" i="8"/>
  <c r="AG313" i="6"/>
  <c r="AG315" i="6" s="1"/>
  <c r="AG307" i="6"/>
  <c r="AG235" i="6"/>
  <c r="AG237" i="6" s="1"/>
  <c r="AG20" i="16" s="1"/>
  <c r="AG147" i="6"/>
  <c r="AG72" i="6"/>
  <c r="AG176" i="6"/>
  <c r="AG178" i="6" s="1"/>
  <c r="AG183" i="6" s="1"/>
  <c r="AG184" i="6" s="1"/>
  <c r="AG188" i="6" s="1"/>
  <c r="AG170" i="6"/>
  <c r="AG171" i="6" s="1"/>
  <c r="AG120" i="6"/>
  <c r="AG122" i="6" s="1"/>
  <c r="AG127" i="6" s="1"/>
  <c r="AG128" i="6" s="1"/>
  <c r="AG132" i="6" s="1"/>
  <c r="AG114" i="6"/>
  <c r="AG115" i="6" s="1"/>
  <c r="AG92" i="6"/>
  <c r="AG32" i="6"/>
  <c r="AG2" i="6"/>
  <c r="AG52" i="6"/>
  <c r="O8" i="28"/>
  <c r="I4" i="47" s="1"/>
  <c r="O19" i="16"/>
  <c r="O21" i="16" s="1"/>
  <c r="O26" i="11"/>
  <c r="O27" i="11" s="1"/>
  <c r="AH3" i="40"/>
  <c r="AH3" i="37"/>
  <c r="AH3" i="34"/>
  <c r="AH3" i="31"/>
  <c r="AH3" i="22"/>
  <c r="AH3" i="28"/>
  <c r="AH3" i="21"/>
  <c r="AH3" i="20"/>
  <c r="AH3" i="19"/>
  <c r="AH3" i="18"/>
  <c r="AH3" i="17"/>
  <c r="AH3" i="16"/>
  <c r="AH3" i="15"/>
  <c r="AH3" i="13"/>
  <c r="AH3" i="14"/>
  <c r="AH3" i="12"/>
  <c r="AH3" i="11"/>
  <c r="AH3" i="10"/>
  <c r="AH3" i="9"/>
  <c r="AH3" i="7"/>
  <c r="AH3" i="8"/>
  <c r="AH79" i="6"/>
  <c r="AH99" i="6"/>
  <c r="AH59" i="6"/>
  <c r="AH39" i="6"/>
  <c r="AH3" i="6"/>
  <c r="AH94" i="6"/>
  <c r="AH107" i="6"/>
  <c r="AH101" i="6"/>
  <c r="AF218" i="6"/>
  <c r="AF197" i="6"/>
  <c r="AF67" i="6"/>
  <c r="AF61" i="6"/>
  <c r="AF54" i="6"/>
  <c r="N41" i="16"/>
  <c r="N45" i="16"/>
  <c r="N46" i="16" s="1"/>
  <c r="N32" i="16"/>
  <c r="AH308" i="6"/>
  <c r="P24" i="10"/>
  <c r="P26" i="10" s="1"/>
  <c r="AG18" i="37"/>
  <c r="D95" i="49" s="1" a="1"/>
  <c r="D95" i="49" s="1"/>
  <c r="AG55" i="12"/>
  <c r="AG20" i="13"/>
  <c r="AG28" i="13"/>
  <c r="AH59" i="20"/>
  <c r="AH53" i="20"/>
  <c r="AH54" i="20" s="1"/>
  <c r="AH58" i="20" s="1"/>
  <c r="AH228" i="6"/>
  <c r="AH236" i="6"/>
  <c r="AH284" i="6"/>
  <c r="AH285" i="6" s="1"/>
  <c r="AH277" i="6"/>
  <c r="AH177" i="6"/>
  <c r="AH244" i="6"/>
  <c r="AH121" i="6"/>
  <c r="AH18" i="6"/>
  <c r="AH19" i="6" s="1"/>
  <c r="AH2" i="4" s="1"/>
  <c r="AH81" i="6"/>
  <c r="AH87" i="6"/>
  <c r="AH74" i="6"/>
  <c r="AF141" i="6"/>
  <c r="AF162" i="6"/>
  <c r="AH26" i="31" l="1"/>
  <c r="AI11" i="21"/>
  <c r="AH29" i="9"/>
  <c r="AJ4" i="40"/>
  <c r="AJ4" i="37"/>
  <c r="AJ4" i="34"/>
  <c r="AJ4" i="31"/>
  <c r="AJ4" i="28"/>
  <c r="AJ4" i="22"/>
  <c r="AJ10" i="21"/>
  <c r="AJ32" i="20"/>
  <c r="AJ74" i="20"/>
  <c r="AJ4" i="21"/>
  <c r="AJ4" i="20"/>
  <c r="AJ4" i="19"/>
  <c r="AJ28" i="19"/>
  <c r="AJ10" i="18"/>
  <c r="AJ10" i="17"/>
  <c r="AJ4" i="18"/>
  <c r="AJ4" i="17"/>
  <c r="AJ4" i="16"/>
  <c r="AJ40" i="15"/>
  <c r="AJ4" i="15"/>
  <c r="AJ27" i="15"/>
  <c r="AJ17" i="13"/>
  <c r="AJ10" i="16"/>
  <c r="AJ25" i="13"/>
  <c r="AJ37" i="12"/>
  <c r="AJ4" i="14"/>
  <c r="AJ50" i="12"/>
  <c r="AJ23" i="11"/>
  <c r="AJ60" i="12"/>
  <c r="AJ4" i="11"/>
  <c r="AJ16" i="10"/>
  <c r="AJ4" i="13"/>
  <c r="AJ4" i="12"/>
  <c r="AJ4" i="10"/>
  <c r="AJ4" i="9"/>
  <c r="AJ4" i="7"/>
  <c r="AJ345" i="6"/>
  <c r="AJ346" i="6" s="1"/>
  <c r="AJ295" i="6"/>
  <c r="AJ296" i="6" s="1"/>
  <c r="AJ35" i="9"/>
  <c r="AJ4" i="8"/>
  <c r="AJ314" i="6"/>
  <c r="AJ306" i="6"/>
  <c r="AJ10" i="9"/>
  <c r="AJ325" i="6"/>
  <c r="AJ326" i="6" s="1"/>
  <c r="AJ340" i="6"/>
  <c r="AJ341" i="6" s="1"/>
  <c r="AJ290" i="6"/>
  <c r="AJ291" i="6" s="1"/>
  <c r="AJ253" i="6"/>
  <c r="AJ140" i="6"/>
  <c r="AJ86" i="6"/>
  <c r="AJ33" i="6"/>
  <c r="AJ182" i="6"/>
  <c r="AJ93" i="6"/>
  <c r="AJ40" i="6"/>
  <c r="AJ269" i="6"/>
  <c r="AJ126" i="6"/>
  <c r="AJ100" i="6"/>
  <c r="AJ46" i="6"/>
  <c r="AJ330" i="6"/>
  <c r="AJ331" i="6" s="1"/>
  <c r="AJ60" i="6"/>
  <c r="AJ66" i="6"/>
  <c r="AJ196" i="6"/>
  <c r="AJ23" i="6"/>
  <c r="AJ24" i="6" s="1"/>
  <c r="AJ3" i="4" s="1"/>
  <c r="AJ106" i="6"/>
  <c r="AJ73" i="6"/>
  <c r="AJ53" i="6"/>
  <c r="AJ4" i="6"/>
  <c r="AJ80" i="6"/>
  <c r="AK28" i="6"/>
  <c r="AK4" i="4" s="1"/>
  <c r="AJ11" i="6"/>
  <c r="AJ12" i="6" s="1"/>
  <c r="AI87" i="6"/>
  <c r="AI74" i="6"/>
  <c r="AI81" i="6"/>
  <c r="AG218" i="6"/>
  <c r="AG197" i="6"/>
  <c r="AI53" i="20"/>
  <c r="AI54" i="20" s="1"/>
  <c r="AI58" i="20" s="1"/>
  <c r="AI59" i="20"/>
  <c r="AI228" i="6"/>
  <c r="AI236" i="6"/>
  <c r="AI284" i="6"/>
  <c r="AI285" i="6" s="1"/>
  <c r="AI277" i="6"/>
  <c r="AI244" i="6"/>
  <c r="AI177" i="6"/>
  <c r="AI121" i="6"/>
  <c r="AI18" i="6"/>
  <c r="AI19" i="6" s="1"/>
  <c r="AI2" i="4" s="1"/>
  <c r="AG141" i="6"/>
  <c r="AG162" i="6"/>
  <c r="AI34" i="6"/>
  <c r="AI41" i="6"/>
  <c r="AI47" i="6"/>
  <c r="N17" i="28"/>
  <c r="P44" i="12"/>
  <c r="P45" i="12" s="1"/>
  <c r="P11" i="11"/>
  <c r="P12" i="11" s="1"/>
  <c r="P20" i="10"/>
  <c r="O14" i="31"/>
  <c r="I29" i="47" s="1"/>
  <c r="P24" i="11"/>
  <c r="AI94" i="6"/>
  <c r="AI101" i="6"/>
  <c r="AI107" i="6"/>
  <c r="AH2" i="40"/>
  <c r="AH2" i="37"/>
  <c r="AH2" i="34"/>
  <c r="AH2" i="31"/>
  <c r="AH2" i="28"/>
  <c r="AH2" i="21"/>
  <c r="AH2" i="22"/>
  <c r="AH60" i="20"/>
  <c r="AH2" i="20"/>
  <c r="AH2" i="17"/>
  <c r="AH2" i="19"/>
  <c r="AH2" i="18"/>
  <c r="AH2" i="14"/>
  <c r="AH2" i="16"/>
  <c r="AH2" i="15"/>
  <c r="AH2" i="13"/>
  <c r="AH2" i="12"/>
  <c r="AH2" i="11"/>
  <c r="AH243" i="6"/>
  <c r="AH245" i="6" s="1"/>
  <c r="AH21" i="18" s="1"/>
  <c r="AH2" i="10"/>
  <c r="AH2" i="9"/>
  <c r="AH2" i="7"/>
  <c r="AH227" i="6"/>
  <c r="AH229" i="6" s="1"/>
  <c r="AH21" i="17" s="1"/>
  <c r="AH203" i="6"/>
  <c r="AH2" i="8"/>
  <c r="AH313" i="6"/>
  <c r="AH315" i="6" s="1"/>
  <c r="AH307" i="6"/>
  <c r="AI308" i="6" s="1"/>
  <c r="AH235" i="6"/>
  <c r="AH237" i="6" s="1"/>
  <c r="AH20" i="16" s="1"/>
  <c r="AH276" i="6"/>
  <c r="AH278" i="6" s="1"/>
  <c r="AH270" i="6" s="1"/>
  <c r="AH271" i="6" s="1"/>
  <c r="AH264" i="6" s="1"/>
  <c r="AH147" i="6"/>
  <c r="AH72" i="6"/>
  <c r="AH176" i="6"/>
  <c r="AH178" i="6" s="1"/>
  <c r="AH183" i="6" s="1"/>
  <c r="AH184" i="6" s="1"/>
  <c r="AH188" i="6" s="1"/>
  <c r="AH170" i="6"/>
  <c r="AH171" i="6" s="1"/>
  <c r="AH120" i="6"/>
  <c r="AH122" i="6" s="1"/>
  <c r="AH127" i="6" s="1"/>
  <c r="AH128" i="6" s="1"/>
  <c r="AH132" i="6" s="1"/>
  <c r="AH114" i="6"/>
  <c r="AH115" i="6" s="1"/>
  <c r="AH92" i="6"/>
  <c r="AH2" i="6"/>
  <c r="AH52" i="6"/>
  <c r="AH32" i="6"/>
  <c r="O19" i="34"/>
  <c r="I58" i="47" s="1"/>
  <c r="O26" i="16"/>
  <c r="Q27" i="16" s="1"/>
  <c r="O12" i="16"/>
  <c r="AG54" i="6"/>
  <c r="AG61" i="6"/>
  <c r="AG67" i="6"/>
  <c r="AI13" i="21"/>
  <c r="AH61" i="20"/>
  <c r="AH67" i="20" s="1"/>
  <c r="N47" i="16"/>
  <c r="N33" i="16"/>
  <c r="N34" i="16" s="1"/>
  <c r="AI3" i="40"/>
  <c r="AI3" i="37"/>
  <c r="AI3" i="34"/>
  <c r="AI3" i="31"/>
  <c r="AI3" i="28"/>
  <c r="AI3" i="22"/>
  <c r="AI3" i="20"/>
  <c r="AI3" i="21"/>
  <c r="AI3" i="19"/>
  <c r="AI3" i="18"/>
  <c r="AI3" i="17"/>
  <c r="AI3" i="15"/>
  <c r="AI3" i="14"/>
  <c r="AI3" i="16"/>
  <c r="AI3" i="13"/>
  <c r="AI3" i="12"/>
  <c r="AI3" i="10"/>
  <c r="AI3" i="11"/>
  <c r="AI3" i="9"/>
  <c r="AI3" i="7"/>
  <c r="AI3" i="8"/>
  <c r="AI79" i="6"/>
  <c r="AI99" i="6"/>
  <c r="AI59" i="6"/>
  <c r="AI39" i="6"/>
  <c r="AI3" i="6"/>
  <c r="H13" i="47" l="1"/>
  <c r="N24" i="34"/>
  <c r="H63" i="47" s="1"/>
  <c r="AK4" i="40"/>
  <c r="AK4" i="37"/>
  <c r="AK4" i="34"/>
  <c r="AK4" i="31"/>
  <c r="AK4" i="28"/>
  <c r="AK4" i="22"/>
  <c r="AK10" i="21"/>
  <c r="AK74" i="20"/>
  <c r="AK4" i="21"/>
  <c r="AK4" i="20"/>
  <c r="AK32" i="20"/>
  <c r="AK28" i="19"/>
  <c r="AK4" i="19"/>
  <c r="AK10" i="18"/>
  <c r="AK4" i="18"/>
  <c r="AK4" i="17"/>
  <c r="AK4" i="16"/>
  <c r="AK10" i="17"/>
  <c r="AK10" i="16"/>
  <c r="AK40" i="15"/>
  <c r="AK4" i="15"/>
  <c r="AK27" i="15"/>
  <c r="AK4" i="14"/>
  <c r="AK25" i="13"/>
  <c r="AK4" i="13"/>
  <c r="AK60" i="12"/>
  <c r="AK4" i="11"/>
  <c r="AK17" i="13"/>
  <c r="AK50" i="12"/>
  <c r="AK37" i="12"/>
  <c r="AK4" i="12"/>
  <c r="AK23" i="11"/>
  <c r="AK35" i="9"/>
  <c r="AK4" i="8"/>
  <c r="AK314" i="6"/>
  <c r="AK196" i="6"/>
  <c r="AK306" i="6"/>
  <c r="AK10" i="9"/>
  <c r="AK325" i="6"/>
  <c r="AK326" i="6" s="1"/>
  <c r="AK16" i="10"/>
  <c r="AK4" i="10"/>
  <c r="AK340" i="6"/>
  <c r="AK341" i="6" s="1"/>
  <c r="AK290" i="6"/>
  <c r="AK291" i="6" s="1"/>
  <c r="AK253" i="6"/>
  <c r="AK330" i="6"/>
  <c r="AK331" i="6" s="1"/>
  <c r="AK269" i="6"/>
  <c r="AK140" i="6"/>
  <c r="AK345" i="6"/>
  <c r="AK346" i="6" s="1"/>
  <c r="AK182" i="6"/>
  <c r="AK93" i="6"/>
  <c r="AK40" i="6"/>
  <c r="AK126" i="6"/>
  <c r="AK100" i="6"/>
  <c r="AK46" i="6"/>
  <c r="AK106" i="6"/>
  <c r="AK53" i="6"/>
  <c r="AK4" i="7"/>
  <c r="AK66" i="6"/>
  <c r="AK295" i="6"/>
  <c r="AK296" i="6" s="1"/>
  <c r="AK73" i="6"/>
  <c r="AK4" i="9"/>
  <c r="AK86" i="6"/>
  <c r="AK23" i="6"/>
  <c r="AK24" i="6" s="1"/>
  <c r="AK3" i="4" s="1"/>
  <c r="AK4" i="6"/>
  <c r="AK80" i="6"/>
  <c r="AK60" i="6"/>
  <c r="AK33" i="6"/>
  <c r="AL28" i="6"/>
  <c r="AL4" i="4" s="1"/>
  <c r="AK11" i="6"/>
  <c r="AK12" i="6" s="1"/>
  <c r="AJ94" i="6"/>
  <c r="AJ101" i="6"/>
  <c r="AJ107" i="6"/>
  <c r="N13" i="16"/>
  <c r="N15" i="16" s="1"/>
  <c r="Q14" i="16"/>
  <c r="Q28" i="16"/>
  <c r="Q20" i="34" s="1"/>
  <c r="K59" i="47" s="1"/>
  <c r="AH141" i="6"/>
  <c r="AH162" i="6"/>
  <c r="AH54" i="6"/>
  <c r="AH61" i="6"/>
  <c r="AH67" i="6"/>
  <c r="P16" i="19"/>
  <c r="P17" i="19" s="1"/>
  <c r="P42" i="15"/>
  <c r="P20" i="15"/>
  <c r="P25" i="11"/>
  <c r="AI2" i="40"/>
  <c r="AI2" i="37"/>
  <c r="AI2" i="34"/>
  <c r="AI2" i="31"/>
  <c r="AI2" i="28"/>
  <c r="AI2" i="21"/>
  <c r="AI2" i="22"/>
  <c r="AI2" i="20"/>
  <c r="AI60" i="20"/>
  <c r="AI2" i="19"/>
  <c r="AI2" i="18"/>
  <c r="AI2" i="16"/>
  <c r="AI2" i="17"/>
  <c r="AI2" i="15"/>
  <c r="AI2" i="13"/>
  <c r="AI2" i="14"/>
  <c r="AI2" i="11"/>
  <c r="AI2" i="12"/>
  <c r="AI2" i="10"/>
  <c r="AI2" i="9"/>
  <c r="AI2" i="7"/>
  <c r="AI227" i="6"/>
  <c r="AI229" i="6" s="1"/>
  <c r="AI21" i="17" s="1"/>
  <c r="AI203" i="6"/>
  <c r="AI2" i="8"/>
  <c r="AI313" i="6"/>
  <c r="AI315" i="6" s="1"/>
  <c r="AI307" i="6"/>
  <c r="AI235" i="6"/>
  <c r="AI237" i="6" s="1"/>
  <c r="AI20" i="16" s="1"/>
  <c r="AI276" i="6"/>
  <c r="AI278" i="6" s="1"/>
  <c r="AI270" i="6" s="1"/>
  <c r="AI271" i="6" s="1"/>
  <c r="AI264" i="6" s="1"/>
  <c r="AI243" i="6"/>
  <c r="AI245" i="6" s="1"/>
  <c r="AI21" i="18" s="1"/>
  <c r="AI147" i="6"/>
  <c r="AI72" i="6"/>
  <c r="AI176" i="6"/>
  <c r="AI178" i="6" s="1"/>
  <c r="AI183" i="6" s="1"/>
  <c r="AI184" i="6" s="1"/>
  <c r="AI188" i="6" s="1"/>
  <c r="AI170" i="6"/>
  <c r="AI171" i="6" s="1"/>
  <c r="AI120" i="6"/>
  <c r="AI122" i="6" s="1"/>
  <c r="AI127" i="6" s="1"/>
  <c r="AI128" i="6" s="1"/>
  <c r="AI132" i="6" s="1"/>
  <c r="AI32" i="6"/>
  <c r="AI114" i="6"/>
  <c r="AI115" i="6" s="1"/>
  <c r="AI52" i="6"/>
  <c r="AI92" i="6"/>
  <c r="AI2" i="6"/>
  <c r="AJ74" i="6"/>
  <c r="AJ81" i="6"/>
  <c r="AJ87" i="6"/>
  <c r="AJ308" i="6"/>
  <c r="AH197" i="6"/>
  <c r="AH218" i="6"/>
  <c r="P16" i="37"/>
  <c r="P62" i="12"/>
  <c r="P64" i="12" s="1"/>
  <c r="P53" i="12"/>
  <c r="AI61" i="20"/>
  <c r="AI67" i="20" s="1"/>
  <c r="AJ13" i="21"/>
  <c r="AI26" i="31"/>
  <c r="AJ11" i="21"/>
  <c r="AI29" i="9"/>
  <c r="AJ3" i="40"/>
  <c r="AJ3" i="37"/>
  <c r="AJ3" i="34"/>
  <c r="AJ3" i="31"/>
  <c r="AJ3" i="28"/>
  <c r="AJ3" i="21"/>
  <c r="AJ3" i="22"/>
  <c r="AJ3" i="20"/>
  <c r="AJ3" i="18"/>
  <c r="AJ3" i="17"/>
  <c r="AJ3" i="19"/>
  <c r="AJ3" i="14"/>
  <c r="AJ3" i="16"/>
  <c r="AJ3" i="13"/>
  <c r="AJ3" i="15"/>
  <c r="AJ3" i="12"/>
  <c r="AJ3" i="10"/>
  <c r="AJ3" i="11"/>
  <c r="AJ3" i="9"/>
  <c r="AJ3" i="7"/>
  <c r="AJ3" i="8"/>
  <c r="AJ79" i="6"/>
  <c r="AJ39" i="6"/>
  <c r="AJ59" i="6"/>
  <c r="AJ3" i="6"/>
  <c r="AJ99" i="6"/>
  <c r="AJ53" i="20"/>
  <c r="AJ54" i="20" s="1"/>
  <c r="AJ58" i="20" s="1"/>
  <c r="AJ59" i="20"/>
  <c r="AJ236" i="6"/>
  <c r="AJ284" i="6"/>
  <c r="AJ285" i="6" s="1"/>
  <c r="AJ277" i="6"/>
  <c r="AJ244" i="6"/>
  <c r="AJ177" i="6"/>
  <c r="AJ121" i="6"/>
  <c r="AJ228" i="6"/>
  <c r="AJ18" i="6"/>
  <c r="AJ19" i="6" s="1"/>
  <c r="AJ2" i="4" s="1"/>
  <c r="AJ41" i="6"/>
  <c r="AJ47" i="6"/>
  <c r="AJ34" i="6"/>
  <c r="AI141" i="6" l="1"/>
  <c r="AI162" i="6"/>
  <c r="P21" i="19"/>
  <c r="P43" i="15"/>
  <c r="P45" i="15" s="1"/>
  <c r="P21" i="15"/>
  <c r="R22" i="15" s="1"/>
  <c r="AK3" i="40"/>
  <c r="AK3" i="37"/>
  <c r="AK3" i="34"/>
  <c r="AK3" i="31"/>
  <c r="AK3" i="28"/>
  <c r="AK3" i="21"/>
  <c r="AK3" i="22"/>
  <c r="AK3" i="20"/>
  <c r="AK3" i="19"/>
  <c r="AK3" i="18"/>
  <c r="AK3" i="16"/>
  <c r="AK3" i="17"/>
  <c r="AK3" i="14"/>
  <c r="AK3" i="15"/>
  <c r="AK3" i="13"/>
  <c r="AK3" i="12"/>
  <c r="AK3" i="10"/>
  <c r="AK3" i="11"/>
  <c r="AK3" i="9"/>
  <c r="AK3" i="7"/>
  <c r="AK3" i="8"/>
  <c r="AK39" i="6"/>
  <c r="AK99" i="6"/>
  <c r="AK59" i="6"/>
  <c r="AK3" i="6"/>
  <c r="AK79" i="6"/>
  <c r="AK101" i="6"/>
  <c r="AK107" i="6"/>
  <c r="AK94" i="6"/>
  <c r="AJ26" i="31"/>
  <c r="AK11" i="21"/>
  <c r="AK13" i="21" s="1"/>
  <c r="AJ29" i="9"/>
  <c r="AI197" i="6"/>
  <c r="AI218" i="6"/>
  <c r="AI61" i="6"/>
  <c r="AI67" i="6"/>
  <c r="AI54" i="6"/>
  <c r="AK53" i="20"/>
  <c r="AK54" i="20" s="1"/>
  <c r="AK58" i="20" s="1"/>
  <c r="AK59" i="20"/>
  <c r="AK236" i="6"/>
  <c r="AK284" i="6"/>
  <c r="AK285" i="6" s="1"/>
  <c r="AK277" i="6"/>
  <c r="AK244" i="6"/>
  <c r="AK228" i="6"/>
  <c r="AK121" i="6"/>
  <c r="AK177" i="6"/>
  <c r="AK18" i="6"/>
  <c r="AK19" i="6" s="1"/>
  <c r="AK2" i="4" s="1"/>
  <c r="AL4" i="40"/>
  <c r="AL4" i="37"/>
  <c r="AL4" i="34"/>
  <c r="AL4" i="31"/>
  <c r="AL4" i="22"/>
  <c r="AL10" i="21"/>
  <c r="AL4" i="28"/>
  <c r="AL4" i="21"/>
  <c r="AL32" i="20"/>
  <c r="AL74" i="20"/>
  <c r="AL4" i="20"/>
  <c r="AL28" i="19"/>
  <c r="AL4" i="19"/>
  <c r="AL10" i="17"/>
  <c r="AL4" i="18"/>
  <c r="AL4" i="17"/>
  <c r="AL4" i="16"/>
  <c r="AL40" i="15"/>
  <c r="AL10" i="18"/>
  <c r="AL4" i="15"/>
  <c r="AL27" i="15"/>
  <c r="AL10" i="16"/>
  <c r="AL37" i="12"/>
  <c r="AL4" i="13"/>
  <c r="AL60" i="12"/>
  <c r="AL4" i="14"/>
  <c r="AL50" i="12"/>
  <c r="AL17" i="13"/>
  <c r="AL25" i="13"/>
  <c r="AL4" i="12"/>
  <c r="AL23" i="11"/>
  <c r="AL196" i="6"/>
  <c r="AL306" i="6"/>
  <c r="AL4" i="11"/>
  <c r="AL10" i="9"/>
  <c r="AL325" i="6"/>
  <c r="AL326" i="6" s="1"/>
  <c r="AL16" i="10"/>
  <c r="AL4" i="10"/>
  <c r="AL340" i="6"/>
  <c r="AL341" i="6" s="1"/>
  <c r="AL290" i="6"/>
  <c r="AL291" i="6" s="1"/>
  <c r="AL253" i="6"/>
  <c r="AL330" i="6"/>
  <c r="AL331" i="6" s="1"/>
  <c r="AL269" i="6"/>
  <c r="AL4" i="9"/>
  <c r="AL4" i="7"/>
  <c r="AL345" i="6"/>
  <c r="AL346" i="6" s="1"/>
  <c r="AL295" i="6"/>
  <c r="AL296" i="6" s="1"/>
  <c r="AL182" i="6"/>
  <c r="AL126" i="6"/>
  <c r="AL100" i="6"/>
  <c r="AL46" i="6"/>
  <c r="AL35" i="9"/>
  <c r="AL106" i="6"/>
  <c r="AL53" i="6"/>
  <c r="AL4" i="8"/>
  <c r="AL314" i="6"/>
  <c r="AL60" i="6"/>
  <c r="AL73" i="6"/>
  <c r="AL80" i="6"/>
  <c r="AL93" i="6"/>
  <c r="AL86" i="6"/>
  <c r="AL23" i="6"/>
  <c r="AL24" i="6" s="1"/>
  <c r="AL3" i="4" s="1"/>
  <c r="AL4" i="6"/>
  <c r="AL140" i="6"/>
  <c r="AL33" i="6"/>
  <c r="AM28" i="6"/>
  <c r="AM4" i="4" s="1"/>
  <c r="AL11" i="6"/>
  <c r="AL12" i="6" s="1"/>
  <c r="AL66" i="6"/>
  <c r="AL40" i="6"/>
  <c r="AK74" i="6"/>
  <c r="AK81" i="6"/>
  <c r="AK87" i="6"/>
  <c r="P17" i="37"/>
  <c r="Q61" i="12"/>
  <c r="P17" i="11"/>
  <c r="P18" i="11" s="1"/>
  <c r="N17" i="31"/>
  <c r="H32" i="47" s="1"/>
  <c r="O11" i="16"/>
  <c r="AK47" i="6"/>
  <c r="AK41" i="6"/>
  <c r="AK34" i="6"/>
  <c r="AJ2" i="40"/>
  <c r="AJ2" i="37"/>
  <c r="AJ2" i="34"/>
  <c r="AJ2" i="31"/>
  <c r="AJ2" i="28"/>
  <c r="AJ2" i="22"/>
  <c r="AJ2" i="21"/>
  <c r="AJ60" i="20"/>
  <c r="AJ61" i="20" s="1"/>
  <c r="AJ67" i="20" s="1"/>
  <c r="AJ2" i="20"/>
  <c r="AJ2" i="19"/>
  <c r="AJ2" i="18"/>
  <c r="AJ2" i="16"/>
  <c r="AJ2" i="17"/>
  <c r="AJ2" i="15"/>
  <c r="AJ2" i="14"/>
  <c r="AJ2" i="13"/>
  <c r="AJ2" i="11"/>
  <c r="AJ2" i="12"/>
  <c r="AJ2" i="10"/>
  <c r="AJ2" i="9"/>
  <c r="AJ2" i="7"/>
  <c r="AJ227" i="6"/>
  <c r="AJ229" i="6" s="1"/>
  <c r="AJ21" i="17" s="1"/>
  <c r="AJ203" i="6"/>
  <c r="AJ2" i="8"/>
  <c r="AJ313" i="6"/>
  <c r="AJ315" i="6" s="1"/>
  <c r="AJ307" i="6"/>
  <c r="AK308" i="6" s="1"/>
  <c r="AJ235" i="6"/>
  <c r="AJ237" i="6" s="1"/>
  <c r="AJ20" i="16" s="1"/>
  <c r="AJ276" i="6"/>
  <c r="AJ278" i="6" s="1"/>
  <c r="AJ270" i="6" s="1"/>
  <c r="AJ271" i="6" s="1"/>
  <c r="AJ264" i="6" s="1"/>
  <c r="AJ243" i="6"/>
  <c r="AJ245" i="6" s="1"/>
  <c r="AJ21" i="18" s="1"/>
  <c r="AJ176" i="6"/>
  <c r="AJ178" i="6" s="1"/>
  <c r="AJ183" i="6" s="1"/>
  <c r="AJ184" i="6" s="1"/>
  <c r="AJ188" i="6" s="1"/>
  <c r="AJ170" i="6"/>
  <c r="AJ171" i="6" s="1"/>
  <c r="AJ120" i="6"/>
  <c r="AJ122" i="6" s="1"/>
  <c r="AJ127" i="6" s="1"/>
  <c r="AJ128" i="6" s="1"/>
  <c r="AJ132" i="6" s="1"/>
  <c r="AJ114" i="6"/>
  <c r="AJ115" i="6" s="1"/>
  <c r="AJ92" i="6"/>
  <c r="AJ52" i="6"/>
  <c r="AJ147" i="6"/>
  <c r="AJ72" i="6"/>
  <c r="AJ32" i="6"/>
  <c r="AJ2" i="6"/>
  <c r="P10" i="31" l="1"/>
  <c r="J25" i="47" s="1"/>
  <c r="Q41" i="15"/>
  <c r="AJ197" i="6"/>
  <c r="AJ218" i="6"/>
  <c r="R8" i="34"/>
  <c r="L47" i="47" s="1"/>
  <c r="R44" i="15"/>
  <c r="AM4" i="40"/>
  <c r="AM4" i="37"/>
  <c r="AM4" i="34"/>
  <c r="AM4" i="31"/>
  <c r="AM4" i="28"/>
  <c r="AM10" i="21"/>
  <c r="AM74" i="20"/>
  <c r="AM4" i="22"/>
  <c r="AM4" i="20"/>
  <c r="AM4" i="21"/>
  <c r="AM32" i="20"/>
  <c r="AM28" i="19"/>
  <c r="AM4" i="19"/>
  <c r="AM4" i="18"/>
  <c r="AM10" i="18"/>
  <c r="AM4" i="17"/>
  <c r="AM10" i="17"/>
  <c r="AM10" i="16"/>
  <c r="AM40" i="15"/>
  <c r="AM4" i="15"/>
  <c r="AM27" i="15"/>
  <c r="AM4" i="14"/>
  <c r="AM4" i="16"/>
  <c r="AM4" i="13"/>
  <c r="AM60" i="12"/>
  <c r="AM50" i="12"/>
  <c r="AM17" i="13"/>
  <c r="AM25" i="13"/>
  <c r="AM37" i="12"/>
  <c r="AM4" i="12"/>
  <c r="AM4" i="10"/>
  <c r="AM23" i="11"/>
  <c r="AM4" i="11"/>
  <c r="AM16" i="10"/>
  <c r="AM306" i="6"/>
  <c r="AM10" i="9"/>
  <c r="AM325" i="6"/>
  <c r="AM326" i="6" s="1"/>
  <c r="AM340" i="6"/>
  <c r="AM341" i="6" s="1"/>
  <c r="AM290" i="6"/>
  <c r="AM291" i="6" s="1"/>
  <c r="AM253" i="6"/>
  <c r="AM330" i="6"/>
  <c r="AM331" i="6" s="1"/>
  <c r="AM269" i="6"/>
  <c r="AM4" i="9"/>
  <c r="AM4" i="7"/>
  <c r="AM345" i="6"/>
  <c r="AM346" i="6" s="1"/>
  <c r="AM295" i="6"/>
  <c r="AM296" i="6" s="1"/>
  <c r="AM35" i="9"/>
  <c r="AM4" i="8"/>
  <c r="AM314" i="6"/>
  <c r="AM126" i="6"/>
  <c r="AM106" i="6"/>
  <c r="AM53" i="6"/>
  <c r="AM60" i="6"/>
  <c r="AM66" i="6"/>
  <c r="AM80" i="6"/>
  <c r="AM196" i="6"/>
  <c r="AM140" i="6"/>
  <c r="AM86" i="6"/>
  <c r="AM33" i="6"/>
  <c r="AM100" i="6"/>
  <c r="AM182" i="6"/>
  <c r="AM4" i="6"/>
  <c r="AN28" i="6"/>
  <c r="AN4" i="4" s="1"/>
  <c r="AM11" i="6"/>
  <c r="AM12" i="6" s="1"/>
  <c r="AM73" i="6"/>
  <c r="AM46" i="6"/>
  <c r="AM40" i="6"/>
  <c r="AM93" i="6"/>
  <c r="AM23" i="6"/>
  <c r="AM24" i="6" s="1"/>
  <c r="AM3" i="4" s="1"/>
  <c r="AL81" i="6"/>
  <c r="AL87" i="6"/>
  <c r="AL74" i="6"/>
  <c r="AK26" i="31"/>
  <c r="AL11" i="21"/>
  <c r="AL13" i="21" s="1"/>
  <c r="AK29" i="9"/>
  <c r="O39" i="16"/>
  <c r="O40" i="16" s="1"/>
  <c r="AL34" i="6"/>
  <c r="AL41" i="6"/>
  <c r="AL47" i="6"/>
  <c r="AL3" i="40"/>
  <c r="AL3" i="37"/>
  <c r="AL3" i="34"/>
  <c r="AL3" i="31"/>
  <c r="AL3" i="28"/>
  <c r="AL3" i="21"/>
  <c r="AL3" i="22"/>
  <c r="AL3" i="20"/>
  <c r="AL3" i="17"/>
  <c r="AL3" i="19"/>
  <c r="AL3" i="18"/>
  <c r="AL3" i="14"/>
  <c r="AL3" i="16"/>
  <c r="AL3" i="15"/>
  <c r="AL3" i="13"/>
  <c r="AL3" i="12"/>
  <c r="AL3" i="11"/>
  <c r="AL3" i="10"/>
  <c r="AL3" i="9"/>
  <c r="AL3" i="7"/>
  <c r="AL3" i="8"/>
  <c r="AL39" i="6"/>
  <c r="AL99" i="6"/>
  <c r="AL3" i="6"/>
  <c r="AL79" i="6"/>
  <c r="AL59" i="6"/>
  <c r="AL107" i="6"/>
  <c r="AL101" i="6"/>
  <c r="AL94" i="6"/>
  <c r="AJ141" i="6"/>
  <c r="AJ162" i="6"/>
  <c r="AJ54" i="6"/>
  <c r="AJ67" i="6"/>
  <c r="AJ61" i="6"/>
  <c r="P8" i="28"/>
  <c r="J4" i="47" s="1"/>
  <c r="P19" i="16"/>
  <c r="P21" i="16" s="1"/>
  <c r="P26" i="11"/>
  <c r="P27" i="11" s="1"/>
  <c r="AL53" i="20"/>
  <c r="AL54" i="20" s="1"/>
  <c r="AL58" i="20" s="1"/>
  <c r="AL59" i="20"/>
  <c r="AL236" i="6"/>
  <c r="AL284" i="6"/>
  <c r="AL285" i="6" s="1"/>
  <c r="AL277" i="6"/>
  <c r="AL244" i="6"/>
  <c r="AL228" i="6"/>
  <c r="AL177" i="6"/>
  <c r="AL121" i="6"/>
  <c r="AL18" i="6"/>
  <c r="AL19" i="6" s="1"/>
  <c r="AL2" i="4" s="1"/>
  <c r="AK2" i="40"/>
  <c r="AK2" i="37"/>
  <c r="AK2" i="34"/>
  <c r="AK2" i="31"/>
  <c r="AK2" i="28"/>
  <c r="AK2" i="22"/>
  <c r="AK2" i="21"/>
  <c r="AK60" i="20"/>
  <c r="AK61" i="20" s="1"/>
  <c r="AK67" i="20" s="1"/>
  <c r="AK2" i="20"/>
  <c r="AK2" i="19"/>
  <c r="AK2" i="18"/>
  <c r="AK2" i="17"/>
  <c r="AK2" i="16"/>
  <c r="AK2" i="15"/>
  <c r="AK2" i="14"/>
  <c r="AK2" i="13"/>
  <c r="AK2" i="11"/>
  <c r="AK2" i="12"/>
  <c r="AK2" i="10"/>
  <c r="AK2" i="8"/>
  <c r="AK313" i="6"/>
  <c r="AK315" i="6" s="1"/>
  <c r="AK307" i="6"/>
  <c r="AL308" i="6" s="1"/>
  <c r="AK235" i="6"/>
  <c r="AK237" i="6" s="1"/>
  <c r="AK20" i="16" s="1"/>
  <c r="AK276" i="6"/>
  <c r="AK278" i="6" s="1"/>
  <c r="AK270" i="6" s="1"/>
  <c r="AK271" i="6" s="1"/>
  <c r="AK264" i="6" s="1"/>
  <c r="AK243" i="6"/>
  <c r="AK245" i="6" s="1"/>
  <c r="AK21" i="18" s="1"/>
  <c r="AK203" i="6"/>
  <c r="AK176" i="6"/>
  <c r="AK178" i="6" s="1"/>
  <c r="AK183" i="6" s="1"/>
  <c r="AK184" i="6" s="1"/>
  <c r="AK188" i="6" s="1"/>
  <c r="AK170" i="6"/>
  <c r="AK171" i="6" s="1"/>
  <c r="AK120" i="6"/>
  <c r="AK122" i="6" s="1"/>
  <c r="AK127" i="6" s="1"/>
  <c r="AK128" i="6" s="1"/>
  <c r="AK132" i="6" s="1"/>
  <c r="AK114" i="6"/>
  <c r="AK115" i="6" s="1"/>
  <c r="AK92" i="6"/>
  <c r="AK2" i="7"/>
  <c r="AK2" i="9"/>
  <c r="AK147" i="6"/>
  <c r="AK52" i="6"/>
  <c r="AK72" i="6"/>
  <c r="AK227" i="6"/>
  <c r="AK229" i="6" s="1"/>
  <c r="AK21" i="17" s="1"/>
  <c r="AK32" i="6"/>
  <c r="AK2" i="6"/>
  <c r="AL26" i="31" l="1"/>
  <c r="AM11" i="21"/>
  <c r="AL29" i="9"/>
  <c r="AK162" i="6"/>
  <c r="AK141" i="6"/>
  <c r="O45" i="16"/>
  <c r="O46" i="16" s="1"/>
  <c r="O32" i="16"/>
  <c r="O41" i="16"/>
  <c r="O17" i="28" s="1"/>
  <c r="AM74" i="6"/>
  <c r="AM87" i="6"/>
  <c r="AM81" i="6"/>
  <c r="AM53" i="20"/>
  <c r="AM54" i="20" s="1"/>
  <c r="AM58" i="20" s="1"/>
  <c r="AM59" i="20"/>
  <c r="AM284" i="6"/>
  <c r="AM285" i="6" s="1"/>
  <c r="AM277" i="6"/>
  <c r="AM244" i="6"/>
  <c r="AM228" i="6"/>
  <c r="AM236" i="6"/>
  <c r="AM177" i="6"/>
  <c r="AM121" i="6"/>
  <c r="AM18" i="6"/>
  <c r="AM19" i="6" s="1"/>
  <c r="AM2" i="4" s="1"/>
  <c r="AM13" i="21"/>
  <c r="AK197" i="6"/>
  <c r="AK218" i="6"/>
  <c r="AN4" i="40"/>
  <c r="AN4" i="37"/>
  <c r="AN4" i="34"/>
  <c r="AN4" i="31"/>
  <c r="AN4" i="28"/>
  <c r="AN74" i="20"/>
  <c r="AN4" i="21"/>
  <c r="AN4" i="22"/>
  <c r="AN4" i="20"/>
  <c r="AN32" i="20"/>
  <c r="AN10" i="21"/>
  <c r="AN28" i="19"/>
  <c r="AN4" i="18"/>
  <c r="AN4" i="17"/>
  <c r="AN10" i="18"/>
  <c r="AN4" i="19"/>
  <c r="AN40" i="15"/>
  <c r="AN10" i="17"/>
  <c r="AN10" i="16"/>
  <c r="AN27" i="15"/>
  <c r="AN4" i="14"/>
  <c r="AN4" i="16"/>
  <c r="AN4" i="13"/>
  <c r="AN60" i="12"/>
  <c r="AN50" i="12"/>
  <c r="AN17" i="13"/>
  <c r="AN25" i="13"/>
  <c r="AN4" i="15"/>
  <c r="AN37" i="12"/>
  <c r="AN4" i="12"/>
  <c r="AN4" i="10"/>
  <c r="AN23" i="11"/>
  <c r="AN4" i="11"/>
  <c r="AN10" i="9"/>
  <c r="AN325" i="6"/>
  <c r="AN326" i="6" s="1"/>
  <c r="AN340" i="6"/>
  <c r="AN341" i="6" s="1"/>
  <c r="AN290" i="6"/>
  <c r="AN291" i="6" s="1"/>
  <c r="AN16" i="10"/>
  <c r="AN253" i="6"/>
  <c r="AN330" i="6"/>
  <c r="AN331" i="6" s="1"/>
  <c r="AN269" i="6"/>
  <c r="AN4" i="9"/>
  <c r="AN4" i="7"/>
  <c r="AN345" i="6"/>
  <c r="AN346" i="6" s="1"/>
  <c r="AN295" i="6"/>
  <c r="AN296" i="6" s="1"/>
  <c r="AN35" i="9"/>
  <c r="AN4" i="8"/>
  <c r="AN314" i="6"/>
  <c r="AN60" i="6"/>
  <c r="AN306" i="6"/>
  <c r="AN66" i="6"/>
  <c r="AN73" i="6"/>
  <c r="AN196" i="6"/>
  <c r="AN140" i="6"/>
  <c r="AN86" i="6"/>
  <c r="AN182" i="6"/>
  <c r="AN93" i="6"/>
  <c r="AN40" i="6"/>
  <c r="AO28" i="6"/>
  <c r="AO4" i="4" s="1"/>
  <c r="AN106" i="6"/>
  <c r="AN4" i="6"/>
  <c r="AN11" i="6"/>
  <c r="AN12" i="6" s="1"/>
  <c r="AN33" i="6"/>
  <c r="AN80" i="6"/>
  <c r="AN53" i="6"/>
  <c r="AN46" i="6"/>
  <c r="AN126" i="6"/>
  <c r="AN23" i="6"/>
  <c r="AN24" i="6" s="1"/>
  <c r="AN3" i="4" s="1"/>
  <c r="AN100" i="6"/>
  <c r="AK54" i="6"/>
  <c r="AK61" i="6"/>
  <c r="AK67" i="6"/>
  <c r="AM3" i="40"/>
  <c r="AM3" i="37"/>
  <c r="AM3" i="34"/>
  <c r="AM3" i="31"/>
  <c r="AM3" i="28"/>
  <c r="AM3" i="21"/>
  <c r="AM3" i="22"/>
  <c r="AM3" i="20"/>
  <c r="AM3" i="19"/>
  <c r="AM3" i="18"/>
  <c r="AM3" i="16"/>
  <c r="AM3" i="17"/>
  <c r="AM3" i="15"/>
  <c r="AM3" i="14"/>
  <c r="AM3" i="13"/>
  <c r="AM3" i="11"/>
  <c r="AM3" i="12"/>
  <c r="AM3" i="10"/>
  <c r="AM3" i="9"/>
  <c r="AM3" i="7"/>
  <c r="AM3" i="8"/>
  <c r="AM99" i="6"/>
  <c r="AM59" i="6"/>
  <c r="AM79" i="6"/>
  <c r="AM39" i="6"/>
  <c r="AM3" i="6"/>
  <c r="AM41" i="6"/>
  <c r="AM47" i="6"/>
  <c r="AM34" i="6"/>
  <c r="P19" i="34"/>
  <c r="J58" i="47" s="1"/>
  <c r="P26" i="16"/>
  <c r="R27" i="16" s="1"/>
  <c r="P12" i="16"/>
  <c r="AL2" i="40"/>
  <c r="AL2" i="37"/>
  <c r="AL2" i="34"/>
  <c r="AL2" i="31"/>
  <c r="AL2" i="22"/>
  <c r="AL2" i="28"/>
  <c r="AL2" i="21"/>
  <c r="AL60" i="20"/>
  <c r="AL61" i="20" s="1"/>
  <c r="AL67" i="20" s="1"/>
  <c r="AL2" i="20"/>
  <c r="AL2" i="19"/>
  <c r="AL2" i="18"/>
  <c r="AL2" i="16"/>
  <c r="AL2" i="17"/>
  <c r="AL2" i="15"/>
  <c r="AL2" i="13"/>
  <c r="AL2" i="14"/>
  <c r="AL2" i="12"/>
  <c r="AL313" i="6"/>
  <c r="AL315" i="6" s="1"/>
  <c r="AL307" i="6"/>
  <c r="AM308" i="6" s="1"/>
  <c r="AL2" i="11"/>
  <c r="AL235" i="6"/>
  <c r="AL237" i="6" s="1"/>
  <c r="AL20" i="16" s="1"/>
  <c r="AL276" i="6"/>
  <c r="AL278" i="6" s="1"/>
  <c r="AL270" i="6" s="1"/>
  <c r="AL271" i="6" s="1"/>
  <c r="AL264" i="6" s="1"/>
  <c r="AL243" i="6"/>
  <c r="AL245" i="6" s="1"/>
  <c r="AL21" i="18" s="1"/>
  <c r="AL2" i="9"/>
  <c r="AL2" i="7"/>
  <c r="AL227" i="6"/>
  <c r="AL229" i="6" s="1"/>
  <c r="AL21" i="17" s="1"/>
  <c r="AL170" i="6"/>
  <c r="AL171" i="6" s="1"/>
  <c r="AL120" i="6"/>
  <c r="AL122" i="6" s="1"/>
  <c r="AL127" i="6" s="1"/>
  <c r="AL128" i="6" s="1"/>
  <c r="AL132" i="6" s="1"/>
  <c r="AL114" i="6"/>
  <c r="AL115" i="6" s="1"/>
  <c r="AL92" i="6"/>
  <c r="AL2" i="8"/>
  <c r="AL52" i="6"/>
  <c r="AL2" i="10"/>
  <c r="AL147" i="6"/>
  <c r="AL72" i="6"/>
  <c r="AL203" i="6"/>
  <c r="AL176" i="6"/>
  <c r="AL178" i="6" s="1"/>
  <c r="AL183" i="6" s="1"/>
  <c r="AL184" i="6" s="1"/>
  <c r="AL188" i="6" s="1"/>
  <c r="AL32" i="6"/>
  <c r="AL2" i="6"/>
  <c r="P14" i="31"/>
  <c r="J29" i="47" s="1"/>
  <c r="Q24" i="11"/>
  <c r="AM107" i="6"/>
  <c r="AM94" i="6"/>
  <c r="AM101" i="6"/>
  <c r="I13" i="47" l="1"/>
  <c r="AM26" i="31"/>
  <c r="AN11" i="21"/>
  <c r="AM29" i="9"/>
  <c r="AL162" i="6"/>
  <c r="AL141" i="6"/>
  <c r="R14" i="16"/>
  <c r="R28" i="16"/>
  <c r="R20" i="34" s="1"/>
  <c r="L59" i="47" s="1"/>
  <c r="O47" i="16"/>
  <c r="O24" i="34" s="1"/>
  <c r="I63" i="47" s="1"/>
  <c r="O33" i="16"/>
  <c r="O34" i="16" s="1"/>
  <c r="O13" i="16" s="1"/>
  <c r="O15" i="16" s="1"/>
  <c r="AL218" i="6"/>
  <c r="AL197" i="6"/>
  <c r="AN74" i="6"/>
  <c r="AN81" i="6"/>
  <c r="AN87" i="6"/>
  <c r="AL54" i="6"/>
  <c r="AL61" i="6"/>
  <c r="AL67" i="6"/>
  <c r="AN53" i="20"/>
  <c r="AN54" i="20" s="1"/>
  <c r="AN58" i="20" s="1"/>
  <c r="AN59" i="20"/>
  <c r="AN277" i="6"/>
  <c r="AN244" i="6"/>
  <c r="AN228" i="6"/>
  <c r="AN236" i="6"/>
  <c r="AN177" i="6"/>
  <c r="AN121" i="6"/>
  <c r="AN284" i="6"/>
  <c r="AN285" i="6" s="1"/>
  <c r="AN18" i="6"/>
  <c r="AN19" i="6" s="1"/>
  <c r="AN2" i="4" s="1"/>
  <c r="AO4" i="40"/>
  <c r="AO4" i="37"/>
  <c r="AO4" i="34"/>
  <c r="AO4" i="31"/>
  <c r="AO4" i="28"/>
  <c r="AO4" i="21"/>
  <c r="AO4" i="22"/>
  <c r="AO10" i="21"/>
  <c r="AO4" i="20"/>
  <c r="AO74" i="20"/>
  <c r="AO32" i="20"/>
  <c r="AO28" i="19"/>
  <c r="AO4" i="19"/>
  <c r="AO4" i="18"/>
  <c r="AO10" i="18"/>
  <c r="AO10" i="17"/>
  <c r="AO10" i="16"/>
  <c r="AO4" i="16"/>
  <c r="AO4" i="14"/>
  <c r="AO4" i="17"/>
  <c r="AO4" i="15"/>
  <c r="AO27" i="15"/>
  <c r="AO50" i="12"/>
  <c r="AO40" i="15"/>
  <c r="AO17" i="13"/>
  <c r="AO25" i="13"/>
  <c r="AO37" i="12"/>
  <c r="AO60" i="12"/>
  <c r="AO4" i="13"/>
  <c r="AO4" i="12"/>
  <c r="AO4" i="10"/>
  <c r="AO23" i="11"/>
  <c r="AO4" i="11"/>
  <c r="AO340" i="6"/>
  <c r="AO341" i="6" s="1"/>
  <c r="AO290" i="6"/>
  <c r="AO291" i="6" s="1"/>
  <c r="AO16" i="10"/>
  <c r="AO253" i="6"/>
  <c r="AO330" i="6"/>
  <c r="AO331" i="6" s="1"/>
  <c r="AO269" i="6"/>
  <c r="AO4" i="9"/>
  <c r="AO4" i="7"/>
  <c r="AO345" i="6"/>
  <c r="AO346" i="6" s="1"/>
  <c r="AO295" i="6"/>
  <c r="AO296" i="6" s="1"/>
  <c r="AO35" i="9"/>
  <c r="AO4" i="8"/>
  <c r="AO314" i="6"/>
  <c r="AO306" i="6"/>
  <c r="AO10" i="9"/>
  <c r="AO325" i="6"/>
  <c r="AO326" i="6" s="1"/>
  <c r="AO66" i="6"/>
  <c r="AO73" i="6"/>
  <c r="AO80" i="6"/>
  <c r="AO196" i="6"/>
  <c r="AO140" i="6"/>
  <c r="AO182" i="6"/>
  <c r="AO93" i="6"/>
  <c r="AO126" i="6"/>
  <c r="AO100" i="6"/>
  <c r="AO46" i="6"/>
  <c r="AO106" i="6"/>
  <c r="AO4" i="6"/>
  <c r="AO11" i="6"/>
  <c r="AO12" i="6" s="1"/>
  <c r="AO33" i="6"/>
  <c r="AP28" i="6"/>
  <c r="AP4" i="4" s="1"/>
  <c r="AO53" i="6"/>
  <c r="AO60" i="6"/>
  <c r="AO40" i="6"/>
  <c r="AO23" i="6"/>
  <c r="AO24" i="6" s="1"/>
  <c r="AO3" i="4" s="1"/>
  <c r="AO86" i="6"/>
  <c r="AN3" i="40"/>
  <c r="AN3" i="37"/>
  <c r="AN3" i="34"/>
  <c r="AN3" i="31"/>
  <c r="AN3" i="28"/>
  <c r="AN3" i="22"/>
  <c r="AN3" i="21"/>
  <c r="AN3" i="20"/>
  <c r="AN3" i="19"/>
  <c r="AN3" i="18"/>
  <c r="AN3" i="16"/>
  <c r="AN3" i="17"/>
  <c r="AN3" i="15"/>
  <c r="AN3" i="14"/>
  <c r="AN3" i="13"/>
  <c r="AN3" i="11"/>
  <c r="AN3" i="12"/>
  <c r="AN3" i="10"/>
  <c r="AN3" i="9"/>
  <c r="AN3" i="7"/>
  <c r="AN3" i="8"/>
  <c r="AN59" i="6"/>
  <c r="AN79" i="6"/>
  <c r="AN39" i="6"/>
  <c r="AN99" i="6"/>
  <c r="AN3" i="6"/>
  <c r="AN41" i="6"/>
  <c r="AN47" i="6"/>
  <c r="AN34" i="6"/>
  <c r="AN13" i="21"/>
  <c r="AN94" i="6"/>
  <c r="AN101" i="6"/>
  <c r="AN107" i="6"/>
  <c r="AM2" i="40"/>
  <c r="AM2" i="37"/>
  <c r="AM2" i="34"/>
  <c r="AM2" i="31"/>
  <c r="AM2" i="28"/>
  <c r="AM2" i="22"/>
  <c r="AM60" i="20"/>
  <c r="AM61" i="20" s="1"/>
  <c r="AM67" i="20" s="1"/>
  <c r="AM2" i="21"/>
  <c r="AM2" i="20"/>
  <c r="AM2" i="19"/>
  <c r="AM2" i="18"/>
  <c r="AM2" i="17"/>
  <c r="AM2" i="15"/>
  <c r="AM2" i="16"/>
  <c r="AM2" i="13"/>
  <c r="AM2" i="14"/>
  <c r="AM2" i="12"/>
  <c r="AM2" i="10"/>
  <c r="AM2" i="11"/>
  <c r="AM235" i="6"/>
  <c r="AM237" i="6" s="1"/>
  <c r="AM20" i="16" s="1"/>
  <c r="AM276" i="6"/>
  <c r="AM278" i="6" s="1"/>
  <c r="AM270" i="6" s="1"/>
  <c r="AM271" i="6" s="1"/>
  <c r="AM264" i="6" s="1"/>
  <c r="AM243" i="6"/>
  <c r="AM245" i="6" s="1"/>
  <c r="AM21" i="18" s="1"/>
  <c r="AM2" i="9"/>
  <c r="AM2" i="7"/>
  <c r="AM227" i="6"/>
  <c r="AM229" i="6" s="1"/>
  <c r="AM21" i="17" s="1"/>
  <c r="AM2" i="8"/>
  <c r="AM114" i="6"/>
  <c r="AM115" i="6" s="1"/>
  <c r="AM52" i="6"/>
  <c r="AM147" i="6"/>
  <c r="AM72" i="6"/>
  <c r="AM307" i="6"/>
  <c r="AN308" i="6" s="1"/>
  <c r="AM203" i="6"/>
  <c r="AM176" i="6"/>
  <c r="AM178" i="6" s="1"/>
  <c r="AM183" i="6" s="1"/>
  <c r="AM184" i="6" s="1"/>
  <c r="AM188" i="6" s="1"/>
  <c r="AM313" i="6"/>
  <c r="AM315" i="6" s="1"/>
  <c r="AM170" i="6"/>
  <c r="AM171" i="6" s="1"/>
  <c r="AM92" i="6"/>
  <c r="AM32" i="6"/>
  <c r="AM2" i="6"/>
  <c r="AM120" i="6"/>
  <c r="AM122" i="6" s="1"/>
  <c r="AM127" i="6" s="1"/>
  <c r="AM128" i="6" s="1"/>
  <c r="AM132" i="6" s="1"/>
  <c r="AO59" i="20" l="1"/>
  <c r="AO53" i="20"/>
  <c r="AO54" i="20" s="1"/>
  <c r="AO58" i="20" s="1"/>
  <c r="AO244" i="6"/>
  <c r="AO228" i="6"/>
  <c r="AO236" i="6"/>
  <c r="AO284" i="6"/>
  <c r="AO285" i="6" s="1"/>
  <c r="AO177" i="6"/>
  <c r="AO277" i="6"/>
  <c r="AO121" i="6"/>
  <c r="AO18" i="6"/>
  <c r="AO19" i="6" s="1"/>
  <c r="AO2" i="4" s="1"/>
  <c r="AO74" i="6"/>
  <c r="AO81" i="6"/>
  <c r="AO87" i="6"/>
  <c r="AO3" i="40"/>
  <c r="AO3" i="37"/>
  <c r="AO3" i="34"/>
  <c r="AO3" i="31"/>
  <c r="AO3" i="28"/>
  <c r="AO3" i="22"/>
  <c r="AO3" i="21"/>
  <c r="AO3" i="20"/>
  <c r="AO3" i="19"/>
  <c r="AO3" i="18"/>
  <c r="AO3" i="17"/>
  <c r="AO3" i="16"/>
  <c r="AO3" i="15"/>
  <c r="AO3" i="14"/>
  <c r="AO3" i="13"/>
  <c r="AO3" i="11"/>
  <c r="AO3" i="12"/>
  <c r="AO3" i="10"/>
  <c r="AO3" i="8"/>
  <c r="AO59" i="6"/>
  <c r="AO3" i="7"/>
  <c r="AO3" i="9"/>
  <c r="AO39" i="6"/>
  <c r="AO79" i="6"/>
  <c r="AO99" i="6"/>
  <c r="AO3" i="6"/>
  <c r="AN26" i="31"/>
  <c r="AO11" i="21"/>
  <c r="AN29" i="9"/>
  <c r="AM61" i="6"/>
  <c r="AM67" i="6"/>
  <c r="AM54" i="6"/>
  <c r="AO34" i="6"/>
  <c r="AO47" i="6"/>
  <c r="AO41" i="6"/>
  <c r="AM162" i="6"/>
  <c r="AM141" i="6"/>
  <c r="AO101" i="6"/>
  <c r="AO107" i="6"/>
  <c r="AO94" i="6"/>
  <c r="AO13" i="21"/>
  <c r="AN2" i="40"/>
  <c r="AN2" i="37"/>
  <c r="AN2" i="34"/>
  <c r="AN2" i="31"/>
  <c r="AN2" i="28"/>
  <c r="AN2" i="21"/>
  <c r="AN2" i="22"/>
  <c r="AN60" i="20"/>
  <c r="AN61" i="20" s="1"/>
  <c r="AN67" i="20" s="1"/>
  <c r="AN2" i="20"/>
  <c r="AN2" i="19"/>
  <c r="AN2" i="18"/>
  <c r="AN2" i="17"/>
  <c r="AN2" i="16"/>
  <c r="AN2" i="14"/>
  <c r="AN2" i="13"/>
  <c r="AN2" i="15"/>
  <c r="AN2" i="12"/>
  <c r="AN2" i="10"/>
  <c r="AN2" i="11"/>
  <c r="AN276" i="6"/>
  <c r="AN278" i="6" s="1"/>
  <c r="AN270" i="6" s="1"/>
  <c r="AN271" i="6" s="1"/>
  <c r="AN264" i="6" s="1"/>
  <c r="AN243" i="6"/>
  <c r="AN245" i="6" s="1"/>
  <c r="AN21" i="18" s="1"/>
  <c r="AN2" i="9"/>
  <c r="AN2" i="7"/>
  <c r="AN2" i="8"/>
  <c r="AN313" i="6"/>
  <c r="AN315" i="6" s="1"/>
  <c r="AN307" i="6"/>
  <c r="AN52" i="6"/>
  <c r="AN147" i="6"/>
  <c r="AN235" i="6"/>
  <c r="AN237" i="6" s="1"/>
  <c r="AN20" i="16" s="1"/>
  <c r="AN203" i="6"/>
  <c r="AN176" i="6"/>
  <c r="AN178" i="6" s="1"/>
  <c r="AN183" i="6" s="1"/>
  <c r="AN184" i="6" s="1"/>
  <c r="AN188" i="6" s="1"/>
  <c r="AN227" i="6"/>
  <c r="AN229" i="6" s="1"/>
  <c r="AN21" i="17" s="1"/>
  <c r="AN170" i="6"/>
  <c r="AN171" i="6" s="1"/>
  <c r="AN120" i="6"/>
  <c r="AN122" i="6" s="1"/>
  <c r="AN127" i="6" s="1"/>
  <c r="AN128" i="6" s="1"/>
  <c r="AN132" i="6" s="1"/>
  <c r="AN32" i="6"/>
  <c r="AN72" i="6"/>
  <c r="AN92" i="6"/>
  <c r="AN2" i="6"/>
  <c r="AN114" i="6"/>
  <c r="AN115" i="6" s="1"/>
  <c r="O17" i="31"/>
  <c r="I32" i="47" s="1"/>
  <c r="P11" i="16"/>
  <c r="AP4" i="40"/>
  <c r="AP4" i="37"/>
  <c r="AP4" i="34"/>
  <c r="AP4" i="31"/>
  <c r="AP4" i="28"/>
  <c r="AP4" i="21"/>
  <c r="AP10" i="21"/>
  <c r="AP74" i="20"/>
  <c r="AP4" i="22"/>
  <c r="AP32" i="20"/>
  <c r="AP4" i="20"/>
  <c r="AP28" i="19"/>
  <c r="AP4" i="17"/>
  <c r="AP10" i="18"/>
  <c r="AP4" i="19"/>
  <c r="AP10" i="17"/>
  <c r="AP10" i="16"/>
  <c r="AP4" i="18"/>
  <c r="AP4" i="14"/>
  <c r="AP4" i="16"/>
  <c r="AP4" i="15"/>
  <c r="AP40" i="15"/>
  <c r="AP27" i="15"/>
  <c r="AP17" i="13"/>
  <c r="AP25" i="13"/>
  <c r="AP4" i="13"/>
  <c r="AP60" i="12"/>
  <c r="AP37" i="12"/>
  <c r="AP4" i="12"/>
  <c r="AP50" i="12"/>
  <c r="AP23" i="11"/>
  <c r="AP4" i="11"/>
  <c r="AP16" i="10"/>
  <c r="AP253" i="6"/>
  <c r="AP330" i="6"/>
  <c r="AP331" i="6" s="1"/>
  <c r="AP269" i="6"/>
  <c r="AP4" i="10"/>
  <c r="AP4" i="9"/>
  <c r="AP4" i="7"/>
  <c r="AP345" i="6"/>
  <c r="AP346" i="6" s="1"/>
  <c r="AP295" i="6"/>
  <c r="AP296" i="6" s="1"/>
  <c r="AP35" i="9"/>
  <c r="AP4" i="8"/>
  <c r="AP314" i="6"/>
  <c r="AP306" i="6"/>
  <c r="AP10" i="9"/>
  <c r="AP325" i="6"/>
  <c r="AP326" i="6" s="1"/>
  <c r="AP290" i="6"/>
  <c r="AP291" i="6" s="1"/>
  <c r="AP73" i="6"/>
  <c r="AP80" i="6"/>
  <c r="AP196" i="6"/>
  <c r="AP140" i="6"/>
  <c r="AP86" i="6"/>
  <c r="AP33" i="6"/>
  <c r="AP340" i="6"/>
  <c r="AP341" i="6" s="1"/>
  <c r="AP182" i="6"/>
  <c r="AP126" i="6"/>
  <c r="AP100" i="6"/>
  <c r="AP46" i="6"/>
  <c r="AP106" i="6"/>
  <c r="AP53" i="6"/>
  <c r="AP4" i="6"/>
  <c r="AP11" i="6"/>
  <c r="AP12" i="6" s="1"/>
  <c r="AQ28" i="6"/>
  <c r="AQ4" i="4" s="1"/>
  <c r="AP60" i="6"/>
  <c r="AP40" i="6"/>
  <c r="AP23" i="6"/>
  <c r="AP24" i="6" s="1"/>
  <c r="AP3" i="4" s="1"/>
  <c r="AP93" i="6"/>
  <c r="AP66" i="6"/>
  <c r="AM218" i="6"/>
  <c r="AM197" i="6"/>
  <c r="AO308" i="6"/>
  <c r="AP81" i="6" l="1"/>
  <c r="AP87" i="6"/>
  <c r="AP74" i="6"/>
  <c r="AN218" i="6"/>
  <c r="AN197" i="6"/>
  <c r="AN67" i="6"/>
  <c r="AN61" i="6"/>
  <c r="AN54" i="6"/>
  <c r="AO26" i="31"/>
  <c r="AP11" i="21"/>
  <c r="AP13" i="21" s="1"/>
  <c r="AO29" i="9"/>
  <c r="AO2" i="40"/>
  <c r="AO2" i="37"/>
  <c r="AO2" i="34"/>
  <c r="AO2" i="31"/>
  <c r="AO2" i="28"/>
  <c r="AO2" i="21"/>
  <c r="AO2" i="22"/>
  <c r="AO60" i="20"/>
  <c r="AO2" i="20"/>
  <c r="AO2" i="19"/>
  <c r="AO2" i="18"/>
  <c r="AO2" i="17"/>
  <c r="AO2" i="16"/>
  <c r="AO2" i="14"/>
  <c r="AO2" i="15"/>
  <c r="AO2" i="12"/>
  <c r="AO2" i="10"/>
  <c r="AO2" i="11"/>
  <c r="AO276" i="6"/>
  <c r="AO278" i="6" s="1"/>
  <c r="AO270" i="6" s="1"/>
  <c r="AO271" i="6" s="1"/>
  <c r="AO264" i="6" s="1"/>
  <c r="AO243" i="6"/>
  <c r="AO245" i="6" s="1"/>
  <c r="AO21" i="18" s="1"/>
  <c r="AO2" i="9"/>
  <c r="AO2" i="7"/>
  <c r="AO227" i="6"/>
  <c r="AO229" i="6" s="1"/>
  <c r="AO21" i="17" s="1"/>
  <c r="AO203" i="6"/>
  <c r="AO2" i="8"/>
  <c r="AO2" i="13"/>
  <c r="AO313" i="6"/>
  <c r="AO315" i="6" s="1"/>
  <c r="AO307" i="6"/>
  <c r="AO235" i="6"/>
  <c r="AO237" i="6" s="1"/>
  <c r="AO20" i="16" s="1"/>
  <c r="AO147" i="6"/>
  <c r="AO72" i="6"/>
  <c r="AO176" i="6"/>
  <c r="AO178" i="6" s="1"/>
  <c r="AO183" i="6" s="1"/>
  <c r="AO184" i="6" s="1"/>
  <c r="AO188" i="6" s="1"/>
  <c r="AO170" i="6"/>
  <c r="AO171" i="6" s="1"/>
  <c r="AO120" i="6"/>
  <c r="AO122" i="6" s="1"/>
  <c r="AO127" i="6" s="1"/>
  <c r="AO128" i="6" s="1"/>
  <c r="AO132" i="6" s="1"/>
  <c r="AO114" i="6"/>
  <c r="AO115" i="6" s="1"/>
  <c r="AO92" i="6"/>
  <c r="AO52" i="6"/>
  <c r="AO2" i="6"/>
  <c r="AO32" i="6"/>
  <c r="AO61" i="20"/>
  <c r="AO67" i="20" s="1"/>
  <c r="AN141" i="6"/>
  <c r="AN162" i="6"/>
  <c r="AP34" i="6"/>
  <c r="AP41" i="6"/>
  <c r="AP47" i="6"/>
  <c r="AP94" i="6"/>
  <c r="AP107" i="6"/>
  <c r="AP101" i="6"/>
  <c r="P39" i="16"/>
  <c r="P40" i="16" s="1"/>
  <c r="AP59" i="20"/>
  <c r="AP53" i="20"/>
  <c r="AP54" i="20" s="1"/>
  <c r="AP58" i="20" s="1"/>
  <c r="AP228" i="6"/>
  <c r="AP236" i="6"/>
  <c r="AP284" i="6"/>
  <c r="AP285" i="6" s="1"/>
  <c r="AP277" i="6"/>
  <c r="AP244" i="6"/>
  <c r="AP177" i="6"/>
  <c r="AP121" i="6"/>
  <c r="AP18" i="6"/>
  <c r="AP19" i="6" s="1"/>
  <c r="AP2" i="4" s="1"/>
  <c r="AP308" i="6"/>
  <c r="AQ4" i="40"/>
  <c r="AQ4" i="37"/>
  <c r="AQ4" i="34"/>
  <c r="AQ4" i="31"/>
  <c r="AQ4" i="28"/>
  <c r="AQ4" i="21"/>
  <c r="AQ4" i="22"/>
  <c r="AQ4" i="20"/>
  <c r="AQ74" i="20"/>
  <c r="AQ32" i="20"/>
  <c r="AQ10" i="21"/>
  <c r="AQ4" i="19"/>
  <c r="AQ28" i="19"/>
  <c r="AQ10" i="18"/>
  <c r="AQ4" i="18"/>
  <c r="AQ10" i="17"/>
  <c r="AQ4" i="16"/>
  <c r="AQ4" i="17"/>
  <c r="AQ40" i="15"/>
  <c r="AQ4" i="15"/>
  <c r="AQ10" i="16"/>
  <c r="AQ27" i="15"/>
  <c r="AQ17" i="13"/>
  <c r="AQ4" i="14"/>
  <c r="AQ25" i="13"/>
  <c r="AQ37" i="12"/>
  <c r="AQ4" i="13"/>
  <c r="AQ60" i="12"/>
  <c r="AQ50" i="12"/>
  <c r="AQ23" i="11"/>
  <c r="AQ4" i="11"/>
  <c r="AQ16" i="10"/>
  <c r="AQ4" i="12"/>
  <c r="AQ330" i="6"/>
  <c r="AQ331" i="6" s="1"/>
  <c r="AQ269" i="6"/>
  <c r="AQ4" i="10"/>
  <c r="AQ4" i="9"/>
  <c r="AQ4" i="7"/>
  <c r="AQ345" i="6"/>
  <c r="AQ346" i="6" s="1"/>
  <c r="AQ295" i="6"/>
  <c r="AQ296" i="6" s="1"/>
  <c r="AQ35" i="9"/>
  <c r="AQ4" i="8"/>
  <c r="AQ314" i="6"/>
  <c r="AQ196" i="6"/>
  <c r="AQ306" i="6"/>
  <c r="AQ10" i="9"/>
  <c r="AQ325" i="6"/>
  <c r="AQ326" i="6" s="1"/>
  <c r="AQ340" i="6"/>
  <c r="AQ341" i="6" s="1"/>
  <c r="AQ290" i="6"/>
  <c r="AQ291" i="6" s="1"/>
  <c r="AQ80" i="6"/>
  <c r="AQ140" i="6"/>
  <c r="AQ86" i="6"/>
  <c r="AQ33" i="6"/>
  <c r="AQ182" i="6"/>
  <c r="AQ93" i="6"/>
  <c r="AQ40" i="6"/>
  <c r="AR28" i="6"/>
  <c r="AR4" i="4" s="1"/>
  <c r="AQ126" i="6"/>
  <c r="AQ106" i="6"/>
  <c r="AQ53" i="6"/>
  <c r="AQ253" i="6"/>
  <c r="AQ60" i="6"/>
  <c r="AQ11" i="6"/>
  <c r="AQ12" i="6" s="1"/>
  <c r="AQ23" i="6"/>
  <c r="AQ24" i="6" s="1"/>
  <c r="AQ3" i="4" s="1"/>
  <c r="AQ73" i="6"/>
  <c r="AQ46" i="6"/>
  <c r="AQ66" i="6"/>
  <c r="AQ100" i="6"/>
  <c r="AQ4" i="6"/>
  <c r="AP3" i="40"/>
  <c r="AP3" i="37"/>
  <c r="AP3" i="34"/>
  <c r="AP3" i="31"/>
  <c r="AP3" i="22"/>
  <c r="AP3" i="28"/>
  <c r="AP3" i="21"/>
  <c r="AP3" i="20"/>
  <c r="AP3" i="19"/>
  <c r="AP3" i="18"/>
  <c r="AP3" i="16"/>
  <c r="AP3" i="17"/>
  <c r="AP3" i="15"/>
  <c r="AP3" i="14"/>
  <c r="AP3" i="13"/>
  <c r="AP3" i="12"/>
  <c r="AP3" i="11"/>
  <c r="AP3" i="9"/>
  <c r="AP3" i="7"/>
  <c r="AP3" i="10"/>
  <c r="AP3" i="8"/>
  <c r="AP79" i="6"/>
  <c r="AP99" i="6"/>
  <c r="AP59" i="6"/>
  <c r="AP3" i="6"/>
  <c r="AP39" i="6"/>
  <c r="AP26" i="31" l="1"/>
  <c r="AQ11" i="21"/>
  <c r="AP29" i="9"/>
  <c r="AQ87" i="6"/>
  <c r="AQ81" i="6"/>
  <c r="AQ74" i="6"/>
  <c r="AO197" i="6"/>
  <c r="AO218" i="6"/>
  <c r="AQ3" i="40"/>
  <c r="AQ3" i="37"/>
  <c r="AQ3" i="34"/>
  <c r="AQ3" i="31"/>
  <c r="AQ3" i="28"/>
  <c r="AQ3" i="22"/>
  <c r="AQ3" i="21"/>
  <c r="AQ3" i="20"/>
  <c r="AQ3" i="19"/>
  <c r="AQ3" i="18"/>
  <c r="AQ3" i="17"/>
  <c r="AQ3" i="15"/>
  <c r="AQ3" i="16"/>
  <c r="AQ3" i="14"/>
  <c r="AQ3" i="13"/>
  <c r="AQ3" i="12"/>
  <c r="AQ3" i="10"/>
  <c r="AQ3" i="11"/>
  <c r="AQ3" i="9"/>
  <c r="AQ3" i="7"/>
  <c r="AQ3" i="8"/>
  <c r="AQ79" i="6"/>
  <c r="AQ99" i="6"/>
  <c r="AQ3" i="6"/>
  <c r="AQ39" i="6"/>
  <c r="AQ59" i="6"/>
  <c r="AR4" i="40"/>
  <c r="AR4" i="37"/>
  <c r="AR4" i="34"/>
  <c r="AR4" i="31"/>
  <c r="AR4" i="28"/>
  <c r="AR4" i="22"/>
  <c r="AR10" i="21"/>
  <c r="AR74" i="20"/>
  <c r="AR32" i="20"/>
  <c r="AR4" i="21"/>
  <c r="AR4" i="20"/>
  <c r="AR4" i="19"/>
  <c r="AR28" i="19"/>
  <c r="AR10" i="18"/>
  <c r="AR10" i="17"/>
  <c r="AR4" i="18"/>
  <c r="AR4" i="16"/>
  <c r="AR4" i="17"/>
  <c r="AR4" i="15"/>
  <c r="AR10" i="16"/>
  <c r="AR27" i="15"/>
  <c r="AR40" i="15"/>
  <c r="AR17" i="13"/>
  <c r="AR4" i="14"/>
  <c r="AR25" i="13"/>
  <c r="AR37" i="12"/>
  <c r="AR50" i="12"/>
  <c r="AR4" i="13"/>
  <c r="AR23" i="11"/>
  <c r="AR4" i="11"/>
  <c r="AR16" i="10"/>
  <c r="AR4" i="12"/>
  <c r="AR4" i="10"/>
  <c r="AR4" i="9"/>
  <c r="AR4" i="7"/>
  <c r="AR345" i="6"/>
  <c r="AR346" i="6" s="1"/>
  <c r="AR295" i="6"/>
  <c r="AR296" i="6" s="1"/>
  <c r="AR60" i="12"/>
  <c r="AR35" i="9"/>
  <c r="AR4" i="8"/>
  <c r="AR314" i="6"/>
  <c r="AR306" i="6"/>
  <c r="AR10" i="9"/>
  <c r="AR325" i="6"/>
  <c r="AR326" i="6" s="1"/>
  <c r="AR340" i="6"/>
  <c r="AR341" i="6" s="1"/>
  <c r="AR290" i="6"/>
  <c r="AR291" i="6" s="1"/>
  <c r="AR253" i="6"/>
  <c r="AR140" i="6"/>
  <c r="AR86" i="6"/>
  <c r="AR33" i="6"/>
  <c r="AR269" i="6"/>
  <c r="AR196" i="6"/>
  <c r="AR182" i="6"/>
  <c r="AR93" i="6"/>
  <c r="AR40" i="6"/>
  <c r="AR126" i="6"/>
  <c r="AR100" i="6"/>
  <c r="AR46" i="6"/>
  <c r="AR330" i="6"/>
  <c r="AR331" i="6" s="1"/>
  <c r="AR60" i="6"/>
  <c r="AR66" i="6"/>
  <c r="AR106" i="6"/>
  <c r="AS28" i="6"/>
  <c r="AS4" i="4" s="1"/>
  <c r="AR23" i="6"/>
  <c r="AR24" i="6" s="1"/>
  <c r="AR3" i="4" s="1"/>
  <c r="AR73" i="6"/>
  <c r="AR53" i="6"/>
  <c r="AR80" i="6"/>
  <c r="AR4" i="6"/>
  <c r="AR11" i="6"/>
  <c r="AR12" i="6" s="1"/>
  <c r="AQ34" i="6"/>
  <c r="AQ41" i="6"/>
  <c r="AQ47" i="6"/>
  <c r="AQ53" i="20"/>
  <c r="AQ54" i="20" s="1"/>
  <c r="AQ58" i="20" s="1"/>
  <c r="AQ59" i="20"/>
  <c r="AQ228" i="6"/>
  <c r="AQ236" i="6"/>
  <c r="AQ284" i="6"/>
  <c r="AQ285" i="6" s="1"/>
  <c r="AQ277" i="6"/>
  <c r="AQ244" i="6"/>
  <c r="AQ177" i="6"/>
  <c r="AQ121" i="6"/>
  <c r="AQ18" i="6"/>
  <c r="AQ19" i="6" s="1"/>
  <c r="AQ2" i="4" s="1"/>
  <c r="AQ94" i="6"/>
  <c r="AQ101" i="6"/>
  <c r="AQ107" i="6"/>
  <c r="P45" i="16"/>
  <c r="P46" i="16" s="1"/>
  <c r="P32" i="16"/>
  <c r="P41" i="16"/>
  <c r="P17" i="28" s="1"/>
  <c r="J13" i="47" s="1"/>
  <c r="AP2" i="40"/>
  <c r="AP2" i="37"/>
  <c r="AP2" i="34"/>
  <c r="AP2" i="31"/>
  <c r="AP2" i="28"/>
  <c r="AP2" i="21"/>
  <c r="AP2" i="22"/>
  <c r="AP60" i="20"/>
  <c r="AP2" i="20"/>
  <c r="AP2" i="19"/>
  <c r="AP2" i="17"/>
  <c r="AP2" i="18"/>
  <c r="AP2" i="16"/>
  <c r="AP2" i="14"/>
  <c r="AP2" i="15"/>
  <c r="AP2" i="13"/>
  <c r="AP2" i="12"/>
  <c r="AP2" i="11"/>
  <c r="AP243" i="6"/>
  <c r="AP245" i="6" s="1"/>
  <c r="AP21" i="18" s="1"/>
  <c r="AP2" i="9"/>
  <c r="AP2" i="7"/>
  <c r="AP227" i="6"/>
  <c r="AP229" i="6" s="1"/>
  <c r="AP21" i="17" s="1"/>
  <c r="AP203" i="6"/>
  <c r="AP2" i="8"/>
  <c r="AP313" i="6"/>
  <c r="AP315" i="6" s="1"/>
  <c r="AP307" i="6"/>
  <c r="AQ308" i="6" s="1"/>
  <c r="AP235" i="6"/>
  <c r="AP237" i="6" s="1"/>
  <c r="AP20" i="16" s="1"/>
  <c r="AP2" i="10"/>
  <c r="AP276" i="6"/>
  <c r="AP278" i="6" s="1"/>
  <c r="AP270" i="6" s="1"/>
  <c r="AP271" i="6" s="1"/>
  <c r="AP264" i="6" s="1"/>
  <c r="AP147" i="6"/>
  <c r="AP72" i="6"/>
  <c r="AP176" i="6"/>
  <c r="AP178" i="6" s="1"/>
  <c r="AP183" i="6" s="1"/>
  <c r="AP184" i="6" s="1"/>
  <c r="AP188" i="6" s="1"/>
  <c r="AP170" i="6"/>
  <c r="AP171" i="6" s="1"/>
  <c r="AP120" i="6"/>
  <c r="AP122" i="6" s="1"/>
  <c r="AP127" i="6" s="1"/>
  <c r="AP128" i="6" s="1"/>
  <c r="AP132" i="6" s="1"/>
  <c r="AP114" i="6"/>
  <c r="AP115" i="6" s="1"/>
  <c r="AP92" i="6"/>
  <c r="AP2" i="6"/>
  <c r="AP32" i="6"/>
  <c r="AP52" i="6"/>
  <c r="AP61" i="20"/>
  <c r="AP67" i="20" s="1"/>
  <c r="AQ13" i="21"/>
  <c r="AO141" i="6"/>
  <c r="AO162" i="6"/>
  <c r="AO54" i="6"/>
  <c r="AO61" i="6"/>
  <c r="AO67" i="6"/>
  <c r="P47" i="16" l="1"/>
  <c r="P24" i="34" s="1"/>
  <c r="J63" i="47" s="1"/>
  <c r="P33" i="16"/>
  <c r="P34" i="16" s="1"/>
  <c r="P13" i="16" s="1"/>
  <c r="P15" i="16" s="1"/>
  <c r="AR53" i="20"/>
  <c r="AR54" i="20" s="1"/>
  <c r="AR58" i="20" s="1"/>
  <c r="AR59" i="20"/>
  <c r="AR236" i="6"/>
  <c r="AR284" i="6"/>
  <c r="AR285" i="6" s="1"/>
  <c r="AR277" i="6"/>
  <c r="AR244" i="6"/>
  <c r="AR177" i="6"/>
  <c r="AR121" i="6"/>
  <c r="AR228" i="6"/>
  <c r="AR18" i="6"/>
  <c r="AR19" i="6" s="1"/>
  <c r="AR2" i="4" s="1"/>
  <c r="AR41" i="6"/>
  <c r="AR47" i="6"/>
  <c r="AR34" i="6"/>
  <c r="AP141" i="6"/>
  <c r="AP162" i="6"/>
  <c r="AR94" i="6"/>
  <c r="AR101" i="6"/>
  <c r="AR107" i="6"/>
  <c r="AR74" i="6"/>
  <c r="AR87" i="6"/>
  <c r="AR81" i="6"/>
  <c r="AP54" i="6"/>
  <c r="AP61" i="6"/>
  <c r="AP67" i="6"/>
  <c r="AR3" i="40"/>
  <c r="AR3" i="37"/>
  <c r="AR3" i="34"/>
  <c r="AR3" i="31"/>
  <c r="AR3" i="28"/>
  <c r="AR3" i="21"/>
  <c r="AR3" i="22"/>
  <c r="AR3" i="20"/>
  <c r="AR3" i="18"/>
  <c r="AR3" i="17"/>
  <c r="AR3" i="19"/>
  <c r="AR3" i="16"/>
  <c r="AR3" i="14"/>
  <c r="AR3" i="13"/>
  <c r="AR3" i="15"/>
  <c r="AR3" i="12"/>
  <c r="AR3" i="10"/>
  <c r="AR3" i="11"/>
  <c r="AR3" i="9"/>
  <c r="AR3" i="7"/>
  <c r="AR3" i="8"/>
  <c r="AR79" i="6"/>
  <c r="AR39" i="6"/>
  <c r="AR59" i="6"/>
  <c r="AR99" i="6"/>
  <c r="AR3" i="6"/>
  <c r="AP197" i="6"/>
  <c r="AP218" i="6"/>
  <c r="AQ26" i="31"/>
  <c r="AR11" i="21"/>
  <c r="AR13" i="21" s="1"/>
  <c r="AQ29" i="9"/>
  <c r="AQ2" i="40"/>
  <c r="AQ2" i="37"/>
  <c r="AQ2" i="34"/>
  <c r="AQ2" i="31"/>
  <c r="AQ2" i="28"/>
  <c r="AQ2" i="21"/>
  <c r="AQ2" i="22"/>
  <c r="AQ2" i="20"/>
  <c r="AQ60" i="20"/>
  <c r="AQ2" i="18"/>
  <c r="AQ2" i="17"/>
  <c r="AQ2" i="16"/>
  <c r="AQ2" i="19"/>
  <c r="AQ2" i="15"/>
  <c r="AQ2" i="14"/>
  <c r="AQ2" i="13"/>
  <c r="AQ2" i="11"/>
  <c r="AQ2" i="9"/>
  <c r="AQ2" i="7"/>
  <c r="AQ227" i="6"/>
  <c r="AQ229" i="6" s="1"/>
  <c r="AQ21" i="17" s="1"/>
  <c r="AQ203" i="6"/>
  <c r="AQ2" i="8"/>
  <c r="AQ313" i="6"/>
  <c r="AQ315" i="6" s="1"/>
  <c r="AQ307" i="6"/>
  <c r="AR308" i="6" s="1"/>
  <c r="AQ235" i="6"/>
  <c r="AQ237" i="6" s="1"/>
  <c r="AQ20" i="16" s="1"/>
  <c r="AQ2" i="10"/>
  <c r="AQ276" i="6"/>
  <c r="AQ278" i="6" s="1"/>
  <c r="AQ270" i="6" s="1"/>
  <c r="AQ271" i="6" s="1"/>
  <c r="AQ264" i="6" s="1"/>
  <c r="AQ147" i="6"/>
  <c r="AQ72" i="6"/>
  <c r="AQ176" i="6"/>
  <c r="AQ178" i="6" s="1"/>
  <c r="AQ183" i="6" s="1"/>
  <c r="AQ184" i="6" s="1"/>
  <c r="AQ188" i="6" s="1"/>
  <c r="AQ170" i="6"/>
  <c r="AQ171" i="6" s="1"/>
  <c r="AQ120" i="6"/>
  <c r="AQ122" i="6" s="1"/>
  <c r="AQ127" i="6" s="1"/>
  <c r="AQ128" i="6" s="1"/>
  <c r="AQ132" i="6" s="1"/>
  <c r="AQ32" i="6"/>
  <c r="AQ114" i="6"/>
  <c r="AQ115" i="6" s="1"/>
  <c r="AQ2" i="12"/>
  <c r="AQ52" i="6"/>
  <c r="AQ243" i="6"/>
  <c r="AQ245" i="6" s="1"/>
  <c r="AQ21" i="18" s="1"/>
  <c r="AQ92" i="6"/>
  <c r="AQ2" i="6"/>
  <c r="AQ61" i="20"/>
  <c r="AQ67" i="20" s="1"/>
  <c r="AS4" i="40"/>
  <c r="AS4" i="37"/>
  <c r="AS4" i="34"/>
  <c r="AS4" i="31"/>
  <c r="AS4" i="28"/>
  <c r="AS4" i="22"/>
  <c r="AS10" i="21"/>
  <c r="AS74" i="20"/>
  <c r="AS4" i="21"/>
  <c r="AS4" i="20"/>
  <c r="AS28" i="19"/>
  <c r="AS32" i="20"/>
  <c r="AS4" i="19"/>
  <c r="AS10" i="18"/>
  <c r="AS4" i="18"/>
  <c r="AS4" i="17"/>
  <c r="AS4" i="16"/>
  <c r="AS10" i="16"/>
  <c r="AS10" i="17"/>
  <c r="AS4" i="15"/>
  <c r="AS27" i="15"/>
  <c r="AS40" i="15"/>
  <c r="AS4" i="14"/>
  <c r="AS25" i="13"/>
  <c r="AS4" i="13"/>
  <c r="AS60" i="12"/>
  <c r="AS17" i="13"/>
  <c r="AS50" i="12"/>
  <c r="AS4" i="11"/>
  <c r="AS4" i="12"/>
  <c r="AS16" i="10"/>
  <c r="AS4" i="10"/>
  <c r="AS35" i="9"/>
  <c r="AS4" i="8"/>
  <c r="AS314" i="6"/>
  <c r="AS37" i="12"/>
  <c r="AS196" i="6"/>
  <c r="AS306" i="6"/>
  <c r="AS10" i="9"/>
  <c r="AS325" i="6"/>
  <c r="AS326" i="6" s="1"/>
  <c r="AS340" i="6"/>
  <c r="AS341" i="6" s="1"/>
  <c r="AS290" i="6"/>
  <c r="AS291" i="6" s="1"/>
  <c r="AS253" i="6"/>
  <c r="AS330" i="6"/>
  <c r="AS331" i="6" s="1"/>
  <c r="AS269" i="6"/>
  <c r="AS345" i="6"/>
  <c r="AS346" i="6" s="1"/>
  <c r="AS140" i="6"/>
  <c r="AS182" i="6"/>
  <c r="AS93" i="6"/>
  <c r="AS40" i="6"/>
  <c r="AS126" i="6"/>
  <c r="AS100" i="6"/>
  <c r="AS46" i="6"/>
  <c r="AS4" i="7"/>
  <c r="AS106" i="6"/>
  <c r="AS53" i="6"/>
  <c r="AS23" i="11"/>
  <c r="AS295" i="6"/>
  <c r="AS296" i="6" s="1"/>
  <c r="AS66" i="6"/>
  <c r="AS4" i="9"/>
  <c r="AS73" i="6"/>
  <c r="AT28" i="6"/>
  <c r="AT4" i="4" s="1"/>
  <c r="AS23" i="6"/>
  <c r="AS24" i="6" s="1"/>
  <c r="AS3" i="4" s="1"/>
  <c r="AS33" i="6"/>
  <c r="AS80" i="6"/>
  <c r="AS60" i="6"/>
  <c r="AS4" i="6"/>
  <c r="AS86" i="6"/>
  <c r="AS11" i="6"/>
  <c r="AS12" i="6" s="1"/>
  <c r="AR26" i="31" l="1"/>
  <c r="AS11" i="21"/>
  <c r="AR29" i="9"/>
  <c r="AQ197" i="6"/>
  <c r="AQ218" i="6"/>
  <c r="AQ61" i="6"/>
  <c r="AQ67" i="6"/>
  <c r="AQ54" i="6"/>
  <c r="AS74" i="6"/>
  <c r="AS81" i="6"/>
  <c r="AS87" i="6"/>
  <c r="AS47" i="6"/>
  <c r="AS41" i="6"/>
  <c r="AS34" i="6"/>
  <c r="AS13" i="21"/>
  <c r="AQ141" i="6"/>
  <c r="AQ162" i="6"/>
  <c r="AR2" i="40"/>
  <c r="AR2" i="37"/>
  <c r="AR2" i="34"/>
  <c r="AR2" i="31"/>
  <c r="AR2" i="28"/>
  <c r="AR2" i="22"/>
  <c r="AR2" i="21"/>
  <c r="AR60" i="20"/>
  <c r="AR2" i="20"/>
  <c r="AR2" i="19"/>
  <c r="AR2" i="18"/>
  <c r="AR2" i="17"/>
  <c r="AR2" i="16"/>
  <c r="AR2" i="15"/>
  <c r="AR2" i="14"/>
  <c r="AR2" i="11"/>
  <c r="AR2" i="13"/>
  <c r="AR2" i="12"/>
  <c r="AR2" i="10"/>
  <c r="AR2" i="9"/>
  <c r="AR2" i="7"/>
  <c r="AR227" i="6"/>
  <c r="AR229" i="6" s="1"/>
  <c r="AR21" i="17" s="1"/>
  <c r="AR203" i="6"/>
  <c r="AR2" i="8"/>
  <c r="AR313" i="6"/>
  <c r="AR315" i="6" s="1"/>
  <c r="AR307" i="6"/>
  <c r="AR235" i="6"/>
  <c r="AR237" i="6" s="1"/>
  <c r="AR20" i="16" s="1"/>
  <c r="AR276" i="6"/>
  <c r="AR278" i="6" s="1"/>
  <c r="AR270" i="6" s="1"/>
  <c r="AR271" i="6" s="1"/>
  <c r="AR264" i="6" s="1"/>
  <c r="AR243" i="6"/>
  <c r="AR245" i="6" s="1"/>
  <c r="AR21" i="18" s="1"/>
  <c r="AR176" i="6"/>
  <c r="AR178" i="6" s="1"/>
  <c r="AR183" i="6" s="1"/>
  <c r="AR184" i="6" s="1"/>
  <c r="AR188" i="6" s="1"/>
  <c r="AR170" i="6"/>
  <c r="AR171" i="6" s="1"/>
  <c r="AR120" i="6"/>
  <c r="AR122" i="6" s="1"/>
  <c r="AR127" i="6" s="1"/>
  <c r="AR128" i="6" s="1"/>
  <c r="AR132" i="6" s="1"/>
  <c r="AR114" i="6"/>
  <c r="AR115" i="6" s="1"/>
  <c r="AR92" i="6"/>
  <c r="AR52" i="6"/>
  <c r="AR72" i="6"/>
  <c r="AR32" i="6"/>
  <c r="AR147" i="6"/>
  <c r="AR2" i="6"/>
  <c r="AR61" i="20"/>
  <c r="AR67" i="20" s="1"/>
  <c r="AS3" i="40"/>
  <c r="AS3" i="37"/>
  <c r="AS3" i="34"/>
  <c r="AS3" i="31"/>
  <c r="AS3" i="28"/>
  <c r="AS3" i="21"/>
  <c r="AS3" i="22"/>
  <c r="AS3" i="20"/>
  <c r="AS3" i="19"/>
  <c r="AS3" i="18"/>
  <c r="AS3" i="17"/>
  <c r="AS3" i="16"/>
  <c r="AS3" i="14"/>
  <c r="AS3" i="15"/>
  <c r="AS3" i="12"/>
  <c r="AS3" i="10"/>
  <c r="AS3" i="11"/>
  <c r="AS3" i="13"/>
  <c r="AS3" i="9"/>
  <c r="AS3" i="7"/>
  <c r="AS3" i="8"/>
  <c r="AS39" i="6"/>
  <c r="AS99" i="6"/>
  <c r="AS59" i="6"/>
  <c r="AS3" i="6"/>
  <c r="AS79" i="6"/>
  <c r="P17" i="31"/>
  <c r="J32" i="47" s="1"/>
  <c r="Q11" i="16"/>
  <c r="AS53" i="20"/>
  <c r="AS54" i="20" s="1"/>
  <c r="AS58" i="20" s="1"/>
  <c r="AS59" i="20"/>
  <c r="AS236" i="6"/>
  <c r="AS284" i="6"/>
  <c r="AS285" i="6" s="1"/>
  <c r="AS277" i="6"/>
  <c r="AS244" i="6"/>
  <c r="AS228" i="6"/>
  <c r="AS121" i="6"/>
  <c r="AS177" i="6"/>
  <c r="AS18" i="6"/>
  <c r="AS19" i="6" s="1"/>
  <c r="AS2" i="4" s="1"/>
  <c r="AT4" i="40"/>
  <c r="AT4" i="37"/>
  <c r="AT4" i="34"/>
  <c r="AT4" i="31"/>
  <c r="AT4" i="22"/>
  <c r="AT10" i="21"/>
  <c r="AT4" i="28"/>
  <c r="AT4" i="21"/>
  <c r="AT74" i="20"/>
  <c r="AT32" i="20"/>
  <c r="AT4" i="20"/>
  <c r="AT28" i="19"/>
  <c r="AT4" i="19"/>
  <c r="AT10" i="17"/>
  <c r="AT4" i="18"/>
  <c r="AT4" i="16"/>
  <c r="AT10" i="18"/>
  <c r="AT40" i="15"/>
  <c r="AT4" i="17"/>
  <c r="AT4" i="15"/>
  <c r="AT27" i="15"/>
  <c r="AT10" i="16"/>
  <c r="AT4" i="14"/>
  <c r="AT37" i="12"/>
  <c r="AT4" i="13"/>
  <c r="AT60" i="12"/>
  <c r="AT50" i="12"/>
  <c r="AT17" i="13"/>
  <c r="AT25" i="13"/>
  <c r="AT4" i="12"/>
  <c r="AT23" i="11"/>
  <c r="AT196" i="6"/>
  <c r="AT4" i="11"/>
  <c r="AT306" i="6"/>
  <c r="AT10" i="9"/>
  <c r="AT325" i="6"/>
  <c r="AT326" i="6" s="1"/>
  <c r="AT340" i="6"/>
  <c r="AT341" i="6" s="1"/>
  <c r="AT290" i="6"/>
  <c r="AT291" i="6" s="1"/>
  <c r="AT253" i="6"/>
  <c r="AT330" i="6"/>
  <c r="AT331" i="6" s="1"/>
  <c r="AT269" i="6"/>
  <c r="AT4" i="9"/>
  <c r="AT4" i="7"/>
  <c r="AT345" i="6"/>
  <c r="AT346" i="6" s="1"/>
  <c r="AT295" i="6"/>
  <c r="AT296" i="6" s="1"/>
  <c r="AT182" i="6"/>
  <c r="AT35" i="9"/>
  <c r="AT126" i="6"/>
  <c r="AT100" i="6"/>
  <c r="AT46" i="6"/>
  <c r="AT4" i="8"/>
  <c r="AT314" i="6"/>
  <c r="AT106" i="6"/>
  <c r="AT53" i="6"/>
  <c r="AT16" i="10"/>
  <c r="AT60" i="6"/>
  <c r="AT4" i="10"/>
  <c r="AT73" i="6"/>
  <c r="AT80" i="6"/>
  <c r="AT23" i="6"/>
  <c r="AT24" i="6" s="1"/>
  <c r="AT3" i="4" s="1"/>
  <c r="AT33" i="6"/>
  <c r="AT40" i="6"/>
  <c r="AT140" i="6"/>
  <c r="AT66" i="6"/>
  <c r="AT4" i="6"/>
  <c r="AT93" i="6"/>
  <c r="AT86" i="6"/>
  <c r="AT11" i="6"/>
  <c r="AT12" i="6" s="1"/>
  <c r="AU28" i="6"/>
  <c r="AU4" i="4" s="1"/>
  <c r="AS101" i="6"/>
  <c r="AS107" i="6"/>
  <c r="AS94" i="6"/>
  <c r="AS308" i="6"/>
  <c r="AS2" i="40" l="1"/>
  <c r="AS2" i="37"/>
  <c r="AS2" i="34"/>
  <c r="AS2" i="31"/>
  <c r="AS2" i="28"/>
  <c r="AS2" i="22"/>
  <c r="AS2" i="21"/>
  <c r="AS60" i="20"/>
  <c r="AS2" i="20"/>
  <c r="AS2" i="19"/>
  <c r="AS2" i="18"/>
  <c r="AS2" i="17"/>
  <c r="AS2" i="16"/>
  <c r="AS2" i="15"/>
  <c r="AS2" i="14"/>
  <c r="AS2" i="13"/>
  <c r="AS2" i="11"/>
  <c r="AS2" i="12"/>
  <c r="AS2" i="8"/>
  <c r="AS313" i="6"/>
  <c r="AS315" i="6" s="1"/>
  <c r="AS307" i="6"/>
  <c r="AT308" i="6" s="1"/>
  <c r="AS235" i="6"/>
  <c r="AS237" i="6" s="1"/>
  <c r="AS20" i="16" s="1"/>
  <c r="AS2" i="10"/>
  <c r="AS276" i="6"/>
  <c r="AS278" i="6" s="1"/>
  <c r="AS270" i="6" s="1"/>
  <c r="AS271" i="6" s="1"/>
  <c r="AS264" i="6" s="1"/>
  <c r="AS243" i="6"/>
  <c r="AS245" i="6" s="1"/>
  <c r="AS21" i="18" s="1"/>
  <c r="AS176" i="6"/>
  <c r="AS178" i="6" s="1"/>
  <c r="AS183" i="6" s="1"/>
  <c r="AS184" i="6" s="1"/>
  <c r="AS188" i="6" s="1"/>
  <c r="AS170" i="6"/>
  <c r="AS171" i="6" s="1"/>
  <c r="AS120" i="6"/>
  <c r="AS122" i="6" s="1"/>
  <c r="AS127" i="6" s="1"/>
  <c r="AS128" i="6" s="1"/>
  <c r="AS132" i="6" s="1"/>
  <c r="AS32" i="6"/>
  <c r="AS2" i="7"/>
  <c r="AS114" i="6"/>
  <c r="AS115" i="6" s="1"/>
  <c r="AS92" i="6"/>
  <c r="AS203" i="6"/>
  <c r="AS2" i="9"/>
  <c r="AS227" i="6"/>
  <c r="AS229" i="6" s="1"/>
  <c r="AS21" i="17" s="1"/>
  <c r="AS147" i="6"/>
  <c r="AS2" i="6"/>
  <c r="AS52" i="6"/>
  <c r="AS72" i="6"/>
  <c r="AS61" i="20"/>
  <c r="AS67" i="20" s="1"/>
  <c r="AS26" i="31"/>
  <c r="AT11" i="21"/>
  <c r="AT13" i="21" s="1"/>
  <c r="AS29" i="9"/>
  <c r="Q39" i="16"/>
  <c r="Q40" i="16" s="1"/>
  <c r="AR141" i="6"/>
  <c r="AR162" i="6"/>
  <c r="AR54" i="6"/>
  <c r="AR67" i="6"/>
  <c r="AR61" i="6"/>
  <c r="AU4" i="40"/>
  <c r="AU4" i="37"/>
  <c r="AU4" i="34"/>
  <c r="AU4" i="31"/>
  <c r="AU4" i="28"/>
  <c r="AU10" i="21"/>
  <c r="AU74" i="20"/>
  <c r="AU4" i="22"/>
  <c r="AU4" i="21"/>
  <c r="AU4" i="20"/>
  <c r="AU32" i="20"/>
  <c r="AU28" i="19"/>
  <c r="AU4" i="19"/>
  <c r="AU4" i="18"/>
  <c r="AU10" i="18"/>
  <c r="AU40" i="15"/>
  <c r="AU4" i="17"/>
  <c r="AU10" i="16"/>
  <c r="AU10" i="17"/>
  <c r="AU4" i="15"/>
  <c r="AU27" i="15"/>
  <c r="AU4" i="16"/>
  <c r="AU4" i="14"/>
  <c r="AU4" i="13"/>
  <c r="AU60" i="12"/>
  <c r="AU50" i="12"/>
  <c r="AU17" i="13"/>
  <c r="AU25" i="13"/>
  <c r="AU4" i="12"/>
  <c r="AU4" i="10"/>
  <c r="AU23" i="11"/>
  <c r="AU37" i="12"/>
  <c r="AU4" i="11"/>
  <c r="AU16" i="10"/>
  <c r="AU306" i="6"/>
  <c r="AU10" i="9"/>
  <c r="AU325" i="6"/>
  <c r="AU326" i="6" s="1"/>
  <c r="AU340" i="6"/>
  <c r="AU341" i="6" s="1"/>
  <c r="AU290" i="6"/>
  <c r="AU291" i="6" s="1"/>
  <c r="AU253" i="6"/>
  <c r="AU330" i="6"/>
  <c r="AU331" i="6" s="1"/>
  <c r="AU269" i="6"/>
  <c r="AU4" i="9"/>
  <c r="AU4" i="7"/>
  <c r="AU345" i="6"/>
  <c r="AU346" i="6" s="1"/>
  <c r="AU295" i="6"/>
  <c r="AU296" i="6" s="1"/>
  <c r="AU35" i="9"/>
  <c r="AU4" i="8"/>
  <c r="AU314" i="6"/>
  <c r="AU126" i="6"/>
  <c r="AU196" i="6"/>
  <c r="AU106" i="6"/>
  <c r="AU53" i="6"/>
  <c r="AU60" i="6"/>
  <c r="AU66" i="6"/>
  <c r="AU80" i="6"/>
  <c r="AU140" i="6"/>
  <c r="AU86" i="6"/>
  <c r="AU33" i="6"/>
  <c r="AU182" i="6"/>
  <c r="AU73" i="6"/>
  <c r="AU40" i="6"/>
  <c r="AU46" i="6"/>
  <c r="AU4" i="6"/>
  <c r="AU93" i="6"/>
  <c r="AU11" i="6"/>
  <c r="AU12" i="6" s="1"/>
  <c r="AU100" i="6"/>
  <c r="AV28" i="6"/>
  <c r="AV4" i="4" s="1"/>
  <c r="AU23" i="6"/>
  <c r="AU24" i="6" s="1"/>
  <c r="AU3" i="4" s="1"/>
  <c r="AT34" i="6"/>
  <c r="AT47" i="6"/>
  <c r="AT41" i="6"/>
  <c r="AT81" i="6"/>
  <c r="AT87" i="6"/>
  <c r="AT74" i="6"/>
  <c r="AT53" i="20"/>
  <c r="AT54" i="20" s="1"/>
  <c r="AT58" i="20" s="1"/>
  <c r="AT59" i="20"/>
  <c r="AT236" i="6"/>
  <c r="AT284" i="6"/>
  <c r="AT285" i="6" s="1"/>
  <c r="AT277" i="6"/>
  <c r="AT244" i="6"/>
  <c r="AT228" i="6"/>
  <c r="AT177" i="6"/>
  <c r="AT121" i="6"/>
  <c r="AT18" i="6"/>
  <c r="AT19" i="6" s="1"/>
  <c r="AT2" i="4" s="1"/>
  <c r="AT3" i="40"/>
  <c r="AT3" i="37"/>
  <c r="AT3" i="34"/>
  <c r="AT3" i="31"/>
  <c r="AT3" i="28"/>
  <c r="AT3" i="21"/>
  <c r="AT3" i="22"/>
  <c r="AT3" i="20"/>
  <c r="AT3" i="17"/>
  <c r="AT3" i="19"/>
  <c r="AT3" i="18"/>
  <c r="AT3" i="16"/>
  <c r="AT3" i="14"/>
  <c r="AT3" i="15"/>
  <c r="AT3" i="13"/>
  <c r="AT3" i="12"/>
  <c r="AT3" i="11"/>
  <c r="AT3" i="9"/>
  <c r="AT3" i="7"/>
  <c r="AT3" i="8"/>
  <c r="AT3" i="10"/>
  <c r="AT39" i="6"/>
  <c r="AT99" i="6"/>
  <c r="AT3" i="6"/>
  <c r="AT79" i="6"/>
  <c r="AT59" i="6"/>
  <c r="AT107" i="6"/>
  <c r="AT101" i="6"/>
  <c r="AT94" i="6"/>
  <c r="AR197" i="6"/>
  <c r="AR218" i="6"/>
  <c r="AT26" i="31" l="1"/>
  <c r="AU11" i="21"/>
  <c r="AT29" i="9"/>
  <c r="AV4" i="40"/>
  <c r="AV4" i="37"/>
  <c r="AV4" i="34"/>
  <c r="AV4" i="31"/>
  <c r="AV4" i="28"/>
  <c r="AV74" i="20"/>
  <c r="AV4" i="21"/>
  <c r="AV4" i="22"/>
  <c r="AV4" i="20"/>
  <c r="AV10" i="21"/>
  <c r="AV32" i="20"/>
  <c r="AV28" i="19"/>
  <c r="AV4" i="18"/>
  <c r="AV4" i="17"/>
  <c r="AV4" i="19"/>
  <c r="AV10" i="18"/>
  <c r="AV40" i="15"/>
  <c r="AV10" i="16"/>
  <c r="AV10" i="17"/>
  <c r="AV27" i="15"/>
  <c r="AV4" i="16"/>
  <c r="AV4" i="14"/>
  <c r="AV4" i="13"/>
  <c r="AV60" i="12"/>
  <c r="AV50" i="12"/>
  <c r="AV17" i="13"/>
  <c r="AV4" i="15"/>
  <c r="AV25" i="13"/>
  <c r="AV37" i="12"/>
  <c r="AV4" i="12"/>
  <c r="AV4" i="10"/>
  <c r="AV23" i="11"/>
  <c r="AV4" i="11"/>
  <c r="AV10" i="9"/>
  <c r="AV325" i="6"/>
  <c r="AV326" i="6" s="1"/>
  <c r="AV340" i="6"/>
  <c r="AV341" i="6" s="1"/>
  <c r="AV290" i="6"/>
  <c r="AV291" i="6" s="1"/>
  <c r="AV253" i="6"/>
  <c r="AV330" i="6"/>
  <c r="AV331" i="6" s="1"/>
  <c r="AV269" i="6"/>
  <c r="AV4" i="9"/>
  <c r="AV4" i="7"/>
  <c r="AV345" i="6"/>
  <c r="AV346" i="6" s="1"/>
  <c r="AV295" i="6"/>
  <c r="AV296" i="6" s="1"/>
  <c r="AV35" i="9"/>
  <c r="AV4" i="8"/>
  <c r="AV314" i="6"/>
  <c r="AV16" i="10"/>
  <c r="AV196" i="6"/>
  <c r="AV306" i="6"/>
  <c r="AV60" i="6"/>
  <c r="AV66" i="6"/>
  <c r="AV73" i="6"/>
  <c r="AV140" i="6"/>
  <c r="AV86" i="6"/>
  <c r="AV182" i="6"/>
  <c r="AV93" i="6"/>
  <c r="AV40" i="6"/>
  <c r="AW28" i="6"/>
  <c r="AW4" i="4" s="1"/>
  <c r="AV33" i="6"/>
  <c r="AV80" i="6"/>
  <c r="AV53" i="6"/>
  <c r="AV46" i="6"/>
  <c r="AV4" i="6"/>
  <c r="AV11" i="6"/>
  <c r="AV12" i="6" s="1"/>
  <c r="AV100" i="6"/>
  <c r="AV126" i="6"/>
  <c r="AV23" i="6"/>
  <c r="AV24" i="6" s="1"/>
  <c r="AV3" i="4" s="1"/>
  <c r="AV106" i="6"/>
  <c r="AS54" i="6"/>
  <c r="AS61" i="6"/>
  <c r="AS67" i="6"/>
  <c r="AU308" i="6"/>
  <c r="AS197" i="6"/>
  <c r="AS218" i="6"/>
  <c r="AU53" i="20"/>
  <c r="AU54" i="20" s="1"/>
  <c r="AU58" i="20" s="1"/>
  <c r="AU59" i="20"/>
  <c r="AU284" i="6"/>
  <c r="AU285" i="6" s="1"/>
  <c r="AU277" i="6"/>
  <c r="AU244" i="6"/>
  <c r="AU228" i="6"/>
  <c r="AU236" i="6"/>
  <c r="AU177" i="6"/>
  <c r="AU121" i="6"/>
  <c r="AU18" i="6"/>
  <c r="AU19" i="6" s="1"/>
  <c r="AU2" i="4" s="1"/>
  <c r="AU74" i="6"/>
  <c r="AU87" i="6"/>
  <c r="AU81" i="6"/>
  <c r="AU13" i="21"/>
  <c r="AS162" i="6"/>
  <c r="AS141" i="6"/>
  <c r="AT2" i="40"/>
  <c r="AT2" i="37"/>
  <c r="AT2" i="34"/>
  <c r="AT2" i="31"/>
  <c r="AT2" i="22"/>
  <c r="AT2" i="28"/>
  <c r="AT2" i="21"/>
  <c r="AT60" i="20"/>
  <c r="AT61" i="20" s="1"/>
  <c r="AT67" i="20" s="1"/>
  <c r="AT2" i="19"/>
  <c r="AT2" i="20"/>
  <c r="AT2" i="18"/>
  <c r="AT2" i="16"/>
  <c r="AT2" i="15"/>
  <c r="AT2" i="17"/>
  <c r="AT2" i="14"/>
  <c r="AT2" i="13"/>
  <c r="AT2" i="12"/>
  <c r="AT2" i="11"/>
  <c r="AT313" i="6"/>
  <c r="AT315" i="6" s="1"/>
  <c r="AT307" i="6"/>
  <c r="AT235" i="6"/>
  <c r="AT237" i="6" s="1"/>
  <c r="AT20" i="16" s="1"/>
  <c r="AT2" i="10"/>
  <c r="AT276" i="6"/>
  <c r="AT278" i="6" s="1"/>
  <c r="AT270" i="6" s="1"/>
  <c r="AT271" i="6" s="1"/>
  <c r="AT264" i="6" s="1"/>
  <c r="AT243" i="6"/>
  <c r="AT245" i="6" s="1"/>
  <c r="AT21" i="18" s="1"/>
  <c r="AT2" i="9"/>
  <c r="AT2" i="7"/>
  <c r="AT227" i="6"/>
  <c r="AT229" i="6" s="1"/>
  <c r="AT21" i="17" s="1"/>
  <c r="AT170" i="6"/>
  <c r="AT171" i="6" s="1"/>
  <c r="AT120" i="6"/>
  <c r="AT122" i="6" s="1"/>
  <c r="AT127" i="6" s="1"/>
  <c r="AT128" i="6" s="1"/>
  <c r="AT132" i="6" s="1"/>
  <c r="AT2" i="8"/>
  <c r="AT114" i="6"/>
  <c r="AT115" i="6" s="1"/>
  <c r="AT92" i="6"/>
  <c r="AT203" i="6"/>
  <c r="AT52" i="6"/>
  <c r="AT147" i="6"/>
  <c r="AT72" i="6"/>
  <c r="AT176" i="6"/>
  <c r="AT178" i="6" s="1"/>
  <c r="AT183" i="6" s="1"/>
  <c r="AT184" i="6" s="1"/>
  <c r="AT188" i="6" s="1"/>
  <c r="AT2" i="6"/>
  <c r="AT32" i="6"/>
  <c r="AU3" i="40"/>
  <c r="AU3" i="37"/>
  <c r="AU3" i="34"/>
  <c r="AU3" i="31"/>
  <c r="AU3" i="28"/>
  <c r="AU3" i="21"/>
  <c r="AU3" i="22"/>
  <c r="AU3" i="20"/>
  <c r="AU3" i="19"/>
  <c r="AU3" i="18"/>
  <c r="AU3" i="17"/>
  <c r="AU3" i="16"/>
  <c r="AU3" i="15"/>
  <c r="AU3" i="13"/>
  <c r="AU3" i="14"/>
  <c r="AU3" i="11"/>
  <c r="AU3" i="9"/>
  <c r="AU3" i="7"/>
  <c r="AU3" i="8"/>
  <c r="AU3" i="10"/>
  <c r="AU99" i="6"/>
  <c r="AU59" i="6"/>
  <c r="AU3" i="12"/>
  <c r="AU79" i="6"/>
  <c r="AU39" i="6"/>
  <c r="AU3" i="6"/>
  <c r="AU41" i="6"/>
  <c r="AU34" i="6"/>
  <c r="AU47" i="6"/>
  <c r="AU107" i="6"/>
  <c r="AU94" i="6"/>
  <c r="AU101" i="6"/>
  <c r="Q32" i="16"/>
  <c r="Q41" i="16"/>
  <c r="Q17" i="28" s="1"/>
  <c r="K13" i="47" s="1"/>
  <c r="Q45" i="16"/>
  <c r="Q46" i="16" s="1"/>
  <c r="AT162" i="6" l="1"/>
  <c r="AT141" i="6"/>
  <c r="AV53" i="20"/>
  <c r="AV54" i="20" s="1"/>
  <c r="AV58" i="20" s="1"/>
  <c r="AV59" i="20"/>
  <c r="AV277" i="6"/>
  <c r="AV244" i="6"/>
  <c r="AV228" i="6"/>
  <c r="AV236" i="6"/>
  <c r="AV177" i="6"/>
  <c r="AV284" i="6"/>
  <c r="AV285" i="6" s="1"/>
  <c r="AV121" i="6"/>
  <c r="AV18" i="6"/>
  <c r="AV19" i="6" s="1"/>
  <c r="AV2" i="4" s="1"/>
  <c r="AU2" i="40"/>
  <c r="AU2" i="37"/>
  <c r="AU2" i="34"/>
  <c r="AU2" i="28"/>
  <c r="AU2" i="31"/>
  <c r="AU2" i="21"/>
  <c r="AU60" i="20"/>
  <c r="AU2" i="20"/>
  <c r="AU2" i="22"/>
  <c r="AU2" i="19"/>
  <c r="AU2" i="18"/>
  <c r="AU2" i="17"/>
  <c r="AU2" i="15"/>
  <c r="AU2" i="16"/>
  <c r="AU2" i="13"/>
  <c r="AU2" i="14"/>
  <c r="AU2" i="12"/>
  <c r="AU2" i="10"/>
  <c r="AU2" i="11"/>
  <c r="AU235" i="6"/>
  <c r="AU237" i="6" s="1"/>
  <c r="AU20" i="16" s="1"/>
  <c r="AU276" i="6"/>
  <c r="AU278" i="6" s="1"/>
  <c r="AU270" i="6" s="1"/>
  <c r="AU271" i="6" s="1"/>
  <c r="AU264" i="6" s="1"/>
  <c r="AU243" i="6"/>
  <c r="AU245" i="6" s="1"/>
  <c r="AU21" i="18" s="1"/>
  <c r="AU2" i="9"/>
  <c r="AU2" i="7"/>
  <c r="AU227" i="6"/>
  <c r="AU229" i="6" s="1"/>
  <c r="AU21" i="17" s="1"/>
  <c r="AU2" i="8"/>
  <c r="AU114" i="6"/>
  <c r="AU115" i="6" s="1"/>
  <c r="AU203" i="6"/>
  <c r="AU52" i="6"/>
  <c r="AU147" i="6"/>
  <c r="AU307" i="6"/>
  <c r="AV308" i="6" s="1"/>
  <c r="AU72" i="6"/>
  <c r="AU313" i="6"/>
  <c r="AU315" i="6" s="1"/>
  <c r="AU176" i="6"/>
  <c r="AU178" i="6" s="1"/>
  <c r="AU183" i="6" s="1"/>
  <c r="AU184" i="6" s="1"/>
  <c r="AU188" i="6" s="1"/>
  <c r="AU92" i="6"/>
  <c r="AU2" i="6"/>
  <c r="AU120" i="6"/>
  <c r="AU122" i="6" s="1"/>
  <c r="AU127" i="6" s="1"/>
  <c r="AU128" i="6" s="1"/>
  <c r="AU132" i="6" s="1"/>
  <c r="AU32" i="6"/>
  <c r="AU170" i="6"/>
  <c r="AU171" i="6" s="1"/>
  <c r="AV74" i="6"/>
  <c r="AV81" i="6"/>
  <c r="AV87" i="6"/>
  <c r="Q47" i="16"/>
  <c r="Q24" i="34" s="1"/>
  <c r="K63" i="47" s="1"/>
  <c r="Q33" i="16"/>
  <c r="Q34" i="16" s="1"/>
  <c r="Q13" i="16" s="1"/>
  <c r="AT218" i="6"/>
  <c r="AT197" i="6"/>
  <c r="AU61" i="20"/>
  <c r="AU67" i="20" s="1"/>
  <c r="AT54" i="6"/>
  <c r="AT61" i="6"/>
  <c r="AT67" i="6"/>
  <c r="AV3" i="40"/>
  <c r="AV3" i="37"/>
  <c r="AV3" i="34"/>
  <c r="AV3" i="31"/>
  <c r="AV3" i="28"/>
  <c r="AV3" i="22"/>
  <c r="AV3" i="21"/>
  <c r="AV3" i="20"/>
  <c r="AV3" i="19"/>
  <c r="AV3" i="18"/>
  <c r="AV3" i="17"/>
  <c r="AV3" i="16"/>
  <c r="AV3" i="15"/>
  <c r="AV3" i="14"/>
  <c r="AV3" i="11"/>
  <c r="AV3" i="13"/>
  <c r="AV3" i="12"/>
  <c r="AV3" i="10"/>
  <c r="AV3" i="9"/>
  <c r="AV3" i="7"/>
  <c r="AV3" i="8"/>
  <c r="AV59" i="6"/>
  <c r="AV79" i="6"/>
  <c r="AV99" i="6"/>
  <c r="AV39" i="6"/>
  <c r="AV3" i="6"/>
  <c r="AU26" i="31"/>
  <c r="AV11" i="21"/>
  <c r="AV13" i="21" s="1"/>
  <c r="AU29" i="9"/>
  <c r="AV41" i="6"/>
  <c r="AV47" i="6"/>
  <c r="AV34" i="6"/>
  <c r="AW4" i="40"/>
  <c r="AW4" i="37"/>
  <c r="AW4" i="34"/>
  <c r="AW4" i="31"/>
  <c r="AW4" i="28"/>
  <c r="AW4" i="21"/>
  <c r="AW4" i="22"/>
  <c r="AW10" i="21"/>
  <c r="AW4" i="20"/>
  <c r="AW74" i="20"/>
  <c r="AW28" i="19"/>
  <c r="AW4" i="19"/>
  <c r="AW32" i="20"/>
  <c r="AW4" i="18"/>
  <c r="AW10" i="18"/>
  <c r="AW10" i="17"/>
  <c r="AW4" i="17"/>
  <c r="AW10" i="16"/>
  <c r="AW4" i="16"/>
  <c r="AW4" i="14"/>
  <c r="AW40" i="15"/>
  <c r="AW4" i="15"/>
  <c r="AW50" i="12"/>
  <c r="AW17" i="13"/>
  <c r="AW25" i="13"/>
  <c r="AW37" i="12"/>
  <c r="AW4" i="12"/>
  <c r="AW4" i="10"/>
  <c r="AW27" i="15"/>
  <c r="AW23" i="11"/>
  <c r="AW4" i="11"/>
  <c r="AW60" i="12"/>
  <c r="AW340" i="6"/>
  <c r="AW341" i="6" s="1"/>
  <c r="AW290" i="6"/>
  <c r="AW291" i="6" s="1"/>
  <c r="AW4" i="13"/>
  <c r="AW253" i="6"/>
  <c r="AW330" i="6"/>
  <c r="AW331" i="6" s="1"/>
  <c r="AW269" i="6"/>
  <c r="AW4" i="9"/>
  <c r="AW4" i="7"/>
  <c r="AW345" i="6"/>
  <c r="AW346" i="6" s="1"/>
  <c r="AW295" i="6"/>
  <c r="AW296" i="6" s="1"/>
  <c r="AW35" i="9"/>
  <c r="AW4" i="8"/>
  <c r="AW314" i="6"/>
  <c r="AW16" i="10"/>
  <c r="AW306" i="6"/>
  <c r="AW325" i="6"/>
  <c r="AW326" i="6" s="1"/>
  <c r="AW66" i="6"/>
  <c r="AW73" i="6"/>
  <c r="AW80" i="6"/>
  <c r="AW140" i="6"/>
  <c r="AW182" i="6"/>
  <c r="AW93" i="6"/>
  <c r="AW126" i="6"/>
  <c r="AW100" i="6"/>
  <c r="AW46" i="6"/>
  <c r="AW10" i="9"/>
  <c r="AW196" i="6"/>
  <c r="AW4" i="6"/>
  <c r="AW53" i="6"/>
  <c r="AW40" i="6"/>
  <c r="AW60" i="6"/>
  <c r="AW11" i="6"/>
  <c r="AW12" i="6" s="1"/>
  <c r="AW86" i="6"/>
  <c r="AX28" i="6"/>
  <c r="AX4" i="4" s="1"/>
  <c r="AW23" i="6"/>
  <c r="AW24" i="6" s="1"/>
  <c r="AW3" i="4" s="1"/>
  <c r="AW106" i="6"/>
  <c r="AW33" i="6"/>
  <c r="AV94" i="6"/>
  <c r="AV101" i="6"/>
  <c r="AV107" i="6"/>
  <c r="AV26" i="31" l="1"/>
  <c r="AW11" i="21"/>
  <c r="AV29" i="9"/>
  <c r="AW59" i="20"/>
  <c r="AW53" i="20"/>
  <c r="AW54" i="20" s="1"/>
  <c r="AW58" i="20" s="1"/>
  <c r="AW244" i="6"/>
  <c r="AW228" i="6"/>
  <c r="AW236" i="6"/>
  <c r="AW284" i="6"/>
  <c r="AW285" i="6" s="1"/>
  <c r="AW277" i="6"/>
  <c r="AW177" i="6"/>
  <c r="AW121" i="6"/>
  <c r="AW18" i="6"/>
  <c r="AW19" i="6" s="1"/>
  <c r="AW2" i="4" s="1"/>
  <c r="AU218" i="6"/>
  <c r="AU197" i="6"/>
  <c r="AW3" i="40"/>
  <c r="AW3" i="37"/>
  <c r="AW3" i="34"/>
  <c r="AW3" i="31"/>
  <c r="AW3" i="28"/>
  <c r="AW3" i="22"/>
  <c r="AW3" i="21"/>
  <c r="AW3" i="20"/>
  <c r="AW3" i="19"/>
  <c r="AW3" i="18"/>
  <c r="AW3" i="17"/>
  <c r="AW3" i="16"/>
  <c r="AW3" i="15"/>
  <c r="AW3" i="14"/>
  <c r="AW3" i="13"/>
  <c r="AW3" i="11"/>
  <c r="AW3" i="12"/>
  <c r="AW3" i="8"/>
  <c r="AW3" i="10"/>
  <c r="AW59" i="6"/>
  <c r="AW3" i="7"/>
  <c r="AW3" i="9"/>
  <c r="AW39" i="6"/>
  <c r="AW79" i="6"/>
  <c r="AW3" i="6"/>
  <c r="AW99" i="6"/>
  <c r="AW74" i="6"/>
  <c r="AW81" i="6"/>
  <c r="AW87" i="6"/>
  <c r="AX4" i="40"/>
  <c r="AX4" i="37"/>
  <c r="AX4" i="34"/>
  <c r="AX4" i="31"/>
  <c r="AX4" i="28"/>
  <c r="AX4" i="21"/>
  <c r="AX10" i="21"/>
  <c r="AX74" i="20"/>
  <c r="AX32" i="20"/>
  <c r="AX4" i="22"/>
  <c r="AX4" i="20"/>
  <c r="AX28" i="19"/>
  <c r="AX4" i="17"/>
  <c r="AX10" i="18"/>
  <c r="AX4" i="19"/>
  <c r="AX4" i="18"/>
  <c r="AX10" i="16"/>
  <c r="AX10" i="17"/>
  <c r="AX4" i="16"/>
  <c r="AX4" i="14"/>
  <c r="AX40" i="15"/>
  <c r="AX4" i="15"/>
  <c r="AX27" i="15"/>
  <c r="AX17" i="13"/>
  <c r="AX25" i="13"/>
  <c r="AX4" i="13"/>
  <c r="AX60" i="12"/>
  <c r="AX4" i="12"/>
  <c r="AX23" i="11"/>
  <c r="AX4" i="11"/>
  <c r="AX16" i="10"/>
  <c r="AX37" i="12"/>
  <c r="AX253" i="6"/>
  <c r="AX330" i="6"/>
  <c r="AX331" i="6" s="1"/>
  <c r="AX269" i="6"/>
  <c r="AX4" i="9"/>
  <c r="AX4" i="7"/>
  <c r="AX345" i="6"/>
  <c r="AX346" i="6" s="1"/>
  <c r="AX295" i="6"/>
  <c r="AX296" i="6" s="1"/>
  <c r="AX35" i="9"/>
  <c r="AX4" i="8"/>
  <c r="AX314" i="6"/>
  <c r="AX50" i="12"/>
  <c r="AX306" i="6"/>
  <c r="AX4" i="10"/>
  <c r="AX10" i="9"/>
  <c r="AX325" i="6"/>
  <c r="AX326" i="6" s="1"/>
  <c r="AX290" i="6"/>
  <c r="AX291" i="6" s="1"/>
  <c r="AX73" i="6"/>
  <c r="AX80" i="6"/>
  <c r="AX340" i="6"/>
  <c r="AX341" i="6" s="1"/>
  <c r="AX140" i="6"/>
  <c r="AX86" i="6"/>
  <c r="AX33" i="6"/>
  <c r="AX182" i="6"/>
  <c r="AX126" i="6"/>
  <c r="AX100" i="6"/>
  <c r="AX46" i="6"/>
  <c r="AX196" i="6"/>
  <c r="AX106" i="6"/>
  <c r="AX53" i="6"/>
  <c r="AX40" i="6"/>
  <c r="AX4" i="6"/>
  <c r="AX11" i="6"/>
  <c r="AX12" i="6" s="1"/>
  <c r="AX60" i="6"/>
  <c r="AX93" i="6"/>
  <c r="AX66" i="6"/>
  <c r="AY28" i="6"/>
  <c r="AY4" i="4" s="1"/>
  <c r="AX23" i="6"/>
  <c r="AX24" i="6" s="1"/>
  <c r="AX3" i="4" s="1"/>
  <c r="AU61" i="6"/>
  <c r="AU67" i="6"/>
  <c r="AU54" i="6"/>
  <c r="AW34" i="6"/>
  <c r="AW47" i="6"/>
  <c r="AW41" i="6"/>
  <c r="AW13" i="21"/>
  <c r="AU162" i="6"/>
  <c r="AU141" i="6"/>
  <c r="AV2" i="40"/>
  <c r="AV2" i="37"/>
  <c r="AV2" i="34"/>
  <c r="AV2" i="31"/>
  <c r="AV2" i="28"/>
  <c r="AV2" i="21"/>
  <c r="AV2" i="22"/>
  <c r="AV60" i="20"/>
  <c r="AV61" i="20" s="1"/>
  <c r="AV67" i="20" s="1"/>
  <c r="AV2" i="20"/>
  <c r="AV2" i="18"/>
  <c r="AV2" i="17"/>
  <c r="AV2" i="19"/>
  <c r="AV2" i="14"/>
  <c r="AV2" i="16"/>
  <c r="AV2" i="13"/>
  <c r="AV2" i="15"/>
  <c r="AV2" i="12"/>
  <c r="AV2" i="10"/>
  <c r="AV2" i="11"/>
  <c r="AV276" i="6"/>
  <c r="AV278" i="6" s="1"/>
  <c r="AV270" i="6" s="1"/>
  <c r="AV271" i="6" s="1"/>
  <c r="AV264" i="6" s="1"/>
  <c r="AV243" i="6"/>
  <c r="AV245" i="6" s="1"/>
  <c r="AV21" i="18" s="1"/>
  <c r="AV2" i="9"/>
  <c r="AV2" i="7"/>
  <c r="AV2" i="8"/>
  <c r="AV313" i="6"/>
  <c r="AV315" i="6" s="1"/>
  <c r="AV307" i="6"/>
  <c r="AW308" i="6" s="1"/>
  <c r="AV203" i="6"/>
  <c r="AV52" i="6"/>
  <c r="AV147" i="6"/>
  <c r="AV235" i="6"/>
  <c r="AV237" i="6" s="1"/>
  <c r="AV20" i="16" s="1"/>
  <c r="AV227" i="6"/>
  <c r="AV229" i="6" s="1"/>
  <c r="AV21" i="17" s="1"/>
  <c r="AV176" i="6"/>
  <c r="AV178" i="6" s="1"/>
  <c r="AV183" i="6" s="1"/>
  <c r="AV184" i="6" s="1"/>
  <c r="AV188" i="6" s="1"/>
  <c r="AV170" i="6"/>
  <c r="AV171" i="6" s="1"/>
  <c r="AV120" i="6"/>
  <c r="AV122" i="6" s="1"/>
  <c r="AV127" i="6" s="1"/>
  <c r="AV128" i="6" s="1"/>
  <c r="AV132" i="6" s="1"/>
  <c r="AV32" i="6"/>
  <c r="AV2" i="6"/>
  <c r="AV114" i="6"/>
  <c r="AV115" i="6" s="1"/>
  <c r="AV72" i="6"/>
  <c r="AV92" i="6"/>
  <c r="AW101" i="6"/>
  <c r="AW107" i="6"/>
  <c r="AW94" i="6"/>
  <c r="AX3" i="40" l="1"/>
  <c r="AX3" i="37"/>
  <c r="AX3" i="34"/>
  <c r="AX3" i="31"/>
  <c r="AX3" i="22"/>
  <c r="AX3" i="28"/>
  <c r="AX3" i="21"/>
  <c r="AX3" i="19"/>
  <c r="AX3" i="20"/>
  <c r="AX3" i="18"/>
  <c r="AX3" i="16"/>
  <c r="AX3" i="17"/>
  <c r="AX3" i="15"/>
  <c r="AX3" i="13"/>
  <c r="AX3" i="14"/>
  <c r="AX3" i="12"/>
  <c r="AX3" i="11"/>
  <c r="AX3" i="10"/>
  <c r="AX3" i="9"/>
  <c r="AX3" i="7"/>
  <c r="AX3" i="8"/>
  <c r="AX79" i="6"/>
  <c r="AX99" i="6"/>
  <c r="AX39" i="6"/>
  <c r="AX3" i="6"/>
  <c r="AX59" i="6"/>
  <c r="AV67" i="6"/>
  <c r="AV61" i="6"/>
  <c r="AV54" i="6"/>
  <c r="AY4" i="40"/>
  <c r="AY4" i="37"/>
  <c r="AY4" i="34"/>
  <c r="AY4" i="31"/>
  <c r="AY4" i="28"/>
  <c r="AY4" i="21"/>
  <c r="AY4" i="22"/>
  <c r="AY4" i="20"/>
  <c r="AY32" i="20"/>
  <c r="AY10" i="21"/>
  <c r="AY74" i="20"/>
  <c r="AY4" i="19"/>
  <c r="AY28" i="19"/>
  <c r="AY10" i="18"/>
  <c r="AY4" i="18"/>
  <c r="AY4" i="17"/>
  <c r="AY10" i="17"/>
  <c r="AY4" i="16"/>
  <c r="AY40" i="15"/>
  <c r="AY10" i="16"/>
  <c r="AY4" i="15"/>
  <c r="AY27" i="15"/>
  <c r="AY17" i="13"/>
  <c r="AY25" i="13"/>
  <c r="AY37" i="12"/>
  <c r="AY4" i="13"/>
  <c r="AY60" i="12"/>
  <c r="AY50" i="12"/>
  <c r="AY23" i="11"/>
  <c r="AY4" i="11"/>
  <c r="AY16" i="10"/>
  <c r="AY4" i="14"/>
  <c r="AY330" i="6"/>
  <c r="AY331" i="6" s="1"/>
  <c r="AY269" i="6"/>
  <c r="AY4" i="9"/>
  <c r="AY4" i="7"/>
  <c r="AY345" i="6"/>
  <c r="AY346" i="6" s="1"/>
  <c r="AY295" i="6"/>
  <c r="AY296" i="6" s="1"/>
  <c r="AY35" i="9"/>
  <c r="AY4" i="8"/>
  <c r="AY314" i="6"/>
  <c r="AY196" i="6"/>
  <c r="AY306" i="6"/>
  <c r="AY4" i="10"/>
  <c r="AY10" i="9"/>
  <c r="AY325" i="6"/>
  <c r="AY326" i="6" s="1"/>
  <c r="AY340" i="6"/>
  <c r="AY341" i="6" s="1"/>
  <c r="AY290" i="6"/>
  <c r="AY291" i="6" s="1"/>
  <c r="AY80" i="6"/>
  <c r="AY140" i="6"/>
  <c r="AY86" i="6"/>
  <c r="AY33" i="6"/>
  <c r="AY182" i="6"/>
  <c r="AY93" i="6"/>
  <c r="AY40" i="6"/>
  <c r="AZ28" i="6"/>
  <c r="AZ4" i="4" s="1"/>
  <c r="AY4" i="12"/>
  <c r="AY126" i="6"/>
  <c r="AY253" i="6"/>
  <c r="AY106" i="6"/>
  <c r="AY53" i="6"/>
  <c r="AY60" i="6"/>
  <c r="AY11" i="6"/>
  <c r="AY12" i="6" s="1"/>
  <c r="AY73" i="6"/>
  <c r="AY46" i="6"/>
  <c r="AY66" i="6"/>
  <c r="AY100" i="6"/>
  <c r="AY23" i="6"/>
  <c r="AY24" i="6" s="1"/>
  <c r="AY3" i="4" s="1"/>
  <c r="AY4" i="6"/>
  <c r="AW26" i="31"/>
  <c r="AX11" i="21"/>
  <c r="AX13" i="21" s="1"/>
  <c r="AW29" i="9"/>
  <c r="AX81" i="6"/>
  <c r="AX87" i="6"/>
  <c r="AX74" i="6"/>
  <c r="AW2" i="40"/>
  <c r="AW2" i="37"/>
  <c r="AW2" i="34"/>
  <c r="AW2" i="31"/>
  <c r="AW2" i="28"/>
  <c r="AW2" i="21"/>
  <c r="AW2" i="22"/>
  <c r="AW60" i="20"/>
  <c r="AW2" i="20"/>
  <c r="AW2" i="19"/>
  <c r="AW2" i="18"/>
  <c r="AW2" i="17"/>
  <c r="AW2" i="16"/>
  <c r="AW2" i="14"/>
  <c r="AW2" i="15"/>
  <c r="AW2" i="12"/>
  <c r="AW2" i="10"/>
  <c r="AW2" i="11"/>
  <c r="AW2" i="13"/>
  <c r="AW276" i="6"/>
  <c r="AW278" i="6" s="1"/>
  <c r="AW270" i="6" s="1"/>
  <c r="AW271" i="6" s="1"/>
  <c r="AW264" i="6" s="1"/>
  <c r="AW243" i="6"/>
  <c r="AW245" i="6" s="1"/>
  <c r="AW21" i="18" s="1"/>
  <c r="AW2" i="9"/>
  <c r="AW2" i="7"/>
  <c r="AW227" i="6"/>
  <c r="AW229" i="6" s="1"/>
  <c r="AW21" i="17" s="1"/>
  <c r="AW203" i="6"/>
  <c r="AW2" i="8"/>
  <c r="AW313" i="6"/>
  <c r="AW315" i="6" s="1"/>
  <c r="AW307" i="6"/>
  <c r="AX308" i="6" s="1"/>
  <c r="AW235" i="6"/>
  <c r="AW237" i="6" s="1"/>
  <c r="AW20" i="16" s="1"/>
  <c r="AW147" i="6"/>
  <c r="AW72" i="6"/>
  <c r="AW176" i="6"/>
  <c r="AW178" i="6" s="1"/>
  <c r="AW183" i="6" s="1"/>
  <c r="AW184" i="6" s="1"/>
  <c r="AW188" i="6" s="1"/>
  <c r="AW170" i="6"/>
  <c r="AW171" i="6" s="1"/>
  <c r="AW120" i="6"/>
  <c r="AW122" i="6" s="1"/>
  <c r="AW127" i="6" s="1"/>
  <c r="AW128" i="6" s="1"/>
  <c r="AW132" i="6" s="1"/>
  <c r="AW114" i="6"/>
  <c r="AW115" i="6" s="1"/>
  <c r="AW92" i="6"/>
  <c r="AW2" i="6"/>
  <c r="AW52" i="6"/>
  <c r="AW32" i="6"/>
  <c r="AW61" i="20"/>
  <c r="AW67" i="20" s="1"/>
  <c r="AX94" i="6"/>
  <c r="AX107" i="6"/>
  <c r="AX101" i="6"/>
  <c r="AV218" i="6"/>
  <c r="AV197" i="6"/>
  <c r="AV141" i="6"/>
  <c r="AV162" i="6"/>
  <c r="AX59" i="20"/>
  <c r="AX53" i="20"/>
  <c r="AX54" i="20" s="1"/>
  <c r="AX58" i="20" s="1"/>
  <c r="AX228" i="6"/>
  <c r="AX236" i="6"/>
  <c r="AX284" i="6"/>
  <c r="AX285" i="6" s="1"/>
  <c r="AX277" i="6"/>
  <c r="AX244" i="6"/>
  <c r="AX177" i="6"/>
  <c r="AX121" i="6"/>
  <c r="AX18" i="6"/>
  <c r="AX19" i="6" s="1"/>
  <c r="AX2" i="4" s="1"/>
  <c r="AX34" i="6"/>
  <c r="AX41" i="6"/>
  <c r="AX47" i="6"/>
  <c r="AX26" i="31" l="1"/>
  <c r="AY11" i="21"/>
  <c r="AX29" i="9"/>
  <c r="AW54" i="6"/>
  <c r="AW67" i="6"/>
  <c r="AW61" i="6"/>
  <c r="AY3" i="40"/>
  <c r="AY3" i="37"/>
  <c r="AY3" i="34"/>
  <c r="AY3" i="28"/>
  <c r="AY3" i="31"/>
  <c r="AY3" i="21"/>
  <c r="AY3" i="20"/>
  <c r="AY3" i="22"/>
  <c r="AY3" i="19"/>
  <c r="AY3" i="18"/>
  <c r="AY3" i="17"/>
  <c r="AY3" i="15"/>
  <c r="AY3" i="14"/>
  <c r="AY3" i="13"/>
  <c r="AY3" i="16"/>
  <c r="AY3" i="12"/>
  <c r="AY3" i="10"/>
  <c r="AY3" i="11"/>
  <c r="AY3" i="9"/>
  <c r="AY3" i="7"/>
  <c r="AY3" i="8"/>
  <c r="AY79" i="6"/>
  <c r="AY99" i="6"/>
  <c r="AY39" i="6"/>
  <c r="AY3" i="6"/>
  <c r="AY59" i="6"/>
  <c r="AY94" i="6"/>
  <c r="AY101" i="6"/>
  <c r="AY107" i="6"/>
  <c r="AW218" i="6"/>
  <c r="AW197" i="6"/>
  <c r="AY13" i="21"/>
  <c r="AY34" i="6"/>
  <c r="AY41" i="6"/>
  <c r="AY47" i="6"/>
  <c r="AX2" i="40"/>
  <c r="AX2" i="37"/>
  <c r="AX2" i="34"/>
  <c r="AX2" i="31"/>
  <c r="AX2" i="28"/>
  <c r="AX2" i="21"/>
  <c r="AX2" i="22"/>
  <c r="AX60" i="20"/>
  <c r="AX61" i="20" s="1"/>
  <c r="AX67" i="20" s="1"/>
  <c r="AX2" i="20"/>
  <c r="AX2" i="17"/>
  <c r="AX2" i="19"/>
  <c r="AX2" i="18"/>
  <c r="AX2" i="14"/>
  <c r="AX2" i="16"/>
  <c r="AX2" i="15"/>
  <c r="AX2" i="13"/>
  <c r="AX2" i="12"/>
  <c r="AX2" i="11"/>
  <c r="AX243" i="6"/>
  <c r="AX245" i="6" s="1"/>
  <c r="AX21" i="18" s="1"/>
  <c r="AX2" i="10"/>
  <c r="AX2" i="9"/>
  <c r="AX2" i="7"/>
  <c r="AX227" i="6"/>
  <c r="AX229" i="6" s="1"/>
  <c r="AX21" i="17" s="1"/>
  <c r="AX203" i="6"/>
  <c r="AX2" i="8"/>
  <c r="AX313" i="6"/>
  <c r="AX315" i="6" s="1"/>
  <c r="AX307" i="6"/>
  <c r="AY308" i="6" s="1"/>
  <c r="AX235" i="6"/>
  <c r="AX237" i="6" s="1"/>
  <c r="AX20" i="16" s="1"/>
  <c r="AX147" i="6"/>
  <c r="AX72" i="6"/>
  <c r="AX176" i="6"/>
  <c r="AX178" i="6" s="1"/>
  <c r="AX183" i="6" s="1"/>
  <c r="AX184" i="6" s="1"/>
  <c r="AX188" i="6" s="1"/>
  <c r="AX170" i="6"/>
  <c r="AX171" i="6" s="1"/>
  <c r="AX120" i="6"/>
  <c r="AX122" i="6" s="1"/>
  <c r="AX127" i="6" s="1"/>
  <c r="AX128" i="6" s="1"/>
  <c r="AX132" i="6" s="1"/>
  <c r="AX114" i="6"/>
  <c r="AX115" i="6" s="1"/>
  <c r="AX92" i="6"/>
  <c r="AX276" i="6"/>
  <c r="AX278" i="6" s="1"/>
  <c r="AX270" i="6" s="1"/>
  <c r="AX271" i="6" s="1"/>
  <c r="AX264" i="6" s="1"/>
  <c r="AX2" i="6"/>
  <c r="AX52" i="6"/>
  <c r="AX32" i="6"/>
  <c r="AY87" i="6"/>
  <c r="AY74" i="6"/>
  <c r="AY81" i="6"/>
  <c r="AZ4" i="40"/>
  <c r="AZ4" i="37"/>
  <c r="AZ4" i="34"/>
  <c r="AZ4" i="31"/>
  <c r="AZ4" i="28"/>
  <c r="AZ4" i="22"/>
  <c r="AZ10" i="21"/>
  <c r="AZ32" i="20"/>
  <c r="AZ4" i="21"/>
  <c r="AZ74" i="20"/>
  <c r="AZ4" i="20"/>
  <c r="AZ4" i="19"/>
  <c r="AZ28" i="19"/>
  <c r="AZ10" i="18"/>
  <c r="AZ10" i="17"/>
  <c r="AZ4" i="18"/>
  <c r="AZ4" i="17"/>
  <c r="AZ4" i="16"/>
  <c r="AZ10" i="16"/>
  <c r="AZ40" i="15"/>
  <c r="AZ4" i="15"/>
  <c r="AZ27" i="15"/>
  <c r="AZ17" i="13"/>
  <c r="AZ25" i="13"/>
  <c r="AZ37" i="12"/>
  <c r="AZ50" i="12"/>
  <c r="AZ4" i="14"/>
  <c r="AZ23" i="11"/>
  <c r="AZ4" i="11"/>
  <c r="AZ16" i="10"/>
  <c r="AZ60" i="12"/>
  <c r="AZ4" i="13"/>
  <c r="AZ4" i="12"/>
  <c r="AZ4" i="10"/>
  <c r="AZ4" i="9"/>
  <c r="AZ4" i="7"/>
  <c r="AZ345" i="6"/>
  <c r="AZ346" i="6" s="1"/>
  <c r="AZ295" i="6"/>
  <c r="AZ296" i="6" s="1"/>
  <c r="AZ35" i="9"/>
  <c r="AZ4" i="8"/>
  <c r="AZ314" i="6"/>
  <c r="AZ196" i="6"/>
  <c r="AZ306" i="6"/>
  <c r="AZ10" i="9"/>
  <c r="AZ325" i="6"/>
  <c r="AZ326" i="6" s="1"/>
  <c r="AZ340" i="6"/>
  <c r="AZ341" i="6" s="1"/>
  <c r="AZ290" i="6"/>
  <c r="AZ291" i="6" s="1"/>
  <c r="AZ253" i="6"/>
  <c r="AZ269" i="6"/>
  <c r="AZ140" i="6"/>
  <c r="AZ86" i="6"/>
  <c r="AZ33" i="6"/>
  <c r="AZ182" i="6"/>
  <c r="AZ93" i="6"/>
  <c r="AZ40" i="6"/>
  <c r="AZ330" i="6"/>
  <c r="AZ331" i="6" s="1"/>
  <c r="AZ126" i="6"/>
  <c r="AZ100" i="6"/>
  <c r="AZ46" i="6"/>
  <c r="AZ60" i="6"/>
  <c r="AZ66" i="6"/>
  <c r="AZ73" i="6"/>
  <c r="AZ53" i="6"/>
  <c r="AZ80" i="6"/>
  <c r="AZ23" i="6"/>
  <c r="AZ24" i="6" s="1"/>
  <c r="AZ3" i="4" s="1"/>
  <c r="BA28" i="6"/>
  <c r="BA4" i="4" s="1"/>
  <c r="AZ106" i="6"/>
  <c r="AZ4" i="6"/>
  <c r="AZ11" i="6"/>
  <c r="AZ12" i="6" s="1"/>
  <c r="AW141" i="6"/>
  <c r="AW162" i="6"/>
  <c r="AY53" i="20"/>
  <c r="AY54" i="20" s="1"/>
  <c r="AY58" i="20" s="1"/>
  <c r="AY59" i="20"/>
  <c r="AY228" i="6"/>
  <c r="AY236" i="6"/>
  <c r="AY284" i="6"/>
  <c r="AY285" i="6" s="1"/>
  <c r="AY277" i="6"/>
  <c r="AY244" i="6"/>
  <c r="AY177" i="6"/>
  <c r="AY121" i="6"/>
  <c r="AY18" i="6"/>
  <c r="AY19" i="6" s="1"/>
  <c r="AY2" i="4" s="1"/>
  <c r="AX197" i="6" l="1"/>
  <c r="AX218" i="6"/>
  <c r="BA4" i="40"/>
  <c r="BA4" i="37"/>
  <c r="BA4" i="34"/>
  <c r="BA4" i="31"/>
  <c r="BA4" i="28"/>
  <c r="BA4" i="22"/>
  <c r="BA10" i="21"/>
  <c r="BA74" i="20"/>
  <c r="BA4" i="21"/>
  <c r="BA4" i="20"/>
  <c r="BA28" i="19"/>
  <c r="BA32" i="20"/>
  <c r="BA4" i="19"/>
  <c r="BA10" i="18"/>
  <c r="BA4" i="18"/>
  <c r="BA4" i="17"/>
  <c r="BA10" i="17"/>
  <c r="BA4" i="16"/>
  <c r="BA10" i="16"/>
  <c r="BA40" i="15"/>
  <c r="BA4" i="15"/>
  <c r="BA27" i="15"/>
  <c r="BA4" i="14"/>
  <c r="BA25" i="13"/>
  <c r="BA4" i="13"/>
  <c r="BA60" i="12"/>
  <c r="BA4" i="11"/>
  <c r="BA37" i="12"/>
  <c r="BA4" i="12"/>
  <c r="BA50" i="12"/>
  <c r="BA35" i="9"/>
  <c r="BA4" i="8"/>
  <c r="BA314" i="6"/>
  <c r="BA196" i="6"/>
  <c r="BA306" i="6"/>
  <c r="BA10" i="9"/>
  <c r="BA325" i="6"/>
  <c r="BA326" i="6" s="1"/>
  <c r="BA17" i="13"/>
  <c r="BA16" i="10"/>
  <c r="BA4" i="10"/>
  <c r="BA340" i="6"/>
  <c r="BA341" i="6" s="1"/>
  <c r="BA290" i="6"/>
  <c r="BA291" i="6" s="1"/>
  <c r="BA253" i="6"/>
  <c r="BA23" i="11"/>
  <c r="BA330" i="6"/>
  <c r="BA331" i="6" s="1"/>
  <c r="BA269" i="6"/>
  <c r="BA140" i="6"/>
  <c r="BA182" i="6"/>
  <c r="BA93" i="6"/>
  <c r="BA40" i="6"/>
  <c r="BA4" i="7"/>
  <c r="BA126" i="6"/>
  <c r="BA100" i="6"/>
  <c r="BA46" i="6"/>
  <c r="BA106" i="6"/>
  <c r="BA53" i="6"/>
  <c r="BA295" i="6"/>
  <c r="BA296" i="6" s="1"/>
  <c r="BA4" i="9"/>
  <c r="BA66" i="6"/>
  <c r="BA73" i="6"/>
  <c r="BA345" i="6"/>
  <c r="BA346" i="6" s="1"/>
  <c r="BA80" i="6"/>
  <c r="BA60" i="6"/>
  <c r="BA23" i="6"/>
  <c r="BA24" i="6" s="1"/>
  <c r="BA3" i="4" s="1"/>
  <c r="BB28" i="6"/>
  <c r="BB4" i="4" s="1"/>
  <c r="BA86" i="6"/>
  <c r="BA4" i="6"/>
  <c r="BA33" i="6"/>
  <c r="BA11" i="6"/>
  <c r="BA12" i="6" s="1"/>
  <c r="AZ13" i="21"/>
  <c r="AZ74" i="6"/>
  <c r="AZ87" i="6"/>
  <c r="AZ81" i="6"/>
  <c r="AY26" i="31"/>
  <c r="AZ11" i="21"/>
  <c r="AY29" i="9"/>
  <c r="AY2" i="40"/>
  <c r="AY2" i="37"/>
  <c r="AY2" i="34"/>
  <c r="AY2" i="28"/>
  <c r="AY2" i="31"/>
  <c r="AY2" i="21"/>
  <c r="AY2" i="22"/>
  <c r="AY2" i="20"/>
  <c r="AY60" i="20"/>
  <c r="AY61" i="20" s="1"/>
  <c r="AY67" i="20" s="1"/>
  <c r="AY2" i="19"/>
  <c r="AY2" i="18"/>
  <c r="AY2" i="17"/>
  <c r="AY2" i="16"/>
  <c r="AY2" i="15"/>
  <c r="AY2" i="13"/>
  <c r="AY2" i="14"/>
  <c r="AY2" i="11"/>
  <c r="AY2" i="10"/>
  <c r="AY2" i="9"/>
  <c r="AY2" i="7"/>
  <c r="AY227" i="6"/>
  <c r="AY229" i="6" s="1"/>
  <c r="AY21" i="17" s="1"/>
  <c r="AY203" i="6"/>
  <c r="AY2" i="8"/>
  <c r="AY313" i="6"/>
  <c r="AY315" i="6" s="1"/>
  <c r="AY307" i="6"/>
  <c r="AZ308" i="6" s="1"/>
  <c r="AY235" i="6"/>
  <c r="AY237" i="6" s="1"/>
  <c r="AY20" i="16" s="1"/>
  <c r="AY2" i="12"/>
  <c r="AY276" i="6"/>
  <c r="AY278" i="6" s="1"/>
  <c r="AY270" i="6" s="1"/>
  <c r="AY271" i="6" s="1"/>
  <c r="AY264" i="6" s="1"/>
  <c r="AY147" i="6"/>
  <c r="AY72" i="6"/>
  <c r="AY176" i="6"/>
  <c r="AY178" i="6" s="1"/>
  <c r="AY183" i="6" s="1"/>
  <c r="AY184" i="6" s="1"/>
  <c r="AY188" i="6" s="1"/>
  <c r="AY170" i="6"/>
  <c r="AY171" i="6" s="1"/>
  <c r="AY120" i="6"/>
  <c r="AY122" i="6" s="1"/>
  <c r="AY127" i="6" s="1"/>
  <c r="AY128" i="6" s="1"/>
  <c r="AY132" i="6" s="1"/>
  <c r="AY32" i="6"/>
  <c r="AY114" i="6"/>
  <c r="AY115" i="6" s="1"/>
  <c r="AY243" i="6"/>
  <c r="AY245" i="6" s="1"/>
  <c r="AY21" i="18" s="1"/>
  <c r="AY52" i="6"/>
  <c r="AY92" i="6"/>
  <c r="AY2" i="6"/>
  <c r="AZ53" i="20"/>
  <c r="AZ54" i="20" s="1"/>
  <c r="AZ58" i="20" s="1"/>
  <c r="AZ59" i="20"/>
  <c r="AZ236" i="6"/>
  <c r="AZ284" i="6"/>
  <c r="AZ285" i="6" s="1"/>
  <c r="AZ277" i="6"/>
  <c r="AZ244" i="6"/>
  <c r="AZ177" i="6"/>
  <c r="AZ121" i="6"/>
  <c r="AZ228" i="6"/>
  <c r="AZ18" i="6"/>
  <c r="AZ19" i="6" s="1"/>
  <c r="AZ2" i="4" s="1"/>
  <c r="AZ41" i="6"/>
  <c r="AZ47" i="6"/>
  <c r="AZ34" i="6"/>
  <c r="AX141" i="6"/>
  <c r="AX162" i="6"/>
  <c r="AX54" i="6"/>
  <c r="AX61" i="6"/>
  <c r="AX67" i="6"/>
  <c r="AZ3" i="40"/>
  <c r="AZ3" i="37"/>
  <c r="AZ3" i="34"/>
  <c r="AZ3" i="31"/>
  <c r="AZ3" i="28"/>
  <c r="AZ3" i="21"/>
  <c r="AZ3" i="22"/>
  <c r="AZ3" i="20"/>
  <c r="AZ3" i="18"/>
  <c r="AZ3" i="19"/>
  <c r="AZ3" i="17"/>
  <c r="AZ3" i="14"/>
  <c r="AZ3" i="16"/>
  <c r="AZ3" i="13"/>
  <c r="AZ3" i="15"/>
  <c r="AZ3" i="12"/>
  <c r="AZ3" i="10"/>
  <c r="AZ3" i="11"/>
  <c r="AZ3" i="9"/>
  <c r="AZ3" i="7"/>
  <c r="AZ3" i="8"/>
  <c r="AZ79" i="6"/>
  <c r="AZ39" i="6"/>
  <c r="AZ59" i="6"/>
  <c r="AZ3" i="6"/>
  <c r="AZ99" i="6"/>
  <c r="AZ94" i="6"/>
  <c r="AZ101" i="6"/>
  <c r="AZ107" i="6"/>
  <c r="AY197" i="6" l="1"/>
  <c r="AY218" i="6"/>
  <c r="AY61" i="6"/>
  <c r="AY67" i="6"/>
  <c r="AY54" i="6"/>
  <c r="BB4" i="40"/>
  <c r="BB4" i="37"/>
  <c r="BB4" i="34"/>
  <c r="BB4" i="31"/>
  <c r="BB4" i="22"/>
  <c r="BB4" i="28"/>
  <c r="BB10" i="21"/>
  <c r="BB4" i="21"/>
  <c r="BB32" i="20"/>
  <c r="BB74" i="20"/>
  <c r="BB28" i="19"/>
  <c r="BB4" i="19"/>
  <c r="BB4" i="20"/>
  <c r="BB10" i="17"/>
  <c r="BB4" i="18"/>
  <c r="BB4" i="16"/>
  <c r="BB10" i="18"/>
  <c r="BB40" i="15"/>
  <c r="BB10" i="16"/>
  <c r="BB4" i="15"/>
  <c r="BB27" i="15"/>
  <c r="BB4" i="17"/>
  <c r="BB37" i="12"/>
  <c r="BB4" i="13"/>
  <c r="BB60" i="12"/>
  <c r="BB50" i="12"/>
  <c r="BB4" i="14"/>
  <c r="BB17" i="13"/>
  <c r="BB25" i="13"/>
  <c r="BB4" i="12"/>
  <c r="BB23" i="11"/>
  <c r="BB4" i="11"/>
  <c r="BB196" i="6"/>
  <c r="BB306" i="6"/>
  <c r="BB10" i="9"/>
  <c r="BB325" i="6"/>
  <c r="BB326" i="6" s="1"/>
  <c r="BB16" i="10"/>
  <c r="BB4" i="10"/>
  <c r="BB340" i="6"/>
  <c r="BB341" i="6" s="1"/>
  <c r="BB290" i="6"/>
  <c r="BB291" i="6" s="1"/>
  <c r="BB253" i="6"/>
  <c r="BB330" i="6"/>
  <c r="BB331" i="6" s="1"/>
  <c r="BB269" i="6"/>
  <c r="BB4" i="9"/>
  <c r="BB4" i="7"/>
  <c r="BB345" i="6"/>
  <c r="BB346" i="6" s="1"/>
  <c r="BB295" i="6"/>
  <c r="BB296" i="6" s="1"/>
  <c r="BB35" i="9"/>
  <c r="BB182" i="6"/>
  <c r="BB4" i="8"/>
  <c r="BB314" i="6"/>
  <c r="BB126" i="6"/>
  <c r="BB100" i="6"/>
  <c r="BB46" i="6"/>
  <c r="BB106" i="6"/>
  <c r="BB53" i="6"/>
  <c r="BB60" i="6"/>
  <c r="BB73" i="6"/>
  <c r="BB80" i="6"/>
  <c r="BB23" i="6"/>
  <c r="BB24" i="6" s="1"/>
  <c r="BB3" i="4" s="1"/>
  <c r="BB66" i="6"/>
  <c r="BC28" i="6"/>
  <c r="BC4" i="4" s="1"/>
  <c r="BB93" i="6"/>
  <c r="BB86" i="6"/>
  <c r="BB140" i="6"/>
  <c r="BB4" i="6"/>
  <c r="BB33" i="6"/>
  <c r="BB11" i="6"/>
  <c r="BB12" i="6" s="1"/>
  <c r="BB40" i="6"/>
  <c r="AZ26" i="31"/>
  <c r="BA11" i="21"/>
  <c r="BA13" i="21" s="1"/>
  <c r="AZ29" i="9"/>
  <c r="BA3" i="40"/>
  <c r="BA3" i="37"/>
  <c r="BA3" i="34"/>
  <c r="BA3" i="31"/>
  <c r="BA3" i="28"/>
  <c r="BA3" i="21"/>
  <c r="BA3" i="22"/>
  <c r="BA3" i="20"/>
  <c r="BA3" i="19"/>
  <c r="BA3" i="18"/>
  <c r="BA3" i="17"/>
  <c r="BA3" i="16"/>
  <c r="BA3" i="14"/>
  <c r="BA3" i="15"/>
  <c r="BA3" i="12"/>
  <c r="BA3" i="10"/>
  <c r="BA3" i="11"/>
  <c r="BA3" i="13"/>
  <c r="BA3" i="9"/>
  <c r="BA3" i="7"/>
  <c r="BA3" i="8"/>
  <c r="BA39" i="6"/>
  <c r="BA99" i="6"/>
  <c r="BA59" i="6"/>
  <c r="BA3" i="6"/>
  <c r="BA79" i="6"/>
  <c r="BA47" i="6"/>
  <c r="BA41" i="6"/>
  <c r="BA34" i="6"/>
  <c r="AY141" i="6"/>
  <c r="AY162" i="6"/>
  <c r="BA53" i="20"/>
  <c r="BA54" i="20" s="1"/>
  <c r="BA58" i="20" s="1"/>
  <c r="BA59" i="20"/>
  <c r="BA236" i="6"/>
  <c r="BA284" i="6"/>
  <c r="BA285" i="6" s="1"/>
  <c r="BA277" i="6"/>
  <c r="BA244" i="6"/>
  <c r="BA228" i="6"/>
  <c r="BA121" i="6"/>
  <c r="BA177" i="6"/>
  <c r="BA18" i="6"/>
  <c r="BA19" i="6" s="1"/>
  <c r="BA2" i="4" s="1"/>
  <c r="AZ2" i="40"/>
  <c r="AZ2" i="37"/>
  <c r="AZ2" i="34"/>
  <c r="AZ2" i="31"/>
  <c r="AZ2" i="28"/>
  <c r="AZ2" i="22"/>
  <c r="AZ2" i="21"/>
  <c r="AZ60" i="20"/>
  <c r="AZ61" i="20" s="1"/>
  <c r="AZ67" i="20" s="1"/>
  <c r="AZ2" i="20"/>
  <c r="AZ2" i="19"/>
  <c r="AZ2" i="18"/>
  <c r="AZ2" i="17"/>
  <c r="AZ2" i="16"/>
  <c r="AZ2" i="15"/>
  <c r="AZ2" i="14"/>
  <c r="AZ2" i="11"/>
  <c r="AZ2" i="13"/>
  <c r="AZ2" i="12"/>
  <c r="AZ2" i="10"/>
  <c r="AZ2" i="9"/>
  <c r="AZ2" i="7"/>
  <c r="AZ227" i="6"/>
  <c r="AZ229" i="6" s="1"/>
  <c r="AZ21" i="17" s="1"/>
  <c r="AZ203" i="6"/>
  <c r="AZ2" i="8"/>
  <c r="AZ313" i="6"/>
  <c r="AZ315" i="6" s="1"/>
  <c r="AZ307" i="6"/>
  <c r="BA308" i="6" s="1"/>
  <c r="AZ235" i="6"/>
  <c r="AZ237" i="6" s="1"/>
  <c r="AZ20" i="16" s="1"/>
  <c r="AZ276" i="6"/>
  <c r="AZ278" i="6" s="1"/>
  <c r="AZ270" i="6" s="1"/>
  <c r="AZ271" i="6" s="1"/>
  <c r="AZ264" i="6" s="1"/>
  <c r="AZ243" i="6"/>
  <c r="AZ245" i="6" s="1"/>
  <c r="AZ21" i="18" s="1"/>
  <c r="AZ176" i="6"/>
  <c r="AZ178" i="6" s="1"/>
  <c r="AZ183" i="6" s="1"/>
  <c r="AZ184" i="6" s="1"/>
  <c r="AZ188" i="6" s="1"/>
  <c r="AZ170" i="6"/>
  <c r="AZ171" i="6" s="1"/>
  <c r="AZ120" i="6"/>
  <c r="AZ122" i="6" s="1"/>
  <c r="AZ127" i="6" s="1"/>
  <c r="AZ128" i="6" s="1"/>
  <c r="AZ132" i="6" s="1"/>
  <c r="AZ114" i="6"/>
  <c r="AZ115" i="6" s="1"/>
  <c r="AZ92" i="6"/>
  <c r="AZ52" i="6"/>
  <c r="AZ147" i="6"/>
  <c r="AZ32" i="6"/>
  <c r="AZ72" i="6"/>
  <c r="AZ2" i="6"/>
  <c r="BA101" i="6"/>
  <c r="BA107" i="6"/>
  <c r="BA94" i="6"/>
  <c r="BA74" i="6"/>
  <c r="BA81" i="6"/>
  <c r="BA87" i="6"/>
  <c r="BA26" i="31" l="1"/>
  <c r="BB11" i="21"/>
  <c r="BA29" i="9"/>
  <c r="BB53" i="20"/>
  <c r="BB54" i="20" s="1"/>
  <c r="BB58" i="20" s="1"/>
  <c r="BB59" i="20"/>
  <c r="BB236" i="6"/>
  <c r="BB284" i="6"/>
  <c r="BB285" i="6" s="1"/>
  <c r="BB277" i="6"/>
  <c r="BB244" i="6"/>
  <c r="BB228" i="6"/>
  <c r="BB177" i="6"/>
  <c r="BB121" i="6"/>
  <c r="BB18" i="6"/>
  <c r="BB19" i="6" s="1"/>
  <c r="BB2" i="4" s="1"/>
  <c r="BB3" i="40"/>
  <c r="BB3" i="37"/>
  <c r="BB3" i="34"/>
  <c r="BB3" i="31"/>
  <c r="BB3" i="28"/>
  <c r="BB3" i="21"/>
  <c r="BB3" i="22"/>
  <c r="BB3" i="20"/>
  <c r="BB3" i="17"/>
  <c r="BB3" i="19"/>
  <c r="BB3" i="18"/>
  <c r="BB3" i="14"/>
  <c r="BB3" i="16"/>
  <c r="BB3" i="15"/>
  <c r="BB3" i="13"/>
  <c r="BB3" i="12"/>
  <c r="BB3" i="11"/>
  <c r="BB3" i="10"/>
  <c r="BB3" i="9"/>
  <c r="BB3" i="7"/>
  <c r="BB3" i="8"/>
  <c r="BB39" i="6"/>
  <c r="BB99" i="6"/>
  <c r="BB3" i="6"/>
  <c r="BB79" i="6"/>
  <c r="BB59" i="6"/>
  <c r="AZ141" i="6"/>
  <c r="AZ162" i="6"/>
  <c r="BB81" i="6"/>
  <c r="BB87" i="6"/>
  <c r="BB74" i="6"/>
  <c r="AZ197" i="6"/>
  <c r="AZ218" i="6"/>
  <c r="BA2" i="40"/>
  <c r="BA2" i="37"/>
  <c r="BA2" i="34"/>
  <c r="BA2" i="31"/>
  <c r="BA2" i="28"/>
  <c r="BA2" i="22"/>
  <c r="BA2" i="21"/>
  <c r="BA60" i="20"/>
  <c r="BA61" i="20" s="1"/>
  <c r="BA67" i="20" s="1"/>
  <c r="BA2" i="20"/>
  <c r="BA2" i="19"/>
  <c r="BA2" i="18"/>
  <c r="BA2" i="17"/>
  <c r="BA2" i="16"/>
  <c r="BA2" i="15"/>
  <c r="BA2" i="14"/>
  <c r="BA2" i="13"/>
  <c r="BA2" i="11"/>
  <c r="BA2" i="12"/>
  <c r="BA2" i="10"/>
  <c r="BA2" i="8"/>
  <c r="BA313" i="6"/>
  <c r="BA315" i="6" s="1"/>
  <c r="BA307" i="6"/>
  <c r="BB308" i="6" s="1"/>
  <c r="BA235" i="6"/>
  <c r="BA237" i="6" s="1"/>
  <c r="BA20" i="16" s="1"/>
  <c r="BA276" i="6"/>
  <c r="BA278" i="6" s="1"/>
  <c r="BA270" i="6" s="1"/>
  <c r="BA271" i="6" s="1"/>
  <c r="BA264" i="6" s="1"/>
  <c r="BA243" i="6"/>
  <c r="BA245" i="6" s="1"/>
  <c r="BA21" i="18" s="1"/>
  <c r="BA203" i="6"/>
  <c r="BA176" i="6"/>
  <c r="BA178" i="6" s="1"/>
  <c r="BA183" i="6" s="1"/>
  <c r="BA184" i="6" s="1"/>
  <c r="BA188" i="6" s="1"/>
  <c r="BA2" i="7"/>
  <c r="BA170" i="6"/>
  <c r="BA171" i="6" s="1"/>
  <c r="BA120" i="6"/>
  <c r="BA122" i="6" s="1"/>
  <c r="BA127" i="6" s="1"/>
  <c r="BA128" i="6" s="1"/>
  <c r="BA132" i="6" s="1"/>
  <c r="BA32" i="6"/>
  <c r="BA114" i="6"/>
  <c r="BA115" i="6" s="1"/>
  <c r="BA92" i="6"/>
  <c r="BA227" i="6"/>
  <c r="BA229" i="6" s="1"/>
  <c r="BA21" i="17" s="1"/>
  <c r="BA2" i="9"/>
  <c r="BA147" i="6"/>
  <c r="BA52" i="6"/>
  <c r="BA72" i="6"/>
  <c r="BA2" i="6"/>
  <c r="BB13" i="21"/>
  <c r="AZ54" i="6"/>
  <c r="AZ67" i="6"/>
  <c r="AZ61" i="6"/>
  <c r="BB34" i="6"/>
  <c r="BB41" i="6"/>
  <c r="BB47" i="6"/>
  <c r="BC4" i="40"/>
  <c r="BC4" i="37"/>
  <c r="BC4" i="34"/>
  <c r="BC4" i="28"/>
  <c r="BC10" i="21"/>
  <c r="BC74" i="20"/>
  <c r="BC4" i="31"/>
  <c r="BC4" i="21"/>
  <c r="BC4" i="20"/>
  <c r="BC4" i="22"/>
  <c r="BC32" i="20"/>
  <c r="BC28" i="19"/>
  <c r="BC4" i="19"/>
  <c r="BC4" i="18"/>
  <c r="BC10" i="18"/>
  <c r="BC10" i="17"/>
  <c r="BC40" i="15"/>
  <c r="BC10" i="16"/>
  <c r="BC4" i="17"/>
  <c r="BC4" i="15"/>
  <c r="BC27" i="15"/>
  <c r="BC4" i="14"/>
  <c r="BC4" i="13"/>
  <c r="BC60" i="12"/>
  <c r="BC4" i="16"/>
  <c r="BC50" i="12"/>
  <c r="BC17" i="13"/>
  <c r="BC25" i="13"/>
  <c r="BC37" i="12"/>
  <c r="BC4" i="12"/>
  <c r="BC4" i="10"/>
  <c r="BC23" i="11"/>
  <c r="BC4" i="11"/>
  <c r="BC16" i="10"/>
  <c r="BC306" i="6"/>
  <c r="BC10" i="9"/>
  <c r="BC325" i="6"/>
  <c r="BC326" i="6" s="1"/>
  <c r="BC340" i="6"/>
  <c r="BC341" i="6" s="1"/>
  <c r="BC290" i="6"/>
  <c r="BC291" i="6" s="1"/>
  <c r="BC253" i="6"/>
  <c r="BC330" i="6"/>
  <c r="BC331" i="6" s="1"/>
  <c r="BC269" i="6"/>
  <c r="BC4" i="9"/>
  <c r="BC4" i="7"/>
  <c r="BC345" i="6"/>
  <c r="BC346" i="6" s="1"/>
  <c r="BC295" i="6"/>
  <c r="BC296" i="6" s="1"/>
  <c r="BC35" i="9"/>
  <c r="BC4" i="8"/>
  <c r="BC314" i="6"/>
  <c r="BC126" i="6"/>
  <c r="BC106" i="6"/>
  <c r="BC53" i="6"/>
  <c r="BC60" i="6"/>
  <c r="BC66" i="6"/>
  <c r="BC196" i="6"/>
  <c r="BC80" i="6"/>
  <c r="BC140" i="6"/>
  <c r="BC86" i="6"/>
  <c r="BC33" i="6"/>
  <c r="BC46" i="6"/>
  <c r="BD28" i="6"/>
  <c r="BD4" i="4" s="1"/>
  <c r="BC93" i="6"/>
  <c r="BC100" i="6"/>
  <c r="BC4" i="6"/>
  <c r="BC11" i="6"/>
  <c r="BC12" i="6" s="1"/>
  <c r="BC40" i="6"/>
  <c r="BC182" i="6"/>
  <c r="BC73" i="6"/>
  <c r="BC23" i="6"/>
  <c r="BC24" i="6" s="1"/>
  <c r="BC3" i="4" s="1"/>
  <c r="BB107" i="6"/>
  <c r="BB101" i="6"/>
  <c r="BB94" i="6"/>
  <c r="BB26" i="31" l="1"/>
  <c r="BC11" i="21"/>
  <c r="BC13" i="21" s="1"/>
  <c r="BB29" i="9"/>
  <c r="BC74" i="6"/>
  <c r="BC87" i="6"/>
  <c r="BC81" i="6"/>
  <c r="BA162" i="6"/>
  <c r="BA141" i="6"/>
  <c r="BC3" i="40"/>
  <c r="BC3" i="37"/>
  <c r="BC3" i="34"/>
  <c r="BC3" i="28"/>
  <c r="BC3" i="31"/>
  <c r="BC3" i="21"/>
  <c r="BC3" i="22"/>
  <c r="BC3" i="20"/>
  <c r="BC3" i="19"/>
  <c r="BC3" i="18"/>
  <c r="BC3" i="17"/>
  <c r="BC3" i="16"/>
  <c r="BC3" i="15"/>
  <c r="BC3" i="14"/>
  <c r="BC3" i="13"/>
  <c r="BC3" i="11"/>
  <c r="BC3" i="10"/>
  <c r="BC3" i="9"/>
  <c r="BC3" i="7"/>
  <c r="BC3" i="8"/>
  <c r="BC3" i="12"/>
  <c r="BC99" i="6"/>
  <c r="BC59" i="6"/>
  <c r="BC79" i="6"/>
  <c r="BC39" i="6"/>
  <c r="BC3" i="6"/>
  <c r="BD4" i="40"/>
  <c r="BD4" i="37"/>
  <c r="BD4" i="34"/>
  <c r="BD4" i="31"/>
  <c r="BD4" i="28"/>
  <c r="BD74" i="20"/>
  <c r="BD4" i="21"/>
  <c r="BD4" i="22"/>
  <c r="BD10" i="21"/>
  <c r="BD4" i="20"/>
  <c r="BD32" i="20"/>
  <c r="BD28" i="19"/>
  <c r="BD4" i="18"/>
  <c r="BD4" i="19"/>
  <c r="BD4" i="17"/>
  <c r="BD10" i="18"/>
  <c r="BD10" i="17"/>
  <c r="BD40" i="15"/>
  <c r="BD10" i="16"/>
  <c r="BD27" i="15"/>
  <c r="BD4" i="14"/>
  <c r="BD4" i="16"/>
  <c r="BD4" i="13"/>
  <c r="BD60" i="12"/>
  <c r="BD50" i="12"/>
  <c r="BD4" i="15"/>
  <c r="BD17" i="13"/>
  <c r="BD25" i="13"/>
  <c r="BD37" i="12"/>
  <c r="BD4" i="12"/>
  <c r="BD4" i="10"/>
  <c r="BD23" i="11"/>
  <c r="BD4" i="11"/>
  <c r="BD10" i="9"/>
  <c r="BD325" i="6"/>
  <c r="BD326" i="6" s="1"/>
  <c r="BD340" i="6"/>
  <c r="BD341" i="6" s="1"/>
  <c r="BD290" i="6"/>
  <c r="BD291" i="6" s="1"/>
  <c r="BD16" i="10"/>
  <c r="BD253" i="6"/>
  <c r="BD330" i="6"/>
  <c r="BD331" i="6" s="1"/>
  <c r="BD269" i="6"/>
  <c r="BD4" i="9"/>
  <c r="BD4" i="7"/>
  <c r="BD345" i="6"/>
  <c r="BD346" i="6" s="1"/>
  <c r="BD295" i="6"/>
  <c r="BD296" i="6" s="1"/>
  <c r="BD35" i="9"/>
  <c r="BD4" i="8"/>
  <c r="BD314" i="6"/>
  <c r="BD306" i="6"/>
  <c r="BD60" i="6"/>
  <c r="BD66" i="6"/>
  <c r="BD73" i="6"/>
  <c r="BD196" i="6"/>
  <c r="BD140" i="6"/>
  <c r="BD86" i="6"/>
  <c r="BD182" i="6"/>
  <c r="BD93" i="6"/>
  <c r="BD40" i="6"/>
  <c r="BE28" i="6"/>
  <c r="BE4" i="4" s="1"/>
  <c r="BD100" i="6"/>
  <c r="BD4" i="6"/>
  <c r="BD11" i="6"/>
  <c r="BD12" i="6" s="1"/>
  <c r="BD126" i="6"/>
  <c r="BD106" i="6"/>
  <c r="BD33" i="6"/>
  <c r="BD23" i="6"/>
  <c r="BD24" i="6" s="1"/>
  <c r="BD3" i="4" s="1"/>
  <c r="BD80" i="6"/>
  <c r="BD53" i="6"/>
  <c r="BD46" i="6"/>
  <c r="BC107" i="6"/>
  <c r="BC94" i="6"/>
  <c r="BC101" i="6"/>
  <c r="BC53" i="20"/>
  <c r="BC54" i="20" s="1"/>
  <c r="BC58" i="20" s="1"/>
  <c r="BC59" i="20"/>
  <c r="BC284" i="6"/>
  <c r="BC285" i="6" s="1"/>
  <c r="BC277" i="6"/>
  <c r="BC244" i="6"/>
  <c r="BC228" i="6"/>
  <c r="BC177" i="6"/>
  <c r="BC121" i="6"/>
  <c r="BC236" i="6"/>
  <c r="BC18" i="6"/>
  <c r="BC19" i="6" s="1"/>
  <c r="BC2" i="4" s="1"/>
  <c r="BC41" i="6"/>
  <c r="BC34" i="6"/>
  <c r="BC47" i="6"/>
  <c r="BA197" i="6"/>
  <c r="BA218" i="6"/>
  <c r="BA54" i="6"/>
  <c r="BA61" i="6"/>
  <c r="BA67" i="6"/>
  <c r="BB2" i="40"/>
  <c r="BB2" i="37"/>
  <c r="BB2" i="34"/>
  <c r="BB2" i="31"/>
  <c r="BB2" i="28"/>
  <c r="BB2" i="22"/>
  <c r="BB2" i="21"/>
  <c r="BB60" i="20"/>
  <c r="BB61" i="20" s="1"/>
  <c r="BB67" i="20" s="1"/>
  <c r="BB2" i="20"/>
  <c r="BB2" i="19"/>
  <c r="BB2" i="18"/>
  <c r="BB2" i="16"/>
  <c r="BB2" i="17"/>
  <c r="BB2" i="15"/>
  <c r="BB2" i="13"/>
  <c r="BB2" i="14"/>
  <c r="BB2" i="12"/>
  <c r="BB313" i="6"/>
  <c r="BB315" i="6" s="1"/>
  <c r="BB307" i="6"/>
  <c r="BC308" i="6" s="1"/>
  <c r="BB235" i="6"/>
  <c r="BB237" i="6" s="1"/>
  <c r="BB20" i="16" s="1"/>
  <c r="BB276" i="6"/>
  <c r="BB278" i="6" s="1"/>
  <c r="BB270" i="6" s="1"/>
  <c r="BB271" i="6" s="1"/>
  <c r="BB264" i="6" s="1"/>
  <c r="BB243" i="6"/>
  <c r="BB245" i="6" s="1"/>
  <c r="BB21" i="18" s="1"/>
  <c r="BB2" i="9"/>
  <c r="BB2" i="7"/>
  <c r="BB227" i="6"/>
  <c r="BB229" i="6" s="1"/>
  <c r="BB21" i="17" s="1"/>
  <c r="BB2" i="11"/>
  <c r="BB2" i="8"/>
  <c r="BB170" i="6"/>
  <c r="BB171" i="6" s="1"/>
  <c r="BB120" i="6"/>
  <c r="BB122" i="6" s="1"/>
  <c r="BB127" i="6" s="1"/>
  <c r="BB128" i="6" s="1"/>
  <c r="BB132" i="6" s="1"/>
  <c r="BB114" i="6"/>
  <c r="BB115" i="6" s="1"/>
  <c r="BB92" i="6"/>
  <c r="BB2" i="10"/>
  <c r="BB52" i="6"/>
  <c r="BB147" i="6"/>
  <c r="BB72" i="6"/>
  <c r="BB203" i="6"/>
  <c r="BB32" i="6"/>
  <c r="BB2" i="6"/>
  <c r="BB176" i="6"/>
  <c r="BB178" i="6" s="1"/>
  <c r="BB183" i="6" s="1"/>
  <c r="BB184" i="6" s="1"/>
  <c r="BB188" i="6" s="1"/>
  <c r="BC26" i="31" l="1"/>
  <c r="BD11" i="21"/>
  <c r="BD13" i="21" s="1"/>
  <c r="BC29" i="9"/>
  <c r="BD41" i="6"/>
  <c r="BD47" i="6"/>
  <c r="BD34" i="6"/>
  <c r="BC2" i="40"/>
  <c r="BC2" i="37"/>
  <c r="BC2" i="34"/>
  <c r="BC2" i="31"/>
  <c r="BC2" i="28"/>
  <c r="BC2" i="21"/>
  <c r="BC60" i="20"/>
  <c r="BC61" i="20" s="1"/>
  <c r="BC67" i="20" s="1"/>
  <c r="BC2" i="22"/>
  <c r="BC2" i="20"/>
  <c r="BC2" i="19"/>
  <c r="BC2" i="18"/>
  <c r="BC2" i="17"/>
  <c r="BC2" i="15"/>
  <c r="BC2" i="16"/>
  <c r="BC2" i="13"/>
  <c r="BC2" i="14"/>
  <c r="BC2" i="12"/>
  <c r="BC2" i="10"/>
  <c r="BC2" i="11"/>
  <c r="BC235" i="6"/>
  <c r="BC237" i="6" s="1"/>
  <c r="BC20" i="16" s="1"/>
  <c r="BC276" i="6"/>
  <c r="BC278" i="6" s="1"/>
  <c r="BC270" i="6" s="1"/>
  <c r="BC271" i="6" s="1"/>
  <c r="BC264" i="6" s="1"/>
  <c r="BC243" i="6"/>
  <c r="BC245" i="6" s="1"/>
  <c r="BC21" i="18" s="1"/>
  <c r="BC2" i="9"/>
  <c r="BC2" i="7"/>
  <c r="BC227" i="6"/>
  <c r="BC229" i="6" s="1"/>
  <c r="BC21" i="17" s="1"/>
  <c r="BC2" i="8"/>
  <c r="BC114" i="6"/>
  <c r="BC115" i="6" s="1"/>
  <c r="BC52" i="6"/>
  <c r="BC307" i="6"/>
  <c r="BC147" i="6"/>
  <c r="BC313" i="6"/>
  <c r="BC315" i="6" s="1"/>
  <c r="BC72" i="6"/>
  <c r="BC203" i="6"/>
  <c r="BC176" i="6"/>
  <c r="BC178" i="6" s="1"/>
  <c r="BC183" i="6" s="1"/>
  <c r="BC184" i="6" s="1"/>
  <c r="BC188" i="6" s="1"/>
  <c r="BC32" i="6"/>
  <c r="BC2" i="6"/>
  <c r="BC120" i="6"/>
  <c r="BC122" i="6" s="1"/>
  <c r="BC127" i="6" s="1"/>
  <c r="BC128" i="6" s="1"/>
  <c r="BC132" i="6" s="1"/>
  <c r="BC92" i="6"/>
  <c r="BC170" i="6"/>
  <c r="BC171" i="6" s="1"/>
  <c r="BD94" i="6"/>
  <c r="BD101" i="6"/>
  <c r="BD107" i="6"/>
  <c r="BD3" i="37"/>
  <c r="BD3" i="40"/>
  <c r="BD3" i="34"/>
  <c r="BD3" i="31"/>
  <c r="BD3" i="28"/>
  <c r="BD3" i="22"/>
  <c r="BD3" i="21"/>
  <c r="BD3" i="20"/>
  <c r="BD3" i="19"/>
  <c r="BD3" i="18"/>
  <c r="BD3" i="17"/>
  <c r="BD3" i="16"/>
  <c r="BD3" i="15"/>
  <c r="BD3" i="14"/>
  <c r="BD3" i="11"/>
  <c r="BD3" i="13"/>
  <c r="BD3" i="12"/>
  <c r="BD3" i="10"/>
  <c r="BD3" i="9"/>
  <c r="BD3" i="7"/>
  <c r="BD3" i="8"/>
  <c r="BD59" i="6"/>
  <c r="BD79" i="6"/>
  <c r="BD39" i="6"/>
  <c r="BD99" i="6"/>
  <c r="BD3" i="6"/>
  <c r="BE4" i="40"/>
  <c r="BE4" i="37"/>
  <c r="BE4" i="34"/>
  <c r="BE4" i="31"/>
  <c r="BE4" i="28"/>
  <c r="BE4" i="21"/>
  <c r="BE4" i="22"/>
  <c r="BE10" i="21"/>
  <c r="BE4" i="20"/>
  <c r="BE74" i="20"/>
  <c r="BE28" i="19"/>
  <c r="BE4" i="19"/>
  <c r="BE32" i="20"/>
  <c r="BE4" i="18"/>
  <c r="BE10" i="18"/>
  <c r="BE10" i="17"/>
  <c r="BE10" i="16"/>
  <c r="BE4" i="17"/>
  <c r="BE4" i="16"/>
  <c r="BE4" i="14"/>
  <c r="BE4" i="15"/>
  <c r="BE40" i="15"/>
  <c r="BE50" i="12"/>
  <c r="BE17" i="13"/>
  <c r="BE25" i="13"/>
  <c r="BE37" i="12"/>
  <c r="BE27" i="15"/>
  <c r="BE4" i="12"/>
  <c r="BE4" i="10"/>
  <c r="BE23" i="11"/>
  <c r="BE60" i="12"/>
  <c r="BE4" i="11"/>
  <c r="BE4" i="13"/>
  <c r="BE340" i="6"/>
  <c r="BE341" i="6" s="1"/>
  <c r="BE290" i="6"/>
  <c r="BE291" i="6" s="1"/>
  <c r="BE16" i="10"/>
  <c r="BE253" i="6"/>
  <c r="BE330" i="6"/>
  <c r="BE331" i="6" s="1"/>
  <c r="BE269" i="6"/>
  <c r="BE4" i="9"/>
  <c r="BE4" i="7"/>
  <c r="BE345" i="6"/>
  <c r="BE346" i="6" s="1"/>
  <c r="BE295" i="6"/>
  <c r="BE296" i="6" s="1"/>
  <c r="BE35" i="9"/>
  <c r="BE4" i="8"/>
  <c r="BE314" i="6"/>
  <c r="BE306" i="6"/>
  <c r="BE66" i="6"/>
  <c r="BE73" i="6"/>
  <c r="BE196" i="6"/>
  <c r="BE80" i="6"/>
  <c r="BE140" i="6"/>
  <c r="BE182" i="6"/>
  <c r="BE93" i="6"/>
  <c r="BE10" i="9"/>
  <c r="BE126" i="6"/>
  <c r="BE100" i="6"/>
  <c r="BE46" i="6"/>
  <c r="BE325" i="6"/>
  <c r="BE326" i="6" s="1"/>
  <c r="BE86" i="6"/>
  <c r="BE4" i="6"/>
  <c r="BE11" i="6"/>
  <c r="BE12" i="6" s="1"/>
  <c r="BE106" i="6"/>
  <c r="BE33" i="6"/>
  <c r="BE40" i="6"/>
  <c r="BE23" i="6"/>
  <c r="BE24" i="6" s="1"/>
  <c r="BE3" i="4" s="1"/>
  <c r="BE53" i="6"/>
  <c r="BE60" i="6"/>
  <c r="BF28" i="6"/>
  <c r="BF4" i="4" s="1"/>
  <c r="BB218" i="6"/>
  <c r="BB197" i="6"/>
  <c r="BD308" i="6"/>
  <c r="BD74" i="6"/>
  <c r="BD81" i="6"/>
  <c r="BD87" i="6"/>
  <c r="BB54" i="6"/>
  <c r="BB61" i="6"/>
  <c r="BB67" i="6"/>
  <c r="BB162" i="6"/>
  <c r="BB141" i="6"/>
  <c r="BD53" i="20"/>
  <c r="BD54" i="20" s="1"/>
  <c r="BD58" i="20" s="1"/>
  <c r="BD59" i="20"/>
  <c r="BD277" i="6"/>
  <c r="BD244" i="6"/>
  <c r="BD228" i="6"/>
  <c r="BD236" i="6"/>
  <c r="BD284" i="6"/>
  <c r="BD285" i="6" s="1"/>
  <c r="BD177" i="6"/>
  <c r="BD121" i="6"/>
  <c r="BD18" i="6"/>
  <c r="BD19" i="6" s="1"/>
  <c r="BD2" i="4" s="1"/>
  <c r="BD26" i="31" l="1"/>
  <c r="BE11" i="21"/>
  <c r="BD29" i="9"/>
  <c r="BE101" i="6"/>
  <c r="BE107" i="6"/>
  <c r="BE94" i="6"/>
  <c r="BE13" i="21"/>
  <c r="BC218" i="6"/>
  <c r="BC197" i="6"/>
  <c r="BC61" i="6"/>
  <c r="BC67" i="6"/>
  <c r="BC54" i="6"/>
  <c r="BE34" i="6"/>
  <c r="BE47" i="6"/>
  <c r="BE41" i="6"/>
  <c r="BE3" i="40"/>
  <c r="BE3" i="37"/>
  <c r="BE3" i="34"/>
  <c r="BE3" i="31"/>
  <c r="BE3" i="28"/>
  <c r="BE3" i="22"/>
  <c r="BE3" i="21"/>
  <c r="BE3" i="20"/>
  <c r="BE3" i="19"/>
  <c r="BE3" i="18"/>
  <c r="BE3" i="17"/>
  <c r="BE3" i="16"/>
  <c r="BE3" i="15"/>
  <c r="BE3" i="14"/>
  <c r="BE3" i="13"/>
  <c r="BE3" i="11"/>
  <c r="BE3" i="12"/>
  <c r="BE3" i="10"/>
  <c r="BE3" i="8"/>
  <c r="BE3" i="7"/>
  <c r="BE59" i="6"/>
  <c r="BE3" i="9"/>
  <c r="BE39" i="6"/>
  <c r="BE79" i="6"/>
  <c r="BE99" i="6"/>
  <c r="BE3" i="6"/>
  <c r="BF4" i="40"/>
  <c r="BF4" i="37"/>
  <c r="BF4" i="34"/>
  <c r="BF4" i="31"/>
  <c r="BF4" i="28"/>
  <c r="BF4" i="21"/>
  <c r="BF10" i="21"/>
  <c r="BF74" i="20"/>
  <c r="BF32" i="20"/>
  <c r="BF4" i="22"/>
  <c r="BF4" i="20"/>
  <c r="BF28" i="19"/>
  <c r="BF4" i="17"/>
  <c r="BF4" i="19"/>
  <c r="BF10" i="18"/>
  <c r="BF4" i="18"/>
  <c r="BF10" i="16"/>
  <c r="BF10" i="17"/>
  <c r="BF4" i="14"/>
  <c r="BF4" i="16"/>
  <c r="BF4" i="15"/>
  <c r="BF40" i="15"/>
  <c r="BF27" i="15"/>
  <c r="BF17" i="13"/>
  <c r="BF25" i="13"/>
  <c r="BF4" i="13"/>
  <c r="BF60" i="12"/>
  <c r="BF4" i="12"/>
  <c r="BF37" i="12"/>
  <c r="BF23" i="11"/>
  <c r="BF4" i="11"/>
  <c r="BF16" i="10"/>
  <c r="BF50" i="12"/>
  <c r="BF253" i="6"/>
  <c r="BF330" i="6"/>
  <c r="BF331" i="6" s="1"/>
  <c r="BF269" i="6"/>
  <c r="BF4" i="10"/>
  <c r="BF4" i="9"/>
  <c r="BF4" i="7"/>
  <c r="BF345" i="6"/>
  <c r="BF346" i="6" s="1"/>
  <c r="BF295" i="6"/>
  <c r="BF296" i="6" s="1"/>
  <c r="BF35" i="9"/>
  <c r="BF4" i="8"/>
  <c r="BF314" i="6"/>
  <c r="BF306" i="6"/>
  <c r="BF10" i="9"/>
  <c r="BF325" i="6"/>
  <c r="BF326" i="6" s="1"/>
  <c r="BF73" i="6"/>
  <c r="BF340" i="6"/>
  <c r="BF341" i="6" s="1"/>
  <c r="BF196" i="6"/>
  <c r="BF80" i="6"/>
  <c r="BF140" i="6"/>
  <c r="BF86" i="6"/>
  <c r="BF33" i="6"/>
  <c r="BF182" i="6"/>
  <c r="BF126" i="6"/>
  <c r="BF100" i="6"/>
  <c r="BF46" i="6"/>
  <c r="BF106" i="6"/>
  <c r="BF53" i="6"/>
  <c r="BF290" i="6"/>
  <c r="BF291" i="6" s="1"/>
  <c r="BF93" i="6"/>
  <c r="BF66" i="6"/>
  <c r="BF4" i="6"/>
  <c r="BF11" i="6"/>
  <c r="BF12" i="6" s="1"/>
  <c r="BF40" i="6"/>
  <c r="BF23" i="6"/>
  <c r="BF24" i="6" s="1"/>
  <c r="BF3" i="4" s="1"/>
  <c r="BF60" i="6"/>
  <c r="BG28" i="6"/>
  <c r="BG4" i="4" s="1"/>
  <c r="BE59" i="20"/>
  <c r="BE53" i="20"/>
  <c r="BE54" i="20" s="1"/>
  <c r="BE58" i="20" s="1"/>
  <c r="BE244" i="6"/>
  <c r="BE228" i="6"/>
  <c r="BE236" i="6"/>
  <c r="BE284" i="6"/>
  <c r="BE285" i="6" s="1"/>
  <c r="BE277" i="6"/>
  <c r="BE177" i="6"/>
  <c r="BE121" i="6"/>
  <c r="BE18" i="6"/>
  <c r="BE19" i="6" s="1"/>
  <c r="BE2" i="4" s="1"/>
  <c r="BE74" i="6"/>
  <c r="BE81" i="6"/>
  <c r="BE87" i="6"/>
  <c r="BC162" i="6"/>
  <c r="BC141" i="6"/>
  <c r="BD2" i="40"/>
  <c r="BD2" i="37"/>
  <c r="BD2" i="34"/>
  <c r="BD2" i="31"/>
  <c r="BD2" i="28"/>
  <c r="BD2" i="21"/>
  <c r="BD2" i="22"/>
  <c r="BD60" i="20"/>
  <c r="BD61" i="20" s="1"/>
  <c r="BD67" i="20" s="1"/>
  <c r="BD2" i="20"/>
  <c r="BD2" i="18"/>
  <c r="BD2" i="19"/>
  <c r="BD2" i="17"/>
  <c r="BD2" i="16"/>
  <c r="BD2" i="14"/>
  <c r="BD2" i="13"/>
  <c r="BD2" i="15"/>
  <c r="BD2" i="12"/>
  <c r="BD2" i="10"/>
  <c r="BD2" i="11"/>
  <c r="BD276" i="6"/>
  <c r="BD278" i="6" s="1"/>
  <c r="BD270" i="6" s="1"/>
  <c r="BD271" i="6" s="1"/>
  <c r="BD264" i="6" s="1"/>
  <c r="BD243" i="6"/>
  <c r="BD245" i="6" s="1"/>
  <c r="BD21" i="18" s="1"/>
  <c r="BD2" i="9"/>
  <c r="BD2" i="7"/>
  <c r="BD2" i="8"/>
  <c r="BD313" i="6"/>
  <c r="BD315" i="6" s="1"/>
  <c r="BD307" i="6"/>
  <c r="BE308" i="6" s="1"/>
  <c r="BD52" i="6"/>
  <c r="BD227" i="6"/>
  <c r="BD229" i="6" s="1"/>
  <c r="BD21" i="17" s="1"/>
  <c r="BD235" i="6"/>
  <c r="BD237" i="6" s="1"/>
  <c r="BD20" i="16" s="1"/>
  <c r="BD147" i="6"/>
  <c r="BD203" i="6"/>
  <c r="BD176" i="6"/>
  <c r="BD178" i="6" s="1"/>
  <c r="BD183" i="6" s="1"/>
  <c r="BD184" i="6" s="1"/>
  <c r="BD188" i="6" s="1"/>
  <c r="BD170" i="6"/>
  <c r="BD171" i="6" s="1"/>
  <c r="BD120" i="6"/>
  <c r="BD122" i="6" s="1"/>
  <c r="BD127" i="6" s="1"/>
  <c r="BD128" i="6" s="1"/>
  <c r="BD132" i="6" s="1"/>
  <c r="BD32" i="6"/>
  <c r="BD2" i="6"/>
  <c r="BD114" i="6"/>
  <c r="BD115" i="6" s="1"/>
  <c r="BD72" i="6"/>
  <c r="BD92" i="6"/>
  <c r="BD218" i="6" l="1"/>
  <c r="BD197" i="6"/>
  <c r="BD67" i="6"/>
  <c r="BD61" i="6"/>
  <c r="BD54" i="6"/>
  <c r="BF3" i="40"/>
  <c r="BF3" i="37"/>
  <c r="BF3" i="34"/>
  <c r="BF3" i="31"/>
  <c r="BF3" i="28"/>
  <c r="BF3" i="22"/>
  <c r="BF3" i="21"/>
  <c r="BF3" i="20"/>
  <c r="BF3" i="19"/>
  <c r="BF3" i="18"/>
  <c r="BF3" i="16"/>
  <c r="BF3" i="17"/>
  <c r="BF3" i="15"/>
  <c r="BF3" i="14"/>
  <c r="BF3" i="13"/>
  <c r="BF3" i="12"/>
  <c r="BF3" i="9"/>
  <c r="BF3" i="7"/>
  <c r="BF3" i="8"/>
  <c r="BF79" i="6"/>
  <c r="BF99" i="6"/>
  <c r="BF3" i="11"/>
  <c r="BF3" i="10"/>
  <c r="BF59" i="6"/>
  <c r="BF3" i="6"/>
  <c r="BF39" i="6"/>
  <c r="BF81" i="6"/>
  <c r="BF87" i="6"/>
  <c r="BF74" i="6"/>
  <c r="BG4" i="40"/>
  <c r="BG4" i="37"/>
  <c r="BG4" i="34"/>
  <c r="BG4" i="28"/>
  <c r="BG4" i="31"/>
  <c r="BG4" i="21"/>
  <c r="BG4" i="22"/>
  <c r="BG4" i="20"/>
  <c r="BG10" i="21"/>
  <c r="BG74" i="20"/>
  <c r="BG32" i="20"/>
  <c r="BG4" i="19"/>
  <c r="BG28" i="19"/>
  <c r="BG10" i="18"/>
  <c r="BG4" i="18"/>
  <c r="BG4" i="17"/>
  <c r="BG4" i="16"/>
  <c r="BG10" i="17"/>
  <c r="BG40" i="15"/>
  <c r="BG4" i="15"/>
  <c r="BG27" i="15"/>
  <c r="BG10" i="16"/>
  <c r="BG17" i="13"/>
  <c r="BG25" i="13"/>
  <c r="BG37" i="12"/>
  <c r="BG4" i="14"/>
  <c r="BG4" i="13"/>
  <c r="BG60" i="12"/>
  <c r="BG50" i="12"/>
  <c r="BG23" i="11"/>
  <c r="BG4" i="11"/>
  <c r="BG16" i="10"/>
  <c r="BG330" i="6"/>
  <c r="BG331" i="6" s="1"/>
  <c r="BG269" i="6"/>
  <c r="BG4" i="10"/>
  <c r="BG4" i="9"/>
  <c r="BG4" i="7"/>
  <c r="BG345" i="6"/>
  <c r="BG346" i="6" s="1"/>
  <c r="BG295" i="6"/>
  <c r="BG296" i="6" s="1"/>
  <c r="BG35" i="9"/>
  <c r="BG4" i="8"/>
  <c r="BG314" i="6"/>
  <c r="BG196" i="6"/>
  <c r="BG306" i="6"/>
  <c r="BG10" i="9"/>
  <c r="BG325" i="6"/>
  <c r="BG326" i="6" s="1"/>
  <c r="BG4" i="12"/>
  <c r="BG340" i="6"/>
  <c r="BG341" i="6" s="1"/>
  <c r="BG290" i="6"/>
  <c r="BG291" i="6" s="1"/>
  <c r="BG80" i="6"/>
  <c r="BG140" i="6"/>
  <c r="BG86" i="6"/>
  <c r="BG33" i="6"/>
  <c r="BG182" i="6"/>
  <c r="BG93" i="6"/>
  <c r="BG40" i="6"/>
  <c r="BH28" i="6"/>
  <c r="BH4" i="4" s="1"/>
  <c r="BG253" i="6"/>
  <c r="BG126" i="6"/>
  <c r="BG106" i="6"/>
  <c r="BG53" i="6"/>
  <c r="BG60" i="6"/>
  <c r="BG100" i="6"/>
  <c r="BG11" i="6"/>
  <c r="BG12" i="6" s="1"/>
  <c r="BG23" i="6"/>
  <c r="BG24" i="6" s="1"/>
  <c r="BG3" i="4" s="1"/>
  <c r="BG73" i="6"/>
  <c r="BG46" i="6"/>
  <c r="BG66" i="6"/>
  <c r="BG4" i="6"/>
  <c r="BF59" i="20"/>
  <c r="BF53" i="20"/>
  <c r="BF54" i="20" s="1"/>
  <c r="BF58" i="20" s="1"/>
  <c r="BF228" i="6"/>
  <c r="BF236" i="6"/>
  <c r="BF284" i="6"/>
  <c r="BF285" i="6" s="1"/>
  <c r="BF277" i="6"/>
  <c r="BF244" i="6"/>
  <c r="BF177" i="6"/>
  <c r="BF121" i="6"/>
  <c r="BF18" i="6"/>
  <c r="BF19" i="6" s="1"/>
  <c r="BF2" i="4" s="1"/>
  <c r="BF34" i="6"/>
  <c r="BF41" i="6"/>
  <c r="BF47" i="6"/>
  <c r="BE26" i="31"/>
  <c r="BF11" i="21"/>
  <c r="BF13" i="21" s="1"/>
  <c r="BE29" i="9"/>
  <c r="BE2" i="40"/>
  <c r="BE2" i="37"/>
  <c r="BE2" i="34"/>
  <c r="BE2" i="31"/>
  <c r="BE2" i="28"/>
  <c r="BE2" i="21"/>
  <c r="BE2" i="22"/>
  <c r="BE60" i="20"/>
  <c r="BE61" i="20" s="1"/>
  <c r="BE67" i="20" s="1"/>
  <c r="BE2" i="20"/>
  <c r="BE2" i="19"/>
  <c r="BE2" i="18"/>
  <c r="BE2" i="17"/>
  <c r="BE2" i="16"/>
  <c r="BE2" i="14"/>
  <c r="BE2" i="15"/>
  <c r="BE2" i="12"/>
  <c r="BE2" i="10"/>
  <c r="BE2" i="13"/>
  <c r="BE2" i="11"/>
  <c r="BE276" i="6"/>
  <c r="BE278" i="6" s="1"/>
  <c r="BE270" i="6" s="1"/>
  <c r="BE271" i="6" s="1"/>
  <c r="BE264" i="6" s="1"/>
  <c r="BE243" i="6"/>
  <c r="BE245" i="6" s="1"/>
  <c r="BE21" i="18" s="1"/>
  <c r="BE2" i="9"/>
  <c r="BE2" i="7"/>
  <c r="BE227" i="6"/>
  <c r="BE229" i="6" s="1"/>
  <c r="BE21" i="17" s="1"/>
  <c r="BE203" i="6"/>
  <c r="BE2" i="8"/>
  <c r="BE313" i="6"/>
  <c r="BE315" i="6" s="1"/>
  <c r="BE307" i="6"/>
  <c r="BF308" i="6" s="1"/>
  <c r="BE235" i="6"/>
  <c r="BE237" i="6" s="1"/>
  <c r="BE20" i="16" s="1"/>
  <c r="BE147" i="6"/>
  <c r="BE72" i="6"/>
  <c r="BE176" i="6"/>
  <c r="BE178" i="6" s="1"/>
  <c r="BE183" i="6" s="1"/>
  <c r="BE184" i="6" s="1"/>
  <c r="BE188" i="6" s="1"/>
  <c r="BE170" i="6"/>
  <c r="BE171" i="6" s="1"/>
  <c r="BE120" i="6"/>
  <c r="BE122" i="6" s="1"/>
  <c r="BE127" i="6" s="1"/>
  <c r="BE128" i="6" s="1"/>
  <c r="BE132" i="6" s="1"/>
  <c r="BE114" i="6"/>
  <c r="BE115" i="6" s="1"/>
  <c r="BE92" i="6"/>
  <c r="BE32" i="6"/>
  <c r="BE2" i="6"/>
  <c r="BE52" i="6"/>
  <c r="BD141" i="6"/>
  <c r="BD162" i="6"/>
  <c r="BF94" i="6"/>
  <c r="BF107" i="6"/>
  <c r="BF101" i="6"/>
  <c r="BF26" i="31" l="1"/>
  <c r="BG11" i="21"/>
  <c r="BF29" i="9"/>
  <c r="BG13" i="21"/>
  <c r="BE197" i="6"/>
  <c r="BE218" i="6"/>
  <c r="BG3" i="40"/>
  <c r="BG3" i="37"/>
  <c r="BG3" i="34"/>
  <c r="BG3" i="31"/>
  <c r="BG3" i="28"/>
  <c r="BG3" i="21"/>
  <c r="BG3" i="22"/>
  <c r="BG3" i="20"/>
  <c r="BG3" i="19"/>
  <c r="BG3" i="18"/>
  <c r="BG3" i="17"/>
  <c r="BG3" i="15"/>
  <c r="BG3" i="16"/>
  <c r="BG3" i="14"/>
  <c r="BG3" i="13"/>
  <c r="BG3" i="12"/>
  <c r="BG3" i="10"/>
  <c r="BG3" i="11"/>
  <c r="BG3" i="9"/>
  <c r="BG3" i="7"/>
  <c r="BG3" i="8"/>
  <c r="BG79" i="6"/>
  <c r="BG99" i="6"/>
  <c r="BG59" i="6"/>
  <c r="BG3" i="6"/>
  <c r="BG39" i="6"/>
  <c r="BH4" i="40"/>
  <c r="BH4" i="37"/>
  <c r="BH4" i="34"/>
  <c r="BH4" i="31"/>
  <c r="BH4" i="28"/>
  <c r="BH4" i="22"/>
  <c r="BH10" i="21"/>
  <c r="BH4" i="21"/>
  <c r="BH74" i="20"/>
  <c r="BH32" i="20"/>
  <c r="BH4" i="20"/>
  <c r="BH4" i="19"/>
  <c r="BH28" i="19"/>
  <c r="BH10" i="18"/>
  <c r="BH10" i="17"/>
  <c r="BH4" i="18"/>
  <c r="BH4" i="17"/>
  <c r="BH4" i="16"/>
  <c r="BH4" i="15"/>
  <c r="BH27" i="15"/>
  <c r="BH40" i="15"/>
  <c r="BH10" i="16"/>
  <c r="BH17" i="13"/>
  <c r="BH25" i="13"/>
  <c r="BH37" i="12"/>
  <c r="BH4" i="14"/>
  <c r="BH50" i="12"/>
  <c r="BH23" i="11"/>
  <c r="BH4" i="11"/>
  <c r="BH16" i="10"/>
  <c r="BH60" i="12"/>
  <c r="BH4" i="13"/>
  <c r="BH4" i="12"/>
  <c r="BH4" i="10"/>
  <c r="BH4" i="9"/>
  <c r="BH4" i="7"/>
  <c r="BH345" i="6"/>
  <c r="BH346" i="6" s="1"/>
  <c r="BH295" i="6"/>
  <c r="BH296" i="6" s="1"/>
  <c r="BH35" i="9"/>
  <c r="BH4" i="8"/>
  <c r="BH314" i="6"/>
  <c r="BH196" i="6"/>
  <c r="BH306" i="6"/>
  <c r="BH10" i="9"/>
  <c r="BH325" i="6"/>
  <c r="BH326" i="6" s="1"/>
  <c r="BH340" i="6"/>
  <c r="BH341" i="6" s="1"/>
  <c r="BH290" i="6"/>
  <c r="BH291" i="6" s="1"/>
  <c r="BH253" i="6"/>
  <c r="BH269" i="6"/>
  <c r="BH140" i="6"/>
  <c r="BH86" i="6"/>
  <c r="BH33" i="6"/>
  <c r="BH330" i="6"/>
  <c r="BH331" i="6" s="1"/>
  <c r="BH182" i="6"/>
  <c r="BH93" i="6"/>
  <c r="BH40" i="6"/>
  <c r="BH126" i="6"/>
  <c r="BH100" i="6"/>
  <c r="BH46" i="6"/>
  <c r="BH60" i="6"/>
  <c r="BH66" i="6"/>
  <c r="BH106" i="6"/>
  <c r="BH23" i="6"/>
  <c r="BH24" i="6" s="1"/>
  <c r="BH3" i="4" s="1"/>
  <c r="BH73" i="6"/>
  <c r="BH53" i="6"/>
  <c r="BI28" i="6"/>
  <c r="BI4" i="4" s="1"/>
  <c r="BH80" i="6"/>
  <c r="BH4" i="6"/>
  <c r="BH11" i="6"/>
  <c r="BH12" i="6" s="1"/>
  <c r="BG87" i="6"/>
  <c r="BG74" i="6"/>
  <c r="BG81" i="6"/>
  <c r="BG53" i="20"/>
  <c r="BG54" i="20" s="1"/>
  <c r="BG58" i="20" s="1"/>
  <c r="BG59" i="20"/>
  <c r="BG228" i="6"/>
  <c r="BG236" i="6"/>
  <c r="BG284" i="6"/>
  <c r="BG285" i="6" s="1"/>
  <c r="BG277" i="6"/>
  <c r="BG244" i="6"/>
  <c r="BG177" i="6"/>
  <c r="BG121" i="6"/>
  <c r="BG18" i="6"/>
  <c r="BG19" i="6" s="1"/>
  <c r="BG2" i="4" s="1"/>
  <c r="BG34" i="6"/>
  <c r="BG41" i="6"/>
  <c r="BG47" i="6"/>
  <c r="BG94" i="6"/>
  <c r="BG101" i="6"/>
  <c r="BG107" i="6"/>
  <c r="BF2" i="40"/>
  <c r="BF2" i="37"/>
  <c r="BF2" i="34"/>
  <c r="BF2" i="31"/>
  <c r="BF2" i="28"/>
  <c r="BF2" i="21"/>
  <c r="BF2" i="22"/>
  <c r="BF60" i="20"/>
  <c r="BF61" i="20" s="1"/>
  <c r="BF67" i="20" s="1"/>
  <c r="BF2" i="20"/>
  <c r="BF2" i="17"/>
  <c r="BF2" i="19"/>
  <c r="BF2" i="14"/>
  <c r="BF2" i="16"/>
  <c r="BF2" i="15"/>
  <c r="BF2" i="18"/>
  <c r="BF2" i="13"/>
  <c r="BF2" i="12"/>
  <c r="BF2" i="11"/>
  <c r="BF243" i="6"/>
  <c r="BF245" i="6" s="1"/>
  <c r="BF21" i="18" s="1"/>
  <c r="BF2" i="9"/>
  <c r="BF2" i="7"/>
  <c r="BF227" i="6"/>
  <c r="BF229" i="6" s="1"/>
  <c r="BF21" i="17" s="1"/>
  <c r="BF203" i="6"/>
  <c r="BF2" i="8"/>
  <c r="BF313" i="6"/>
  <c r="BF315" i="6" s="1"/>
  <c r="BF307" i="6"/>
  <c r="BF235" i="6"/>
  <c r="BF237" i="6" s="1"/>
  <c r="BF20" i="16" s="1"/>
  <c r="BF2" i="10"/>
  <c r="BF147" i="6"/>
  <c r="BF72" i="6"/>
  <c r="BF176" i="6"/>
  <c r="BF178" i="6" s="1"/>
  <c r="BF183" i="6" s="1"/>
  <c r="BF184" i="6" s="1"/>
  <c r="BF188" i="6" s="1"/>
  <c r="BF170" i="6"/>
  <c r="BF171" i="6" s="1"/>
  <c r="BF120" i="6"/>
  <c r="BF122" i="6" s="1"/>
  <c r="BF127" i="6" s="1"/>
  <c r="BF128" i="6" s="1"/>
  <c r="BF132" i="6" s="1"/>
  <c r="BF114" i="6"/>
  <c r="BF115" i="6" s="1"/>
  <c r="BF92" i="6"/>
  <c r="BF276" i="6"/>
  <c r="BF278" i="6" s="1"/>
  <c r="BF270" i="6" s="1"/>
  <c r="BF271" i="6" s="1"/>
  <c r="BF264" i="6" s="1"/>
  <c r="BF2" i="6"/>
  <c r="BF52" i="6"/>
  <c r="BF32" i="6"/>
  <c r="BE141" i="6"/>
  <c r="BE162" i="6"/>
  <c r="BE54" i="6"/>
  <c r="BE61" i="6"/>
  <c r="BE67" i="6"/>
  <c r="BG308" i="6"/>
  <c r="BH3" i="40" l="1"/>
  <c r="BH3" i="37"/>
  <c r="BH3" i="34"/>
  <c r="BH3" i="31"/>
  <c r="BH3" i="28"/>
  <c r="BH3" i="21"/>
  <c r="BH3" i="22"/>
  <c r="BH3" i="20"/>
  <c r="BH3" i="19"/>
  <c r="BH3" i="18"/>
  <c r="BH3" i="17"/>
  <c r="BH3" i="16"/>
  <c r="BH3" i="14"/>
  <c r="BH3" i="13"/>
  <c r="BH3" i="15"/>
  <c r="BH3" i="12"/>
  <c r="BH3" i="10"/>
  <c r="BH3" i="11"/>
  <c r="BH3" i="9"/>
  <c r="BH3" i="7"/>
  <c r="BH3" i="8"/>
  <c r="BH79" i="6"/>
  <c r="BH39" i="6"/>
  <c r="BH59" i="6"/>
  <c r="BH3" i="6"/>
  <c r="BH99" i="6"/>
  <c r="BH53" i="20"/>
  <c r="BH54" i="20" s="1"/>
  <c r="BH58" i="20" s="1"/>
  <c r="BH59" i="20"/>
  <c r="BH236" i="6"/>
  <c r="BH284" i="6"/>
  <c r="BH285" i="6" s="1"/>
  <c r="BH277" i="6"/>
  <c r="BH244" i="6"/>
  <c r="BH177" i="6"/>
  <c r="BH121" i="6"/>
  <c r="BH228" i="6"/>
  <c r="BH18" i="6"/>
  <c r="BH19" i="6" s="1"/>
  <c r="BH2" i="4" s="1"/>
  <c r="BH41" i="6"/>
  <c r="BH47" i="6"/>
  <c r="BH34" i="6"/>
  <c r="BG2" i="40"/>
  <c r="BG2" i="37"/>
  <c r="BG2" i="34"/>
  <c r="BG2" i="28"/>
  <c r="BG2" i="31"/>
  <c r="BG2" i="21"/>
  <c r="BG2" i="22"/>
  <c r="BG2" i="20"/>
  <c r="BG60" i="20"/>
  <c r="BG61" i="20" s="1"/>
  <c r="BG67" i="20" s="1"/>
  <c r="BG2" i="19"/>
  <c r="BG2" i="18"/>
  <c r="BG2" i="16"/>
  <c r="BG2" i="15"/>
  <c r="BG2" i="17"/>
  <c r="BG2" i="14"/>
  <c r="BG2" i="13"/>
  <c r="BG2" i="11"/>
  <c r="BG2" i="9"/>
  <c r="BG2" i="7"/>
  <c r="BG227" i="6"/>
  <c r="BG229" i="6" s="1"/>
  <c r="BG21" i="17" s="1"/>
  <c r="BG203" i="6"/>
  <c r="BG2" i="8"/>
  <c r="BG313" i="6"/>
  <c r="BG315" i="6" s="1"/>
  <c r="BG307" i="6"/>
  <c r="BG235" i="6"/>
  <c r="BG237" i="6" s="1"/>
  <c r="BG20" i="16" s="1"/>
  <c r="BG2" i="12"/>
  <c r="BG2" i="10"/>
  <c r="BG276" i="6"/>
  <c r="BG278" i="6" s="1"/>
  <c r="BG270" i="6" s="1"/>
  <c r="BG271" i="6" s="1"/>
  <c r="BG264" i="6" s="1"/>
  <c r="BG147" i="6"/>
  <c r="BG72" i="6"/>
  <c r="BG176" i="6"/>
  <c r="BG178" i="6" s="1"/>
  <c r="BG183" i="6" s="1"/>
  <c r="BG184" i="6" s="1"/>
  <c r="BG188" i="6" s="1"/>
  <c r="BG170" i="6"/>
  <c r="BG171" i="6" s="1"/>
  <c r="BG120" i="6"/>
  <c r="BG122" i="6" s="1"/>
  <c r="BG127" i="6" s="1"/>
  <c r="BG128" i="6" s="1"/>
  <c r="BG132" i="6" s="1"/>
  <c r="BG32" i="6"/>
  <c r="BG114" i="6"/>
  <c r="BG115" i="6" s="1"/>
  <c r="BG243" i="6"/>
  <c r="BG245" i="6" s="1"/>
  <c r="BG21" i="18" s="1"/>
  <c r="BG52" i="6"/>
  <c r="BG92" i="6"/>
  <c r="BG2" i="6"/>
  <c r="BG26" i="31"/>
  <c r="BH11" i="21"/>
  <c r="BG29" i="9"/>
  <c r="BH74" i="6"/>
  <c r="BH81" i="6"/>
  <c r="BH87" i="6"/>
  <c r="BH94" i="6"/>
  <c r="BH101" i="6"/>
  <c r="BH107" i="6"/>
  <c r="BF141" i="6"/>
  <c r="BF162" i="6"/>
  <c r="BF54" i="6"/>
  <c r="BF61" i="6"/>
  <c r="BF67" i="6"/>
  <c r="BH308" i="6"/>
  <c r="BF197" i="6"/>
  <c r="BF218" i="6"/>
  <c r="BI4" i="40"/>
  <c r="BI4" i="37"/>
  <c r="BI4" i="34"/>
  <c r="BI4" i="31"/>
  <c r="BI4" i="28"/>
  <c r="BI4" i="22"/>
  <c r="BI10" i="21"/>
  <c r="BI74" i="20"/>
  <c r="BI4" i="21"/>
  <c r="BI4" i="20"/>
  <c r="BI32" i="20"/>
  <c r="BI28" i="19"/>
  <c r="BI4" i="19"/>
  <c r="BI10" i="18"/>
  <c r="BI4" i="18"/>
  <c r="BI4" i="17"/>
  <c r="BI4" i="16"/>
  <c r="BI10" i="17"/>
  <c r="BI10" i="16"/>
  <c r="BI4" i="15"/>
  <c r="BI27" i="15"/>
  <c r="BI40" i="15"/>
  <c r="BI4" i="14"/>
  <c r="BI25" i="13"/>
  <c r="BI4" i="13"/>
  <c r="BI60" i="12"/>
  <c r="BI4" i="11"/>
  <c r="BI37" i="12"/>
  <c r="BI50" i="12"/>
  <c r="BI4" i="12"/>
  <c r="BI17" i="13"/>
  <c r="BI16" i="10"/>
  <c r="BI4" i="10"/>
  <c r="BI35" i="9"/>
  <c r="BI4" i="8"/>
  <c r="BI314" i="6"/>
  <c r="BI196" i="6"/>
  <c r="BI306" i="6"/>
  <c r="BI10" i="9"/>
  <c r="BI325" i="6"/>
  <c r="BI326" i="6" s="1"/>
  <c r="BI340" i="6"/>
  <c r="BI341" i="6" s="1"/>
  <c r="BI290" i="6"/>
  <c r="BI291" i="6" s="1"/>
  <c r="BI23" i="11"/>
  <c r="BI253" i="6"/>
  <c r="BI330" i="6"/>
  <c r="BI331" i="6" s="1"/>
  <c r="BI269" i="6"/>
  <c r="BI140" i="6"/>
  <c r="BI4" i="7"/>
  <c r="BI182" i="6"/>
  <c r="BI93" i="6"/>
  <c r="BI40" i="6"/>
  <c r="BI126" i="6"/>
  <c r="BI100" i="6"/>
  <c r="BI46" i="6"/>
  <c r="BI295" i="6"/>
  <c r="BI296" i="6" s="1"/>
  <c r="BI106" i="6"/>
  <c r="BI53" i="6"/>
  <c r="BI4" i="9"/>
  <c r="BI66" i="6"/>
  <c r="BI345" i="6"/>
  <c r="BI346" i="6" s="1"/>
  <c r="BI73" i="6"/>
  <c r="BI86" i="6"/>
  <c r="BI23" i="6"/>
  <c r="BI24" i="6" s="1"/>
  <c r="BI3" i="4" s="1"/>
  <c r="BI33" i="6"/>
  <c r="BJ28" i="6"/>
  <c r="BJ4" i="4" s="1"/>
  <c r="BI80" i="6"/>
  <c r="BI60" i="6"/>
  <c r="BI4" i="6"/>
  <c r="BI11" i="6"/>
  <c r="BI12" i="6" s="1"/>
  <c r="BH13" i="21"/>
  <c r="BI74" i="6" l="1"/>
  <c r="BI81" i="6"/>
  <c r="BI87" i="6"/>
  <c r="BG141" i="6"/>
  <c r="BG162" i="6"/>
  <c r="BJ4" i="40"/>
  <c r="BJ4" i="37"/>
  <c r="BJ4" i="34"/>
  <c r="BJ4" i="31"/>
  <c r="BJ4" i="28"/>
  <c r="BJ4" i="22"/>
  <c r="BJ10" i="21"/>
  <c r="BJ4" i="21"/>
  <c r="BJ74" i="20"/>
  <c r="BJ32" i="20"/>
  <c r="BJ28" i="19"/>
  <c r="BJ4" i="20"/>
  <c r="BJ4" i="19"/>
  <c r="BJ10" i="17"/>
  <c r="BJ4" i="18"/>
  <c r="BJ10" i="18"/>
  <c r="BJ4" i="16"/>
  <c r="BJ4" i="17"/>
  <c r="BJ40" i="15"/>
  <c r="BJ4" i="15"/>
  <c r="BJ27" i="15"/>
  <c r="BJ10" i="16"/>
  <c r="BJ37" i="12"/>
  <c r="BJ4" i="14"/>
  <c r="BJ4" i="13"/>
  <c r="BJ60" i="12"/>
  <c r="BJ50" i="12"/>
  <c r="BJ17" i="13"/>
  <c r="BJ25" i="13"/>
  <c r="BJ4" i="12"/>
  <c r="BJ23" i="11"/>
  <c r="BJ196" i="6"/>
  <c r="BJ306" i="6"/>
  <c r="BJ10" i="9"/>
  <c r="BJ325" i="6"/>
  <c r="BJ326" i="6" s="1"/>
  <c r="BJ340" i="6"/>
  <c r="BJ341" i="6" s="1"/>
  <c r="BJ290" i="6"/>
  <c r="BJ291" i="6" s="1"/>
  <c r="BJ253" i="6"/>
  <c r="BJ330" i="6"/>
  <c r="BJ331" i="6" s="1"/>
  <c r="BJ269" i="6"/>
  <c r="BJ4" i="9"/>
  <c r="BJ4" i="7"/>
  <c r="BJ345" i="6"/>
  <c r="BJ346" i="6" s="1"/>
  <c r="BJ295" i="6"/>
  <c r="BJ296" i="6" s="1"/>
  <c r="BJ4" i="8"/>
  <c r="BJ314" i="6"/>
  <c r="BJ182" i="6"/>
  <c r="BJ126" i="6"/>
  <c r="BJ100" i="6"/>
  <c r="BJ46" i="6"/>
  <c r="BJ16" i="10"/>
  <c r="BJ106" i="6"/>
  <c r="BJ53" i="6"/>
  <c r="BJ4" i="10"/>
  <c r="BJ60" i="6"/>
  <c r="BJ73" i="6"/>
  <c r="BJ4" i="11"/>
  <c r="BJ80" i="6"/>
  <c r="BJ35" i="9"/>
  <c r="BJ23" i="6"/>
  <c r="BJ24" i="6" s="1"/>
  <c r="BJ3" i="4" s="1"/>
  <c r="BJ33" i="6"/>
  <c r="BJ140" i="6"/>
  <c r="BJ40" i="6"/>
  <c r="BK28" i="6"/>
  <c r="BK4" i="4" s="1"/>
  <c r="BJ4" i="6"/>
  <c r="BJ11" i="6"/>
  <c r="BJ12" i="6" s="1"/>
  <c r="BJ66" i="6"/>
  <c r="BJ93" i="6"/>
  <c r="BJ86" i="6"/>
  <c r="BI101" i="6"/>
  <c r="BI107" i="6"/>
  <c r="BI94" i="6"/>
  <c r="BI53" i="20"/>
  <c r="BI54" i="20" s="1"/>
  <c r="BI58" i="20" s="1"/>
  <c r="BI59" i="20"/>
  <c r="BI236" i="6"/>
  <c r="BI284" i="6"/>
  <c r="BI285" i="6" s="1"/>
  <c r="BI277" i="6"/>
  <c r="BI244" i="6"/>
  <c r="BI228" i="6"/>
  <c r="BI121" i="6"/>
  <c r="BI177" i="6"/>
  <c r="BI18" i="6"/>
  <c r="BI19" i="6" s="1"/>
  <c r="BI2" i="4" s="1"/>
  <c r="BI3" i="40"/>
  <c r="BI3" i="37"/>
  <c r="BI3" i="34"/>
  <c r="BI3" i="31"/>
  <c r="BI3" i="28"/>
  <c r="BI3" i="21"/>
  <c r="BI3" i="22"/>
  <c r="BI3" i="20"/>
  <c r="BI3" i="19"/>
  <c r="BI3" i="18"/>
  <c r="BI3" i="17"/>
  <c r="BI3" i="16"/>
  <c r="BI3" i="14"/>
  <c r="BI3" i="15"/>
  <c r="BI3" i="12"/>
  <c r="BI3" i="10"/>
  <c r="BI3" i="13"/>
  <c r="BI3" i="11"/>
  <c r="BI3" i="9"/>
  <c r="BI3" i="7"/>
  <c r="BI3" i="8"/>
  <c r="BI39" i="6"/>
  <c r="BI99" i="6"/>
  <c r="BI59" i="6"/>
  <c r="BI79" i="6"/>
  <c r="BI3" i="6"/>
  <c r="BG197" i="6"/>
  <c r="BG218" i="6"/>
  <c r="BH2" i="40"/>
  <c r="BH2" i="37"/>
  <c r="BH2" i="34"/>
  <c r="BH2" i="31"/>
  <c r="BH2" i="28"/>
  <c r="BH2" i="22"/>
  <c r="BH60" i="20"/>
  <c r="BH2" i="21"/>
  <c r="BH2" i="20"/>
  <c r="BH2" i="19"/>
  <c r="BH2" i="18"/>
  <c r="BH2" i="16"/>
  <c r="BH2" i="17"/>
  <c r="BH2" i="15"/>
  <c r="BH2" i="14"/>
  <c r="BH2" i="11"/>
  <c r="BH2" i="13"/>
  <c r="BH2" i="12"/>
  <c r="BH2" i="10"/>
  <c r="BH2" i="9"/>
  <c r="BH2" i="7"/>
  <c r="BH227" i="6"/>
  <c r="BH229" i="6" s="1"/>
  <c r="BH21" i="17" s="1"/>
  <c r="BH203" i="6"/>
  <c r="BH2" i="8"/>
  <c r="BH313" i="6"/>
  <c r="BH315" i="6" s="1"/>
  <c r="BH307" i="6"/>
  <c r="BI308" i="6" s="1"/>
  <c r="BH235" i="6"/>
  <c r="BH237" i="6" s="1"/>
  <c r="BH20" i="16" s="1"/>
  <c r="BH276" i="6"/>
  <c r="BH278" i="6" s="1"/>
  <c r="BH270" i="6" s="1"/>
  <c r="BH271" i="6" s="1"/>
  <c r="BH264" i="6" s="1"/>
  <c r="BH243" i="6"/>
  <c r="BH245" i="6" s="1"/>
  <c r="BH21" i="18" s="1"/>
  <c r="BH176" i="6"/>
  <c r="BH178" i="6" s="1"/>
  <c r="BH183" i="6" s="1"/>
  <c r="BH184" i="6" s="1"/>
  <c r="BH188" i="6" s="1"/>
  <c r="BH170" i="6"/>
  <c r="BH171" i="6" s="1"/>
  <c r="BH120" i="6"/>
  <c r="BH122" i="6" s="1"/>
  <c r="BH127" i="6" s="1"/>
  <c r="BH128" i="6" s="1"/>
  <c r="BH132" i="6" s="1"/>
  <c r="BH114" i="6"/>
  <c r="BH115" i="6" s="1"/>
  <c r="BH92" i="6"/>
  <c r="BH52" i="6"/>
  <c r="BH147" i="6"/>
  <c r="BH72" i="6"/>
  <c r="BH32" i="6"/>
  <c r="BH2" i="6"/>
  <c r="BH26" i="31"/>
  <c r="BI11" i="21"/>
  <c r="BI13" i="21" s="1"/>
  <c r="BH29" i="9"/>
  <c r="BI47" i="6"/>
  <c r="BI41" i="6"/>
  <c r="BI34" i="6"/>
  <c r="BG61" i="6"/>
  <c r="BG67" i="6"/>
  <c r="BG54" i="6"/>
  <c r="BH61" i="20"/>
  <c r="BH67" i="20" s="1"/>
  <c r="BI26" i="31" l="1"/>
  <c r="BJ11" i="21"/>
  <c r="BI29" i="9"/>
  <c r="BI2" i="40"/>
  <c r="BI2" i="37"/>
  <c r="BI2" i="34"/>
  <c r="BI2" i="31"/>
  <c r="BI2" i="28"/>
  <c r="BI2" i="22"/>
  <c r="BI2" i="21"/>
  <c r="BI60" i="20"/>
  <c r="BI2" i="20"/>
  <c r="BI2" i="19"/>
  <c r="BI2" i="18"/>
  <c r="BI2" i="17"/>
  <c r="BI2" i="16"/>
  <c r="BI2" i="15"/>
  <c r="BI2" i="14"/>
  <c r="BI2" i="13"/>
  <c r="BI2" i="11"/>
  <c r="BI2" i="12"/>
  <c r="BI2" i="8"/>
  <c r="BI313" i="6"/>
  <c r="BI315" i="6" s="1"/>
  <c r="BI307" i="6"/>
  <c r="BI235" i="6"/>
  <c r="BI237" i="6" s="1"/>
  <c r="BI20" i="16" s="1"/>
  <c r="BI2" i="10"/>
  <c r="BI276" i="6"/>
  <c r="BI278" i="6" s="1"/>
  <c r="BI270" i="6" s="1"/>
  <c r="BI271" i="6" s="1"/>
  <c r="BI264" i="6" s="1"/>
  <c r="BI243" i="6"/>
  <c r="BI245" i="6" s="1"/>
  <c r="BI21" i="18" s="1"/>
  <c r="BI2" i="7"/>
  <c r="BI176" i="6"/>
  <c r="BI178" i="6" s="1"/>
  <c r="BI183" i="6" s="1"/>
  <c r="BI184" i="6" s="1"/>
  <c r="BI188" i="6" s="1"/>
  <c r="BI227" i="6"/>
  <c r="BI229" i="6" s="1"/>
  <c r="BI21" i="17" s="1"/>
  <c r="BI170" i="6"/>
  <c r="BI171" i="6" s="1"/>
  <c r="BI120" i="6"/>
  <c r="BI122" i="6" s="1"/>
  <c r="BI127" i="6" s="1"/>
  <c r="BI128" i="6" s="1"/>
  <c r="BI132" i="6" s="1"/>
  <c r="BI32" i="6"/>
  <c r="BI114" i="6"/>
  <c r="BI115" i="6" s="1"/>
  <c r="BI92" i="6"/>
  <c r="BI2" i="9"/>
  <c r="BI203" i="6"/>
  <c r="BI147" i="6"/>
  <c r="BI52" i="6"/>
  <c r="BI72" i="6"/>
  <c r="BI2" i="6"/>
  <c r="BJ53" i="20"/>
  <c r="BJ54" i="20" s="1"/>
  <c r="BJ58" i="20" s="1"/>
  <c r="BJ59" i="20"/>
  <c r="BJ236" i="6"/>
  <c r="BJ284" i="6"/>
  <c r="BJ285" i="6" s="1"/>
  <c r="BJ277" i="6"/>
  <c r="BJ244" i="6"/>
  <c r="BJ228" i="6"/>
  <c r="BJ177" i="6"/>
  <c r="BJ18" i="6"/>
  <c r="BJ19" i="6" s="1"/>
  <c r="BJ2" i="4" s="1"/>
  <c r="BJ121" i="6"/>
  <c r="BI61" i="20"/>
  <c r="BI67" i="20" s="1"/>
  <c r="BJ308" i="6"/>
  <c r="BJ13" i="21"/>
  <c r="BH54" i="6"/>
  <c r="BH67" i="6"/>
  <c r="BH61" i="6"/>
  <c r="BK4" i="40"/>
  <c r="BK4" i="37"/>
  <c r="BK4" i="34"/>
  <c r="BK4" i="31"/>
  <c r="BK4" i="28"/>
  <c r="BK10" i="21"/>
  <c r="BK74" i="20"/>
  <c r="BK4" i="21"/>
  <c r="BK4" i="22"/>
  <c r="BK4" i="20"/>
  <c r="BK32" i="20"/>
  <c r="BK28" i="19"/>
  <c r="BK4" i="19"/>
  <c r="BK4" i="18"/>
  <c r="BK10" i="18"/>
  <c r="BK4" i="17"/>
  <c r="BK40" i="15"/>
  <c r="BK10" i="17"/>
  <c r="BK10" i="16"/>
  <c r="BK4" i="15"/>
  <c r="BK27" i="15"/>
  <c r="BK4" i="16"/>
  <c r="BK4" i="14"/>
  <c r="BK4" i="13"/>
  <c r="BK60" i="12"/>
  <c r="BK50" i="12"/>
  <c r="BK17" i="13"/>
  <c r="BK25" i="13"/>
  <c r="BK37" i="12"/>
  <c r="BK4" i="12"/>
  <c r="BK4" i="10"/>
  <c r="BK23" i="11"/>
  <c r="BK4" i="11"/>
  <c r="BK16" i="10"/>
  <c r="BK306" i="6"/>
  <c r="BK10" i="9"/>
  <c r="BK325" i="6"/>
  <c r="BK326" i="6" s="1"/>
  <c r="BK340" i="6"/>
  <c r="BK341" i="6" s="1"/>
  <c r="BK290" i="6"/>
  <c r="BK291" i="6" s="1"/>
  <c r="BK253" i="6"/>
  <c r="BK330" i="6"/>
  <c r="BK331" i="6" s="1"/>
  <c r="BK269" i="6"/>
  <c r="BK4" i="9"/>
  <c r="BK4" i="7"/>
  <c r="BK345" i="6"/>
  <c r="BK346" i="6" s="1"/>
  <c r="BK295" i="6"/>
  <c r="BK296" i="6" s="1"/>
  <c r="BK35" i="9"/>
  <c r="BK4" i="8"/>
  <c r="BK314" i="6"/>
  <c r="BK126" i="6"/>
  <c r="BK196" i="6"/>
  <c r="BK106" i="6"/>
  <c r="BK53" i="6"/>
  <c r="BK60" i="6"/>
  <c r="BK66" i="6"/>
  <c r="BK80" i="6"/>
  <c r="BK140" i="6"/>
  <c r="BK86" i="6"/>
  <c r="BK33" i="6"/>
  <c r="BK40" i="6"/>
  <c r="BL28" i="6"/>
  <c r="BL4" i="4" s="1"/>
  <c r="BK4" i="6"/>
  <c r="BK73" i="6"/>
  <c r="BK11" i="6"/>
  <c r="BK12" i="6" s="1"/>
  <c r="BK46" i="6"/>
  <c r="BK182" i="6"/>
  <c r="BK93" i="6"/>
  <c r="BK100" i="6"/>
  <c r="BK23" i="6"/>
  <c r="BK24" i="6" s="1"/>
  <c r="BK3" i="4" s="1"/>
  <c r="BJ107" i="6"/>
  <c r="BJ101" i="6"/>
  <c r="BJ94" i="6"/>
  <c r="BJ81" i="6"/>
  <c r="BJ87" i="6"/>
  <c r="BJ74" i="6"/>
  <c r="BH141" i="6"/>
  <c r="BH162" i="6"/>
  <c r="BH197" i="6"/>
  <c r="BH218" i="6"/>
  <c r="BJ3" i="40"/>
  <c r="BJ3" i="37"/>
  <c r="BJ3" i="34"/>
  <c r="BJ3" i="31"/>
  <c r="BJ3" i="28"/>
  <c r="BJ3" i="21"/>
  <c r="BJ3" i="22"/>
  <c r="BJ3" i="20"/>
  <c r="BJ3" i="19"/>
  <c r="BJ3" i="17"/>
  <c r="BJ3" i="14"/>
  <c r="BJ3" i="16"/>
  <c r="BJ3" i="15"/>
  <c r="BJ3" i="18"/>
  <c r="BJ3" i="13"/>
  <c r="BJ3" i="12"/>
  <c r="BJ3" i="11"/>
  <c r="BJ3" i="9"/>
  <c r="BJ3" i="7"/>
  <c r="BJ3" i="8"/>
  <c r="BJ3" i="10"/>
  <c r="BJ39" i="6"/>
  <c r="BJ99" i="6"/>
  <c r="BJ79" i="6"/>
  <c r="BJ59" i="6"/>
  <c r="BJ3" i="6"/>
  <c r="BJ34" i="6"/>
  <c r="BJ47" i="6"/>
  <c r="BJ41" i="6"/>
  <c r="BJ2" i="40" l="1"/>
  <c r="BJ2" i="37"/>
  <c r="BJ2" i="34"/>
  <c r="BJ2" i="31"/>
  <c r="BJ2" i="28"/>
  <c r="BJ2" i="22"/>
  <c r="BJ2" i="21"/>
  <c r="BJ60" i="20"/>
  <c r="BJ61" i="20" s="1"/>
  <c r="BJ67" i="20" s="1"/>
  <c r="BJ2" i="20"/>
  <c r="BJ2" i="19"/>
  <c r="BJ2" i="18"/>
  <c r="BJ2" i="16"/>
  <c r="BJ2" i="17"/>
  <c r="BJ2" i="15"/>
  <c r="BJ2" i="14"/>
  <c r="BJ2" i="13"/>
  <c r="BJ2" i="12"/>
  <c r="BJ313" i="6"/>
  <c r="BJ315" i="6" s="1"/>
  <c r="BJ307" i="6"/>
  <c r="BJ235" i="6"/>
  <c r="BJ237" i="6" s="1"/>
  <c r="BJ20" i="16" s="1"/>
  <c r="BJ2" i="10"/>
  <c r="BJ276" i="6"/>
  <c r="BJ278" i="6" s="1"/>
  <c r="BJ270" i="6" s="1"/>
  <c r="BJ271" i="6" s="1"/>
  <c r="BJ264" i="6" s="1"/>
  <c r="BJ243" i="6"/>
  <c r="BJ245" i="6" s="1"/>
  <c r="BJ21" i="18" s="1"/>
  <c r="BJ2" i="11"/>
  <c r="BJ2" i="9"/>
  <c r="BJ2" i="7"/>
  <c r="BJ227" i="6"/>
  <c r="BJ229" i="6" s="1"/>
  <c r="BJ21" i="17" s="1"/>
  <c r="BJ170" i="6"/>
  <c r="BJ171" i="6" s="1"/>
  <c r="BJ120" i="6"/>
  <c r="BJ122" i="6" s="1"/>
  <c r="BJ127" i="6" s="1"/>
  <c r="BJ128" i="6" s="1"/>
  <c r="BJ132" i="6" s="1"/>
  <c r="BJ114" i="6"/>
  <c r="BJ115" i="6" s="1"/>
  <c r="BJ92" i="6"/>
  <c r="BJ203" i="6"/>
  <c r="BJ52" i="6"/>
  <c r="BJ147" i="6"/>
  <c r="BJ72" i="6"/>
  <c r="BJ2" i="8"/>
  <c r="BJ2" i="6"/>
  <c r="BJ32" i="6"/>
  <c r="BJ176" i="6"/>
  <c r="BJ178" i="6" s="1"/>
  <c r="BJ183" i="6" s="1"/>
  <c r="BJ184" i="6" s="1"/>
  <c r="BJ188" i="6" s="1"/>
  <c r="BK53" i="20"/>
  <c r="BK54" i="20" s="1"/>
  <c r="BK58" i="20" s="1"/>
  <c r="BK59" i="20"/>
  <c r="BK284" i="6"/>
  <c r="BK285" i="6" s="1"/>
  <c r="BK277" i="6"/>
  <c r="BK244" i="6"/>
  <c r="BK228" i="6"/>
  <c r="BK177" i="6"/>
  <c r="BK236" i="6"/>
  <c r="BK121" i="6"/>
  <c r="BK18" i="6"/>
  <c r="BK19" i="6" s="1"/>
  <c r="BK2" i="4" s="1"/>
  <c r="BK3" i="40"/>
  <c r="BK3" i="37"/>
  <c r="BK3" i="34"/>
  <c r="BK3" i="28"/>
  <c r="BK3" i="31"/>
  <c r="BK3" i="21"/>
  <c r="BK3" i="22"/>
  <c r="BK3" i="20"/>
  <c r="BK3" i="19"/>
  <c r="BK3" i="18"/>
  <c r="BK3" i="16"/>
  <c r="BK3" i="17"/>
  <c r="BK3" i="15"/>
  <c r="BK3" i="14"/>
  <c r="BK3" i="13"/>
  <c r="BK3" i="11"/>
  <c r="BK3" i="9"/>
  <c r="BK3" i="7"/>
  <c r="BK3" i="8"/>
  <c r="BK3" i="12"/>
  <c r="BK3" i="10"/>
  <c r="BK99" i="6"/>
  <c r="BK59" i="6"/>
  <c r="BK79" i="6"/>
  <c r="BK39" i="6"/>
  <c r="BK3" i="6"/>
  <c r="BK41" i="6"/>
  <c r="BK47" i="6"/>
  <c r="BK34" i="6"/>
  <c r="BI162" i="6"/>
  <c r="BI141" i="6"/>
  <c r="BL4" i="40"/>
  <c r="BL4" i="37"/>
  <c r="BL4" i="34"/>
  <c r="BL4" i="31"/>
  <c r="BL4" i="28"/>
  <c r="BL74" i="20"/>
  <c r="BL4" i="21"/>
  <c r="BL4" i="22"/>
  <c r="BL10" i="21"/>
  <c r="BL4" i="20"/>
  <c r="BL32" i="20"/>
  <c r="BL28" i="19"/>
  <c r="BL4" i="19"/>
  <c r="BL4" i="18"/>
  <c r="BL4" i="17"/>
  <c r="BL10" i="18"/>
  <c r="BL40" i="15"/>
  <c r="BL10" i="17"/>
  <c r="BL10" i="16"/>
  <c r="BL27" i="15"/>
  <c r="BL4" i="16"/>
  <c r="BL4" i="14"/>
  <c r="BL4" i="13"/>
  <c r="BL60" i="12"/>
  <c r="BL50" i="12"/>
  <c r="BL4" i="15"/>
  <c r="BL17" i="13"/>
  <c r="BL25" i="13"/>
  <c r="BL37" i="12"/>
  <c r="BL4" i="12"/>
  <c r="BL4" i="10"/>
  <c r="BL23" i="11"/>
  <c r="BL4" i="11"/>
  <c r="BL10" i="9"/>
  <c r="BL325" i="6"/>
  <c r="BL326" i="6" s="1"/>
  <c r="BL340" i="6"/>
  <c r="BL341" i="6" s="1"/>
  <c r="BL290" i="6"/>
  <c r="BL291" i="6" s="1"/>
  <c r="BL253" i="6"/>
  <c r="BL330" i="6"/>
  <c r="BL331" i="6" s="1"/>
  <c r="BL269" i="6"/>
  <c r="BL4" i="9"/>
  <c r="BL4" i="7"/>
  <c r="BL345" i="6"/>
  <c r="BL346" i="6" s="1"/>
  <c r="BL295" i="6"/>
  <c r="BL296" i="6" s="1"/>
  <c r="BL35" i="9"/>
  <c r="BL4" i="8"/>
  <c r="BL314" i="6"/>
  <c r="BL16" i="10"/>
  <c r="BL196" i="6"/>
  <c r="BL60" i="6"/>
  <c r="BL66" i="6"/>
  <c r="BL73" i="6"/>
  <c r="BL140" i="6"/>
  <c r="BL86" i="6"/>
  <c r="BL182" i="6"/>
  <c r="BL93" i="6"/>
  <c r="BL40" i="6"/>
  <c r="BM28" i="6"/>
  <c r="BM4" i="4" s="1"/>
  <c r="BL306" i="6"/>
  <c r="BL33" i="6"/>
  <c r="BL106" i="6"/>
  <c r="BL4" i="6"/>
  <c r="BL126" i="6"/>
  <c r="BL11" i="6"/>
  <c r="BL12" i="6" s="1"/>
  <c r="BL80" i="6"/>
  <c r="BL53" i="6"/>
  <c r="BL46" i="6"/>
  <c r="BL100" i="6"/>
  <c r="BL23" i="6"/>
  <c r="BL24" i="6" s="1"/>
  <c r="BL3" i="4" s="1"/>
  <c r="BK107" i="6"/>
  <c r="BK94" i="6"/>
  <c r="BK101" i="6"/>
  <c r="BK308" i="6"/>
  <c r="BI197" i="6"/>
  <c r="BI218" i="6"/>
  <c r="BI54" i="6"/>
  <c r="BI61" i="6"/>
  <c r="BI67" i="6"/>
  <c r="BK74" i="6"/>
  <c r="BK87" i="6"/>
  <c r="BK81" i="6"/>
  <c r="BJ26" i="31"/>
  <c r="BK11" i="21"/>
  <c r="BK13" i="21" s="1"/>
  <c r="BJ29" i="9"/>
  <c r="BL41" i="6" l="1"/>
  <c r="BL47" i="6"/>
  <c r="BL34" i="6"/>
  <c r="BL94" i="6"/>
  <c r="BL101" i="6"/>
  <c r="BL107" i="6"/>
  <c r="BJ162" i="6"/>
  <c r="BJ141" i="6"/>
  <c r="BM4" i="40"/>
  <c r="BM4" i="37"/>
  <c r="BM4" i="34"/>
  <c r="BM4" i="31"/>
  <c r="BM4" i="28"/>
  <c r="BM4" i="21"/>
  <c r="BM4" i="22"/>
  <c r="BM10" i="21"/>
  <c r="BM4" i="20"/>
  <c r="BM74" i="20"/>
  <c r="BM28" i="19"/>
  <c r="BM32" i="20"/>
  <c r="BM4" i="19"/>
  <c r="BM4" i="18"/>
  <c r="BM10" i="18"/>
  <c r="BM10" i="17"/>
  <c r="BM4" i="17"/>
  <c r="BM10" i="16"/>
  <c r="BM4" i="16"/>
  <c r="BM4" i="14"/>
  <c r="BM40" i="15"/>
  <c r="BM4" i="15"/>
  <c r="BM50" i="12"/>
  <c r="BM17" i="13"/>
  <c r="BM25" i="13"/>
  <c r="BM27" i="15"/>
  <c r="BM37" i="12"/>
  <c r="BM4" i="12"/>
  <c r="BM4" i="10"/>
  <c r="BM60" i="12"/>
  <c r="BM4" i="13"/>
  <c r="BM23" i="11"/>
  <c r="BM4" i="11"/>
  <c r="BM340" i="6"/>
  <c r="BM341" i="6" s="1"/>
  <c r="BM290" i="6"/>
  <c r="BM291" i="6" s="1"/>
  <c r="BM253" i="6"/>
  <c r="BM330" i="6"/>
  <c r="BM331" i="6" s="1"/>
  <c r="BM269" i="6"/>
  <c r="BM4" i="9"/>
  <c r="BM4" i="7"/>
  <c r="BM345" i="6"/>
  <c r="BM346" i="6" s="1"/>
  <c r="BM295" i="6"/>
  <c r="BM296" i="6" s="1"/>
  <c r="BM35" i="9"/>
  <c r="BM4" i="8"/>
  <c r="BM314" i="6"/>
  <c r="BM16" i="10"/>
  <c r="BM306" i="6"/>
  <c r="BM66" i="6"/>
  <c r="BM73" i="6"/>
  <c r="BM80" i="6"/>
  <c r="BM140" i="6"/>
  <c r="BM10" i="9"/>
  <c r="BM182" i="6"/>
  <c r="BM93" i="6"/>
  <c r="BM325" i="6"/>
  <c r="BM326" i="6" s="1"/>
  <c r="BM126" i="6"/>
  <c r="BM100" i="6"/>
  <c r="BM46" i="6"/>
  <c r="BM106" i="6"/>
  <c r="BM4" i="6"/>
  <c r="BM40" i="6"/>
  <c r="BN28" i="6"/>
  <c r="BN4" i="4" s="1"/>
  <c r="BM11" i="6"/>
  <c r="BM12" i="6" s="1"/>
  <c r="BM53" i="6"/>
  <c r="BM60" i="6"/>
  <c r="BM23" i="6"/>
  <c r="BM24" i="6" s="1"/>
  <c r="BM3" i="4" s="1"/>
  <c r="BM86" i="6"/>
  <c r="BM196" i="6"/>
  <c r="BM33" i="6"/>
  <c r="BK2" i="40"/>
  <c r="BK2" i="37"/>
  <c r="BK2" i="34"/>
  <c r="BK2" i="31"/>
  <c r="BK2" i="28"/>
  <c r="BK2" i="22"/>
  <c r="BK60" i="20"/>
  <c r="BK2" i="20"/>
  <c r="BK2" i="21"/>
  <c r="BK2" i="19"/>
  <c r="BK2" i="18"/>
  <c r="BK2" i="17"/>
  <c r="BK2" i="15"/>
  <c r="BK2" i="16"/>
  <c r="BK2" i="13"/>
  <c r="BK2" i="14"/>
  <c r="BK2" i="12"/>
  <c r="BK2" i="10"/>
  <c r="BK2" i="11"/>
  <c r="BK235" i="6"/>
  <c r="BK237" i="6" s="1"/>
  <c r="BK20" i="16" s="1"/>
  <c r="BK276" i="6"/>
  <c r="BK278" i="6" s="1"/>
  <c r="BK270" i="6" s="1"/>
  <c r="BK271" i="6" s="1"/>
  <c r="BK264" i="6" s="1"/>
  <c r="BK243" i="6"/>
  <c r="BK245" i="6" s="1"/>
  <c r="BK21" i="18" s="1"/>
  <c r="BK2" i="9"/>
  <c r="BK2" i="7"/>
  <c r="BK227" i="6"/>
  <c r="BK229" i="6" s="1"/>
  <c r="BK21" i="17" s="1"/>
  <c r="BK2" i="8"/>
  <c r="BK114" i="6"/>
  <c r="BK115" i="6" s="1"/>
  <c r="BK203" i="6"/>
  <c r="BK52" i="6"/>
  <c r="BK307" i="6"/>
  <c r="BL308" i="6" s="1"/>
  <c r="BK313" i="6"/>
  <c r="BK315" i="6" s="1"/>
  <c r="BK147" i="6"/>
  <c r="BK72" i="6"/>
  <c r="BK176" i="6"/>
  <c r="BK178" i="6" s="1"/>
  <c r="BK183" i="6" s="1"/>
  <c r="BK184" i="6" s="1"/>
  <c r="BK188" i="6" s="1"/>
  <c r="BK92" i="6"/>
  <c r="BK120" i="6"/>
  <c r="BK122" i="6" s="1"/>
  <c r="BK127" i="6" s="1"/>
  <c r="BK128" i="6" s="1"/>
  <c r="BK132" i="6" s="1"/>
  <c r="BK2" i="6"/>
  <c r="BK32" i="6"/>
  <c r="BK170" i="6"/>
  <c r="BK171" i="6" s="1"/>
  <c r="BK61" i="20"/>
  <c r="BK67" i="20" s="1"/>
  <c r="BJ218" i="6"/>
  <c r="BJ197" i="6"/>
  <c r="BK26" i="31"/>
  <c r="BL11" i="21"/>
  <c r="BL13" i="21" s="1"/>
  <c r="BK29" i="9"/>
  <c r="BL53" i="20"/>
  <c r="BL54" i="20" s="1"/>
  <c r="BL58" i="20" s="1"/>
  <c r="BL59" i="20"/>
  <c r="BL277" i="6"/>
  <c r="BL244" i="6"/>
  <c r="BL228" i="6"/>
  <c r="BL236" i="6"/>
  <c r="BL284" i="6"/>
  <c r="BL285" i="6" s="1"/>
  <c r="BL177" i="6"/>
  <c r="BL121" i="6"/>
  <c r="BL18" i="6"/>
  <c r="BL19" i="6" s="1"/>
  <c r="BL2" i="4" s="1"/>
  <c r="BL74" i="6"/>
  <c r="BL81" i="6"/>
  <c r="BL87" i="6"/>
  <c r="BJ54" i="6"/>
  <c r="BJ61" i="6"/>
  <c r="BJ67" i="6"/>
  <c r="BL3" i="40"/>
  <c r="BL3" i="37"/>
  <c r="BL3" i="34"/>
  <c r="BL3" i="31"/>
  <c r="BL3" i="28"/>
  <c r="BL3" i="22"/>
  <c r="BL3" i="21"/>
  <c r="BL3" i="20"/>
  <c r="BL3" i="19"/>
  <c r="BL3" i="18"/>
  <c r="BL3" i="16"/>
  <c r="BL3" i="17"/>
  <c r="BL3" i="15"/>
  <c r="BL3" i="14"/>
  <c r="BL3" i="11"/>
  <c r="BL3" i="13"/>
  <c r="BL3" i="12"/>
  <c r="BL3" i="10"/>
  <c r="BL3" i="9"/>
  <c r="BL3" i="7"/>
  <c r="BL3" i="8"/>
  <c r="BL59" i="6"/>
  <c r="BL79" i="6"/>
  <c r="BL99" i="6"/>
  <c r="BL39" i="6"/>
  <c r="BL3" i="6"/>
  <c r="BL26" i="31" l="1"/>
  <c r="BM11" i="21"/>
  <c r="BL29" i="9"/>
  <c r="BM59" i="20"/>
  <c r="BM53" i="20"/>
  <c r="BM54" i="20" s="1"/>
  <c r="BM58" i="20" s="1"/>
  <c r="BM244" i="6"/>
  <c r="BM228" i="6"/>
  <c r="BM236" i="6"/>
  <c r="BM284" i="6"/>
  <c r="BM285" i="6" s="1"/>
  <c r="BM277" i="6"/>
  <c r="BM177" i="6"/>
  <c r="BM121" i="6"/>
  <c r="BM18" i="6"/>
  <c r="BM19" i="6" s="1"/>
  <c r="BM2" i="4" s="1"/>
  <c r="BK162" i="6"/>
  <c r="BK141" i="6"/>
  <c r="BN4" i="40"/>
  <c r="BN4" i="37"/>
  <c r="BN4" i="34"/>
  <c r="BN4" i="31"/>
  <c r="BN4" i="28"/>
  <c r="BN4" i="21"/>
  <c r="BN10" i="21"/>
  <c r="BN74" i="20"/>
  <c r="BN4" i="22"/>
  <c r="BN32" i="20"/>
  <c r="BN4" i="20"/>
  <c r="BN28" i="19"/>
  <c r="BN4" i="19"/>
  <c r="BN4" i="17"/>
  <c r="BN10" i="18"/>
  <c r="BN10" i="16"/>
  <c r="BN10" i="17"/>
  <c r="BN4" i="14"/>
  <c r="BN4" i="16"/>
  <c r="BN40" i="15"/>
  <c r="BN4" i="18"/>
  <c r="BN4" i="15"/>
  <c r="BN27" i="15"/>
  <c r="BN17" i="13"/>
  <c r="BN25" i="13"/>
  <c r="BN4" i="13"/>
  <c r="BN60" i="12"/>
  <c r="BN4" i="12"/>
  <c r="BN23" i="11"/>
  <c r="BN50" i="12"/>
  <c r="BN4" i="11"/>
  <c r="BN16" i="10"/>
  <c r="BN37" i="12"/>
  <c r="BN253" i="6"/>
  <c r="BN330" i="6"/>
  <c r="BN331" i="6" s="1"/>
  <c r="BN269" i="6"/>
  <c r="BN4" i="9"/>
  <c r="BN4" i="7"/>
  <c r="BN345" i="6"/>
  <c r="BN346" i="6" s="1"/>
  <c r="BN295" i="6"/>
  <c r="BN296" i="6" s="1"/>
  <c r="BN35" i="9"/>
  <c r="BN4" i="8"/>
  <c r="BN314" i="6"/>
  <c r="BN306" i="6"/>
  <c r="BN4" i="10"/>
  <c r="BN10" i="9"/>
  <c r="BN325" i="6"/>
  <c r="BN326" i="6" s="1"/>
  <c r="BN340" i="6"/>
  <c r="BN341" i="6" s="1"/>
  <c r="BN73" i="6"/>
  <c r="BN80" i="6"/>
  <c r="BN140" i="6"/>
  <c r="BN86" i="6"/>
  <c r="BN33" i="6"/>
  <c r="BN182" i="6"/>
  <c r="BN126" i="6"/>
  <c r="BN100" i="6"/>
  <c r="BN46" i="6"/>
  <c r="BN290" i="6"/>
  <c r="BN291" i="6" s="1"/>
  <c r="BN196" i="6"/>
  <c r="BN106" i="6"/>
  <c r="BN53" i="6"/>
  <c r="BN40" i="6"/>
  <c r="BO28" i="6"/>
  <c r="BO4" i="4" s="1"/>
  <c r="BN4" i="6"/>
  <c r="BN11" i="6"/>
  <c r="BN12" i="6" s="1"/>
  <c r="BN60" i="6"/>
  <c r="BN23" i="6"/>
  <c r="BN24" i="6" s="1"/>
  <c r="BN3" i="4" s="1"/>
  <c r="BN93" i="6"/>
  <c r="BN66" i="6"/>
  <c r="BM74" i="6"/>
  <c r="BM81" i="6"/>
  <c r="BM87" i="6"/>
  <c r="BM3" i="40"/>
  <c r="BM3" i="37"/>
  <c r="BM3" i="34"/>
  <c r="BM3" i="31"/>
  <c r="BM3" i="28"/>
  <c r="BM3" i="22"/>
  <c r="BM3" i="21"/>
  <c r="BM3" i="20"/>
  <c r="BM3" i="19"/>
  <c r="BM3" i="18"/>
  <c r="BM3" i="17"/>
  <c r="BM3" i="16"/>
  <c r="BM3" i="15"/>
  <c r="BM3" i="14"/>
  <c r="BM3" i="13"/>
  <c r="BM3" i="11"/>
  <c r="BM3" i="12"/>
  <c r="BM3" i="8"/>
  <c r="BM3" i="10"/>
  <c r="BM3" i="7"/>
  <c r="BM59" i="6"/>
  <c r="BM3" i="9"/>
  <c r="BM39" i="6"/>
  <c r="BM99" i="6"/>
  <c r="BM3" i="6"/>
  <c r="BM79" i="6"/>
  <c r="BM101" i="6"/>
  <c r="BM107" i="6"/>
  <c r="BM94" i="6"/>
  <c r="BL2" i="40"/>
  <c r="BL2" i="37"/>
  <c r="BL2" i="34"/>
  <c r="BL2" i="31"/>
  <c r="BL2" i="28"/>
  <c r="BL2" i="21"/>
  <c r="BL2" i="22"/>
  <c r="BL60" i="20"/>
  <c r="BL61" i="20" s="1"/>
  <c r="BL67" i="20" s="1"/>
  <c r="BL2" i="20"/>
  <c r="BL2" i="19"/>
  <c r="BL2" i="18"/>
  <c r="BL2" i="17"/>
  <c r="BL2" i="16"/>
  <c r="BL2" i="14"/>
  <c r="BL2" i="13"/>
  <c r="BL2" i="15"/>
  <c r="BL2" i="12"/>
  <c r="BL2" i="10"/>
  <c r="BL2" i="11"/>
  <c r="BL276" i="6"/>
  <c r="BL278" i="6" s="1"/>
  <c r="BL270" i="6" s="1"/>
  <c r="BL271" i="6" s="1"/>
  <c r="BL264" i="6" s="1"/>
  <c r="BL243" i="6"/>
  <c r="BL245" i="6" s="1"/>
  <c r="BL21" i="18" s="1"/>
  <c r="BL2" i="9"/>
  <c r="BL2" i="7"/>
  <c r="BL2" i="8"/>
  <c r="BL313" i="6"/>
  <c r="BL315" i="6" s="1"/>
  <c r="BL307" i="6"/>
  <c r="BM308" i="6" s="1"/>
  <c r="BL227" i="6"/>
  <c r="BL229" i="6" s="1"/>
  <c r="BL21" i="17" s="1"/>
  <c r="BL203" i="6"/>
  <c r="BL52" i="6"/>
  <c r="BL235" i="6"/>
  <c r="BL237" i="6" s="1"/>
  <c r="BL20" i="16" s="1"/>
  <c r="BL147" i="6"/>
  <c r="BL176" i="6"/>
  <c r="BL178" i="6" s="1"/>
  <c r="BL183" i="6" s="1"/>
  <c r="BL184" i="6" s="1"/>
  <c r="BL188" i="6" s="1"/>
  <c r="BL170" i="6"/>
  <c r="BL171" i="6" s="1"/>
  <c r="BL120" i="6"/>
  <c r="BL122" i="6" s="1"/>
  <c r="BL127" i="6" s="1"/>
  <c r="BL128" i="6" s="1"/>
  <c r="BL132" i="6" s="1"/>
  <c r="BL32" i="6"/>
  <c r="BL72" i="6"/>
  <c r="BL92" i="6"/>
  <c r="BL114" i="6"/>
  <c r="BL115" i="6" s="1"/>
  <c r="BL2" i="6"/>
  <c r="BK218" i="6"/>
  <c r="BK197" i="6"/>
  <c r="BK61" i="6"/>
  <c r="BK67" i="6"/>
  <c r="BK54" i="6"/>
  <c r="BM34" i="6"/>
  <c r="BM47" i="6"/>
  <c r="BM41" i="6"/>
  <c r="BM13" i="21"/>
  <c r="BM26" i="31" l="1"/>
  <c r="BN11" i="21"/>
  <c r="BM29" i="9"/>
  <c r="BM2" i="40"/>
  <c r="BM2" i="37"/>
  <c r="BM2" i="34"/>
  <c r="BM2" i="31"/>
  <c r="BM2" i="28"/>
  <c r="BM2" i="21"/>
  <c r="BM2" i="22"/>
  <c r="BM60" i="20"/>
  <c r="BM2" i="20"/>
  <c r="BM2" i="19"/>
  <c r="BM2" i="18"/>
  <c r="BM2" i="17"/>
  <c r="BM2" i="16"/>
  <c r="BM2" i="14"/>
  <c r="BM2" i="15"/>
  <c r="BM2" i="13"/>
  <c r="BM2" i="12"/>
  <c r="BM2" i="10"/>
  <c r="BM2" i="11"/>
  <c r="BM276" i="6"/>
  <c r="BM278" i="6" s="1"/>
  <c r="BM270" i="6" s="1"/>
  <c r="BM271" i="6" s="1"/>
  <c r="BM264" i="6" s="1"/>
  <c r="BM243" i="6"/>
  <c r="BM245" i="6" s="1"/>
  <c r="BM21" i="18" s="1"/>
  <c r="BM2" i="9"/>
  <c r="BM2" i="7"/>
  <c r="BM227" i="6"/>
  <c r="BM229" i="6" s="1"/>
  <c r="BM21" i="17" s="1"/>
  <c r="BM203" i="6"/>
  <c r="BM2" i="8"/>
  <c r="BM313" i="6"/>
  <c r="BM315" i="6" s="1"/>
  <c r="BM307" i="6"/>
  <c r="BN308" i="6" s="1"/>
  <c r="BM235" i="6"/>
  <c r="BM237" i="6" s="1"/>
  <c r="BM20" i="16" s="1"/>
  <c r="BM147" i="6"/>
  <c r="BM72" i="6"/>
  <c r="BM176" i="6"/>
  <c r="BM178" i="6" s="1"/>
  <c r="BM183" i="6" s="1"/>
  <c r="BM184" i="6" s="1"/>
  <c r="BM188" i="6" s="1"/>
  <c r="BM170" i="6"/>
  <c r="BM171" i="6" s="1"/>
  <c r="BM120" i="6"/>
  <c r="BM122" i="6" s="1"/>
  <c r="BM127" i="6" s="1"/>
  <c r="BM128" i="6" s="1"/>
  <c r="BM132" i="6" s="1"/>
  <c r="BM114" i="6"/>
  <c r="BM115" i="6" s="1"/>
  <c r="BM92" i="6"/>
  <c r="BM2" i="6"/>
  <c r="BM32" i="6"/>
  <c r="BM52" i="6"/>
  <c r="BN34" i="6"/>
  <c r="BN41" i="6"/>
  <c r="BN47" i="6"/>
  <c r="BO4" i="40"/>
  <c r="BO4" i="37"/>
  <c r="BO4" i="34"/>
  <c r="BO4" i="31"/>
  <c r="BO4" i="28"/>
  <c r="BO4" i="21"/>
  <c r="BO4" i="22"/>
  <c r="BO10" i="21"/>
  <c r="BO4" i="20"/>
  <c r="BO32" i="20"/>
  <c r="BO74" i="20"/>
  <c r="BO4" i="19"/>
  <c r="BO28" i="19"/>
  <c r="BO10" i="18"/>
  <c r="BO4" i="18"/>
  <c r="BO10" i="17"/>
  <c r="BO4" i="16"/>
  <c r="BO40" i="15"/>
  <c r="BO4" i="17"/>
  <c r="BO10" i="16"/>
  <c r="BO4" i="15"/>
  <c r="BO27" i="15"/>
  <c r="BO4" i="14"/>
  <c r="BO17" i="13"/>
  <c r="BO25" i="13"/>
  <c r="BO37" i="12"/>
  <c r="BO4" i="13"/>
  <c r="BO60" i="12"/>
  <c r="BO50" i="12"/>
  <c r="BO23" i="11"/>
  <c r="BO4" i="11"/>
  <c r="BO16" i="10"/>
  <c r="BO330" i="6"/>
  <c r="BO331" i="6" s="1"/>
  <c r="BO269" i="6"/>
  <c r="BO4" i="9"/>
  <c r="BO4" i="7"/>
  <c r="BO345" i="6"/>
  <c r="BO346" i="6" s="1"/>
  <c r="BO295" i="6"/>
  <c r="BO296" i="6" s="1"/>
  <c r="BO35" i="9"/>
  <c r="BO4" i="8"/>
  <c r="BO314" i="6"/>
  <c r="BO196" i="6"/>
  <c r="BO306" i="6"/>
  <c r="BO4" i="12"/>
  <c r="BO4" i="10"/>
  <c r="BO10" i="9"/>
  <c r="BO325" i="6"/>
  <c r="BO326" i="6" s="1"/>
  <c r="BO340" i="6"/>
  <c r="BO341" i="6" s="1"/>
  <c r="BO290" i="6"/>
  <c r="BO291" i="6" s="1"/>
  <c r="BO80" i="6"/>
  <c r="BO140" i="6"/>
  <c r="BO86" i="6"/>
  <c r="BO33" i="6"/>
  <c r="BO253" i="6"/>
  <c r="BO182" i="6"/>
  <c r="BO93" i="6"/>
  <c r="BO40" i="6"/>
  <c r="BP28" i="6"/>
  <c r="BP4" i="4" s="1"/>
  <c r="BO126" i="6"/>
  <c r="BO106" i="6"/>
  <c r="BO53" i="6"/>
  <c r="BO60" i="6"/>
  <c r="BO11" i="6"/>
  <c r="BO12" i="6" s="1"/>
  <c r="BO73" i="6"/>
  <c r="BO46" i="6"/>
  <c r="BO23" i="6"/>
  <c r="BO24" i="6" s="1"/>
  <c r="BO3" i="4" s="1"/>
  <c r="BO66" i="6"/>
  <c r="BO100" i="6"/>
  <c r="BO4" i="6"/>
  <c r="BN94" i="6"/>
  <c r="BN107" i="6"/>
  <c r="BN101" i="6"/>
  <c r="BM61" i="20"/>
  <c r="BM67" i="20" s="1"/>
  <c r="BL67" i="6"/>
  <c r="BL61" i="6"/>
  <c r="BL54" i="6"/>
  <c r="BN3" i="40"/>
  <c r="BN3" i="37"/>
  <c r="BN3" i="34"/>
  <c r="BN3" i="31"/>
  <c r="BN3" i="28"/>
  <c r="BN3" i="22"/>
  <c r="BN3" i="21"/>
  <c r="BN3" i="20"/>
  <c r="BN3" i="19"/>
  <c r="BN3" i="18"/>
  <c r="BN3" i="16"/>
  <c r="BN3" i="17"/>
  <c r="BN3" i="15"/>
  <c r="BN3" i="13"/>
  <c r="BN3" i="12"/>
  <c r="BN3" i="10"/>
  <c r="BN3" i="11"/>
  <c r="BN3" i="9"/>
  <c r="BN3" i="7"/>
  <c r="BN3" i="14"/>
  <c r="BN79" i="6"/>
  <c r="BN99" i="6"/>
  <c r="BN3" i="8"/>
  <c r="BN39" i="6"/>
  <c r="BN3" i="6"/>
  <c r="BN59" i="6"/>
  <c r="BN13" i="21"/>
  <c r="BL218" i="6"/>
  <c r="BL197" i="6"/>
  <c r="BN81" i="6"/>
  <c r="BN87" i="6"/>
  <c r="BN74" i="6"/>
  <c r="BN59" i="20"/>
  <c r="BN53" i="20"/>
  <c r="BN54" i="20" s="1"/>
  <c r="BN58" i="20" s="1"/>
  <c r="BN228" i="6"/>
  <c r="BN236" i="6"/>
  <c r="BN284" i="6"/>
  <c r="BN285" i="6" s="1"/>
  <c r="BN277" i="6"/>
  <c r="BN177" i="6"/>
  <c r="BN121" i="6"/>
  <c r="BN244" i="6"/>
  <c r="BN18" i="6"/>
  <c r="BN19" i="6" s="1"/>
  <c r="BN2" i="4" s="1"/>
  <c r="BL141" i="6"/>
  <c r="BL162" i="6"/>
  <c r="BO94" i="6" l="1"/>
  <c r="BO101" i="6"/>
  <c r="BO107" i="6"/>
  <c r="BN26" i="31"/>
  <c r="BO11" i="21"/>
  <c r="BN29" i="9"/>
  <c r="BM141" i="6"/>
  <c r="BM162" i="6"/>
  <c r="BM54" i="6"/>
  <c r="BM61" i="6"/>
  <c r="BM67" i="6"/>
  <c r="BO3" i="40"/>
  <c r="BO3" i="37"/>
  <c r="BO3" i="34"/>
  <c r="BO3" i="31"/>
  <c r="BO3" i="28"/>
  <c r="BO3" i="22"/>
  <c r="BO3" i="20"/>
  <c r="BO3" i="21"/>
  <c r="BO3" i="19"/>
  <c r="BO3" i="18"/>
  <c r="BO3" i="17"/>
  <c r="BO3" i="15"/>
  <c r="BO3" i="16"/>
  <c r="BO3" i="14"/>
  <c r="BO3" i="13"/>
  <c r="BO3" i="12"/>
  <c r="BO3" i="10"/>
  <c r="BO3" i="11"/>
  <c r="BO3" i="9"/>
  <c r="BO3" i="7"/>
  <c r="BO3" i="8"/>
  <c r="BO79" i="6"/>
  <c r="BO99" i="6"/>
  <c r="BO39" i="6"/>
  <c r="BO3" i="6"/>
  <c r="BO59" i="6"/>
  <c r="BP4" i="40"/>
  <c r="BP4" i="37"/>
  <c r="BP4" i="34"/>
  <c r="BP4" i="31"/>
  <c r="BP4" i="28"/>
  <c r="BP4" i="22"/>
  <c r="BP10" i="21"/>
  <c r="BP32" i="20"/>
  <c r="BP74" i="20"/>
  <c r="BP4" i="21"/>
  <c r="BP4" i="20"/>
  <c r="BP4" i="19"/>
  <c r="BP28" i="19"/>
  <c r="BP10" i="18"/>
  <c r="BP10" i="17"/>
  <c r="BP4" i="18"/>
  <c r="BP4" i="16"/>
  <c r="BP4" i="17"/>
  <c r="BP40" i="15"/>
  <c r="BP10" i="16"/>
  <c r="BP4" i="15"/>
  <c r="BP27" i="15"/>
  <c r="BP4" i="14"/>
  <c r="BP17" i="13"/>
  <c r="BP25" i="13"/>
  <c r="BP37" i="12"/>
  <c r="BP50" i="12"/>
  <c r="BP23" i="11"/>
  <c r="BP60" i="12"/>
  <c r="BP4" i="11"/>
  <c r="BP16" i="10"/>
  <c r="BP4" i="13"/>
  <c r="BP4" i="12"/>
  <c r="BP4" i="10"/>
  <c r="BP4" i="9"/>
  <c r="BP4" i="7"/>
  <c r="BP345" i="6"/>
  <c r="BP346" i="6" s="1"/>
  <c r="BP295" i="6"/>
  <c r="BP296" i="6" s="1"/>
  <c r="BP35" i="9"/>
  <c r="BP4" i="8"/>
  <c r="BP314" i="6"/>
  <c r="BP196" i="6"/>
  <c r="BP306" i="6"/>
  <c r="BP10" i="9"/>
  <c r="BP325" i="6"/>
  <c r="BP326" i="6" s="1"/>
  <c r="BP340" i="6"/>
  <c r="BP341" i="6" s="1"/>
  <c r="BP290" i="6"/>
  <c r="BP291" i="6" s="1"/>
  <c r="BP253" i="6"/>
  <c r="BP330" i="6"/>
  <c r="BP331" i="6" s="1"/>
  <c r="BP140" i="6"/>
  <c r="BP86" i="6"/>
  <c r="BP33" i="6"/>
  <c r="BP182" i="6"/>
  <c r="BP93" i="6"/>
  <c r="BP40" i="6"/>
  <c r="BP126" i="6"/>
  <c r="BP100" i="6"/>
  <c r="BP46" i="6"/>
  <c r="BP60" i="6"/>
  <c r="BP66" i="6"/>
  <c r="BP269" i="6"/>
  <c r="BP73" i="6"/>
  <c r="BP53" i="6"/>
  <c r="BP23" i="6"/>
  <c r="BP24" i="6" s="1"/>
  <c r="BP3" i="4" s="1"/>
  <c r="BP80" i="6"/>
  <c r="BP4" i="6"/>
  <c r="BP106" i="6"/>
  <c r="BQ28" i="6"/>
  <c r="BQ4" i="4" s="1"/>
  <c r="BP11" i="6"/>
  <c r="BP12" i="6" s="1"/>
  <c r="BO13" i="21"/>
  <c r="BM218" i="6"/>
  <c r="BM197" i="6"/>
  <c r="BO34" i="6"/>
  <c r="BO41" i="6"/>
  <c r="BO47" i="6"/>
  <c r="BO87" i="6"/>
  <c r="BO74" i="6"/>
  <c r="BO81" i="6"/>
  <c r="BN2" i="40"/>
  <c r="BN2" i="37"/>
  <c r="BN2" i="34"/>
  <c r="BN2" i="31"/>
  <c r="BN2" i="28"/>
  <c r="BN2" i="21"/>
  <c r="BN2" i="22"/>
  <c r="BN60" i="20"/>
  <c r="BN61" i="20" s="1"/>
  <c r="BN67" i="20" s="1"/>
  <c r="BN2" i="20"/>
  <c r="BN2" i="17"/>
  <c r="BN2" i="19"/>
  <c r="BN2" i="18"/>
  <c r="BN2" i="14"/>
  <c r="BN2" i="15"/>
  <c r="BN2" i="13"/>
  <c r="BN2" i="12"/>
  <c r="BN2" i="11"/>
  <c r="BN243" i="6"/>
  <c r="BN245" i="6" s="1"/>
  <c r="BN21" i="18" s="1"/>
  <c r="BN2" i="10"/>
  <c r="BN2" i="9"/>
  <c r="BN2" i="7"/>
  <c r="BN227" i="6"/>
  <c r="BN229" i="6" s="1"/>
  <c r="BN21" i="17" s="1"/>
  <c r="BN203" i="6"/>
  <c r="BN2" i="8"/>
  <c r="BN2" i="16"/>
  <c r="BN313" i="6"/>
  <c r="BN315" i="6" s="1"/>
  <c r="BN307" i="6"/>
  <c r="BO308" i="6" s="1"/>
  <c r="BN235" i="6"/>
  <c r="BN237" i="6" s="1"/>
  <c r="BN20" i="16" s="1"/>
  <c r="BN147" i="6"/>
  <c r="BN72" i="6"/>
  <c r="BN176" i="6"/>
  <c r="BN178" i="6" s="1"/>
  <c r="BN183" i="6" s="1"/>
  <c r="BN184" i="6" s="1"/>
  <c r="BN188" i="6" s="1"/>
  <c r="BN170" i="6"/>
  <c r="BN171" i="6" s="1"/>
  <c r="BN120" i="6"/>
  <c r="BN122" i="6" s="1"/>
  <c r="BN127" i="6" s="1"/>
  <c r="BN128" i="6" s="1"/>
  <c r="BN132" i="6" s="1"/>
  <c r="BN276" i="6"/>
  <c r="BN278" i="6" s="1"/>
  <c r="BN270" i="6" s="1"/>
  <c r="BN271" i="6" s="1"/>
  <c r="BN264" i="6" s="1"/>
  <c r="BN114" i="6"/>
  <c r="BN115" i="6" s="1"/>
  <c r="BN92" i="6"/>
  <c r="BN2" i="6"/>
  <c r="BN32" i="6"/>
  <c r="BN52" i="6"/>
  <c r="BO53" i="20"/>
  <c r="BO54" i="20" s="1"/>
  <c r="BO58" i="20" s="1"/>
  <c r="BO59" i="20"/>
  <c r="BO228" i="6"/>
  <c r="BO236" i="6"/>
  <c r="BO284" i="6"/>
  <c r="BO285" i="6" s="1"/>
  <c r="BO277" i="6"/>
  <c r="BO244" i="6"/>
  <c r="BO177" i="6"/>
  <c r="BO121" i="6"/>
  <c r="BO18" i="6"/>
  <c r="BO19" i="6" s="1"/>
  <c r="BO2" i="4" s="1"/>
  <c r="BQ4" i="40" l="1"/>
  <c r="BQ4" i="37"/>
  <c r="BQ4" i="34"/>
  <c r="BQ4" i="31"/>
  <c r="BQ4" i="28"/>
  <c r="BQ4" i="22"/>
  <c r="BQ10" i="21"/>
  <c r="BQ74" i="20"/>
  <c r="BQ4" i="21"/>
  <c r="BQ4" i="20"/>
  <c r="BQ32" i="20"/>
  <c r="BQ28" i="19"/>
  <c r="BQ4" i="19"/>
  <c r="BQ10" i="18"/>
  <c r="BQ4" i="18"/>
  <c r="BQ4" i="17"/>
  <c r="BQ10" i="17"/>
  <c r="BQ4" i="16"/>
  <c r="BQ10" i="16"/>
  <c r="BQ40" i="15"/>
  <c r="BQ4" i="15"/>
  <c r="BQ27" i="15"/>
  <c r="BQ4" i="14"/>
  <c r="BQ25" i="13"/>
  <c r="BQ4" i="13"/>
  <c r="BQ60" i="12"/>
  <c r="BQ4" i="11"/>
  <c r="BQ50" i="12"/>
  <c r="BQ17" i="13"/>
  <c r="BQ4" i="12"/>
  <c r="BQ37" i="12"/>
  <c r="BQ35" i="9"/>
  <c r="BQ4" i="8"/>
  <c r="BQ314" i="6"/>
  <c r="BQ196" i="6"/>
  <c r="BQ306" i="6"/>
  <c r="BQ10" i="9"/>
  <c r="BQ325" i="6"/>
  <c r="BQ326" i="6" s="1"/>
  <c r="BQ23" i="11"/>
  <c r="BQ16" i="10"/>
  <c r="BQ4" i="10"/>
  <c r="BQ340" i="6"/>
  <c r="BQ341" i="6" s="1"/>
  <c r="BQ290" i="6"/>
  <c r="BQ291" i="6" s="1"/>
  <c r="BQ253" i="6"/>
  <c r="BQ330" i="6"/>
  <c r="BQ331" i="6" s="1"/>
  <c r="BQ269" i="6"/>
  <c r="BQ4" i="7"/>
  <c r="BQ140" i="6"/>
  <c r="BQ182" i="6"/>
  <c r="BQ93" i="6"/>
  <c r="BQ40" i="6"/>
  <c r="BQ295" i="6"/>
  <c r="BQ296" i="6" s="1"/>
  <c r="BQ126" i="6"/>
  <c r="BQ100" i="6"/>
  <c r="BQ46" i="6"/>
  <c r="BQ4" i="9"/>
  <c r="BQ106" i="6"/>
  <c r="BQ53" i="6"/>
  <c r="BQ345" i="6"/>
  <c r="BQ346" i="6" s="1"/>
  <c r="BQ66" i="6"/>
  <c r="BQ73" i="6"/>
  <c r="BQ23" i="6"/>
  <c r="BQ24" i="6" s="1"/>
  <c r="BQ3" i="4" s="1"/>
  <c r="BQ80" i="6"/>
  <c r="BQ60" i="6"/>
  <c r="BQ86" i="6"/>
  <c r="BQ4" i="6"/>
  <c r="BQ33" i="6"/>
  <c r="BQ11" i="6"/>
  <c r="BQ12" i="6" s="1"/>
  <c r="BP94" i="6"/>
  <c r="BP101" i="6"/>
  <c r="BP107" i="6"/>
  <c r="BN197" i="6"/>
  <c r="BN218" i="6"/>
  <c r="BN54" i="6"/>
  <c r="BN61" i="6"/>
  <c r="BN67" i="6"/>
  <c r="BO26" i="31"/>
  <c r="BP11" i="21"/>
  <c r="BP13" i="21" s="1"/>
  <c r="BO29" i="9"/>
  <c r="BP41" i="6"/>
  <c r="BP47" i="6"/>
  <c r="BP34" i="6"/>
  <c r="BP3" i="40"/>
  <c r="BP3" i="37"/>
  <c r="BP3" i="34"/>
  <c r="BP3" i="31"/>
  <c r="BP3" i="28"/>
  <c r="BP3" i="21"/>
  <c r="BP3" i="22"/>
  <c r="BP3" i="20"/>
  <c r="BP3" i="18"/>
  <c r="BP3" i="17"/>
  <c r="BP3" i="19"/>
  <c r="BP3" i="16"/>
  <c r="BP3" i="14"/>
  <c r="BP3" i="13"/>
  <c r="BP3" i="15"/>
  <c r="BP3" i="12"/>
  <c r="BP3" i="10"/>
  <c r="BP3" i="11"/>
  <c r="BP3" i="9"/>
  <c r="BP3" i="7"/>
  <c r="BP3" i="8"/>
  <c r="BP79" i="6"/>
  <c r="BP39" i="6"/>
  <c r="BP59" i="6"/>
  <c r="BP99" i="6"/>
  <c r="BP3" i="6"/>
  <c r="BP74" i="6"/>
  <c r="BP87" i="6"/>
  <c r="BP81" i="6"/>
  <c r="BP53" i="20"/>
  <c r="BP54" i="20" s="1"/>
  <c r="BP58" i="20" s="1"/>
  <c r="BP59" i="20"/>
  <c r="BP236" i="6"/>
  <c r="BP284" i="6"/>
  <c r="BP285" i="6" s="1"/>
  <c r="BP277" i="6"/>
  <c r="BP244" i="6"/>
  <c r="BP177" i="6"/>
  <c r="BP121" i="6"/>
  <c r="BP228" i="6"/>
  <c r="BP18" i="6"/>
  <c r="BP19" i="6" s="1"/>
  <c r="BP2" i="4" s="1"/>
  <c r="BO2" i="40"/>
  <c r="BO2" i="37"/>
  <c r="BO2" i="34"/>
  <c r="BO2" i="31"/>
  <c r="BO2" i="28"/>
  <c r="BO2" i="21"/>
  <c r="BO2" i="22"/>
  <c r="BO2" i="20"/>
  <c r="BO60" i="20"/>
  <c r="BO61" i="20" s="1"/>
  <c r="BO67" i="20" s="1"/>
  <c r="BO2" i="19"/>
  <c r="BO2" i="18"/>
  <c r="BO2" i="17"/>
  <c r="BO2" i="16"/>
  <c r="BO2" i="15"/>
  <c r="BO2" i="13"/>
  <c r="BO2" i="14"/>
  <c r="BO2" i="11"/>
  <c r="BO2" i="10"/>
  <c r="BO2" i="9"/>
  <c r="BO2" i="7"/>
  <c r="BO227" i="6"/>
  <c r="BO229" i="6" s="1"/>
  <c r="BO21" i="17" s="1"/>
  <c r="BO203" i="6"/>
  <c r="BO2" i="8"/>
  <c r="BO313" i="6"/>
  <c r="BO315" i="6" s="1"/>
  <c r="BO307" i="6"/>
  <c r="BP308" i="6" s="1"/>
  <c r="BO2" i="12"/>
  <c r="BO235" i="6"/>
  <c r="BO237" i="6" s="1"/>
  <c r="BO20" i="16" s="1"/>
  <c r="BO276" i="6"/>
  <c r="BO278" i="6" s="1"/>
  <c r="BO270" i="6" s="1"/>
  <c r="BO271" i="6" s="1"/>
  <c r="BO264" i="6" s="1"/>
  <c r="BO147" i="6"/>
  <c r="BO72" i="6"/>
  <c r="BO176" i="6"/>
  <c r="BO178" i="6" s="1"/>
  <c r="BO183" i="6" s="1"/>
  <c r="BO184" i="6" s="1"/>
  <c r="BO188" i="6" s="1"/>
  <c r="BO170" i="6"/>
  <c r="BO171" i="6" s="1"/>
  <c r="BO120" i="6"/>
  <c r="BO122" i="6" s="1"/>
  <c r="BO127" i="6" s="1"/>
  <c r="BO128" i="6" s="1"/>
  <c r="BO132" i="6" s="1"/>
  <c r="BO32" i="6"/>
  <c r="BO243" i="6"/>
  <c r="BO245" i="6" s="1"/>
  <c r="BO21" i="18" s="1"/>
  <c r="BO114" i="6"/>
  <c r="BO115" i="6" s="1"/>
  <c r="BO52" i="6"/>
  <c r="BO92" i="6"/>
  <c r="BO2" i="6"/>
  <c r="BN141" i="6"/>
  <c r="BN162" i="6"/>
  <c r="BP26" i="31" l="1"/>
  <c r="BQ11" i="21"/>
  <c r="BP29" i="9"/>
  <c r="BQ101" i="6"/>
  <c r="BN102" i="6" s="1"/>
  <c r="BQ107" i="6"/>
  <c r="BQ94" i="6"/>
  <c r="K26" i="33"/>
  <c r="J15" i="39"/>
  <c r="L26" i="33"/>
  <c r="M26" i="33"/>
  <c r="P26" i="33"/>
  <c r="N26" i="33"/>
  <c r="O26" i="33"/>
  <c r="Q26" i="33"/>
  <c r="R26" i="33"/>
  <c r="J14" i="26"/>
  <c r="K9" i="26"/>
  <c r="K14" i="26"/>
  <c r="K28" i="25"/>
  <c r="J28" i="25"/>
  <c r="J9" i="26"/>
  <c r="K18" i="26"/>
  <c r="L28" i="25"/>
  <c r="M28" i="25"/>
  <c r="N28" i="25"/>
  <c r="BQ95" i="6"/>
  <c r="J28" i="36"/>
  <c r="J9" i="39"/>
  <c r="K9" i="39"/>
  <c r="K14" i="39"/>
  <c r="K18" i="39"/>
  <c r="K28" i="36"/>
  <c r="J13" i="39"/>
  <c r="L9" i="39"/>
  <c r="L18" i="39"/>
  <c r="J14" i="39"/>
  <c r="L14" i="39"/>
  <c r="M28" i="36"/>
  <c r="M18" i="39"/>
  <c r="M14" i="39"/>
  <c r="M9" i="39"/>
  <c r="L28" i="36"/>
  <c r="N28" i="36"/>
  <c r="O28" i="36"/>
  <c r="P28" i="36"/>
  <c r="R28" i="36"/>
  <c r="Q28" i="36"/>
  <c r="S28" i="36"/>
  <c r="BP95" i="6"/>
  <c r="BQ108" i="6"/>
  <c r="BQ13" i="21"/>
  <c r="BO108" i="6"/>
  <c r="BN108" i="6"/>
  <c r="BO197" i="6"/>
  <c r="BO218" i="6"/>
  <c r="BL108" i="6"/>
  <c r="BQ3" i="40"/>
  <c r="BQ3" i="37"/>
  <c r="BQ3" i="34"/>
  <c r="BQ3" i="31"/>
  <c r="BQ3" i="28"/>
  <c r="BQ3" i="21"/>
  <c r="BQ3" i="22"/>
  <c r="BQ3" i="20"/>
  <c r="BQ3" i="19"/>
  <c r="BQ3" i="18"/>
  <c r="BQ3" i="17"/>
  <c r="BQ3" i="16"/>
  <c r="BQ3" i="14"/>
  <c r="BQ3" i="15"/>
  <c r="BQ3" i="13"/>
  <c r="BQ3" i="12"/>
  <c r="BQ3" i="10"/>
  <c r="BQ3" i="11"/>
  <c r="BQ3" i="9"/>
  <c r="BQ3" i="7"/>
  <c r="BQ3" i="8"/>
  <c r="BQ39" i="6"/>
  <c r="BQ99" i="6"/>
  <c r="BQ59" i="6"/>
  <c r="BQ3" i="6"/>
  <c r="BQ79" i="6"/>
  <c r="H24" i="6"/>
  <c r="BO61" i="6"/>
  <c r="BO67" i="6"/>
  <c r="BO54" i="6"/>
  <c r="BM108" i="6"/>
  <c r="BP2" i="40"/>
  <c r="BP2" i="37"/>
  <c r="BP2" i="34"/>
  <c r="BP2" i="31"/>
  <c r="BP2" i="28"/>
  <c r="BP2" i="22"/>
  <c r="BP2" i="21"/>
  <c r="BP60" i="20"/>
  <c r="BP2" i="20"/>
  <c r="BP2" i="19"/>
  <c r="BP2" i="18"/>
  <c r="BP2" i="17"/>
  <c r="BP2" i="16"/>
  <c r="BP2" i="15"/>
  <c r="BP2" i="14"/>
  <c r="BP2" i="13"/>
  <c r="BP2" i="11"/>
  <c r="BP2" i="12"/>
  <c r="BP2" i="10"/>
  <c r="BP2" i="9"/>
  <c r="BP2" i="7"/>
  <c r="BP227" i="6"/>
  <c r="BP229" i="6" s="1"/>
  <c r="BP21" i="17" s="1"/>
  <c r="BP203" i="6"/>
  <c r="BP2" i="8"/>
  <c r="BP313" i="6"/>
  <c r="BP315" i="6" s="1"/>
  <c r="BP307" i="6"/>
  <c r="BQ308" i="6" s="1"/>
  <c r="BP235" i="6"/>
  <c r="BP237" i="6" s="1"/>
  <c r="BP20" i="16" s="1"/>
  <c r="BP276" i="6"/>
  <c r="BP278" i="6" s="1"/>
  <c r="BP270" i="6" s="1"/>
  <c r="BP271" i="6" s="1"/>
  <c r="BP264" i="6" s="1"/>
  <c r="BP243" i="6"/>
  <c r="BP245" i="6" s="1"/>
  <c r="BP21" i="18" s="1"/>
  <c r="BP176" i="6"/>
  <c r="BP178" i="6" s="1"/>
  <c r="BP183" i="6" s="1"/>
  <c r="BP184" i="6" s="1"/>
  <c r="BP188" i="6" s="1"/>
  <c r="BP170" i="6"/>
  <c r="BP171" i="6" s="1"/>
  <c r="BP120" i="6"/>
  <c r="BP122" i="6" s="1"/>
  <c r="BP127" i="6" s="1"/>
  <c r="BP128" i="6" s="1"/>
  <c r="BP132" i="6" s="1"/>
  <c r="BP114" i="6"/>
  <c r="BP115" i="6" s="1"/>
  <c r="BP92" i="6"/>
  <c r="BP52" i="6"/>
  <c r="BP32" i="6"/>
  <c r="BP2" i="6"/>
  <c r="BP147" i="6"/>
  <c r="BP72" i="6"/>
  <c r="J13" i="38"/>
  <c r="K14" i="38"/>
  <c r="J9" i="38"/>
  <c r="J14" i="38"/>
  <c r="J18" i="35"/>
  <c r="K28" i="35"/>
  <c r="J18" i="38"/>
  <c r="K9" i="38"/>
  <c r="J28" i="35"/>
  <c r="L9" i="38"/>
  <c r="L14" i="38"/>
  <c r="K18" i="38"/>
  <c r="K13" i="38"/>
  <c r="K18" i="35"/>
  <c r="M14" i="38"/>
  <c r="M28" i="35"/>
  <c r="M9" i="38"/>
  <c r="L28" i="35"/>
  <c r="O14" i="38"/>
  <c r="O18" i="38"/>
  <c r="J20" i="35"/>
  <c r="O9" i="38"/>
  <c r="N28" i="35"/>
  <c r="N14" i="38"/>
  <c r="N9" i="38"/>
  <c r="N18" i="38"/>
  <c r="O28" i="35"/>
  <c r="J16" i="38"/>
  <c r="P18" i="38"/>
  <c r="P9" i="38"/>
  <c r="P14" i="38"/>
  <c r="P28" i="35"/>
  <c r="J8" i="29"/>
  <c r="Q14" i="38"/>
  <c r="Q18" i="38"/>
  <c r="J19" i="35"/>
  <c r="R28" i="35"/>
  <c r="Q28" i="35"/>
  <c r="Q9" i="38"/>
  <c r="U28" i="35"/>
  <c r="S28" i="35"/>
  <c r="J17" i="29"/>
  <c r="J24" i="35"/>
  <c r="T28" i="35"/>
  <c r="V28" i="35"/>
  <c r="W28" i="35"/>
  <c r="X28" i="35"/>
  <c r="AB28" i="35"/>
  <c r="Y28" i="35"/>
  <c r="Z28" i="35"/>
  <c r="AA28" i="35"/>
  <c r="AC28" i="35"/>
  <c r="BQ47" i="6"/>
  <c r="BP48" i="6" s="1"/>
  <c r="BQ34" i="6"/>
  <c r="BQ35" i="6" s="1"/>
  <c r="BQ41" i="6"/>
  <c r="J26" i="24"/>
  <c r="L26" i="24"/>
  <c r="K26" i="24"/>
  <c r="M26" i="24"/>
  <c r="N26" i="24"/>
  <c r="BO141" i="6"/>
  <c r="BO162" i="6"/>
  <c r="BP61" i="20"/>
  <c r="BP67" i="20" s="1"/>
  <c r="BO75" i="6"/>
  <c r="BP108" i="6"/>
  <c r="BQ53" i="20"/>
  <c r="BQ54" i="20" s="1"/>
  <c r="BQ58" i="20" s="1"/>
  <c r="BQ59" i="20"/>
  <c r="BQ236" i="6"/>
  <c r="BQ284" i="6"/>
  <c r="BQ285" i="6" s="1"/>
  <c r="H285" i="6" s="1"/>
  <c r="BQ277" i="6"/>
  <c r="BQ244" i="6"/>
  <c r="BQ228" i="6"/>
  <c r="BQ121" i="6"/>
  <c r="BQ177" i="6"/>
  <c r="BQ18" i="6"/>
  <c r="BQ19" i="6" s="1"/>
  <c r="BQ2" i="4" s="1"/>
  <c r="BQ74" i="6"/>
  <c r="BM75" i="6" s="1"/>
  <c r="BQ81" i="6"/>
  <c r="BQ82" i="6" s="1"/>
  <c r="BQ87" i="6"/>
  <c r="BO88" i="6" s="1"/>
  <c r="J26" i="32"/>
  <c r="K17" i="38"/>
  <c r="L26" i="32"/>
  <c r="M26" i="32"/>
  <c r="O26" i="32"/>
  <c r="N26" i="32"/>
  <c r="P26" i="32"/>
  <c r="J17" i="38"/>
  <c r="J15" i="38"/>
  <c r="Q26" i="32"/>
  <c r="R26" i="32"/>
  <c r="T26" i="32"/>
  <c r="J10" i="32"/>
  <c r="S26" i="32"/>
  <c r="J14" i="32"/>
  <c r="V26" i="32"/>
  <c r="U26" i="32"/>
  <c r="J17" i="32"/>
  <c r="W26" i="32"/>
  <c r="Y26" i="32"/>
  <c r="X26" i="32"/>
  <c r="AB26" i="32"/>
  <c r="Z26" i="32"/>
  <c r="AA26" i="32"/>
  <c r="K14" i="32"/>
  <c r="AC26" i="32"/>
  <c r="K17" i="32"/>
  <c r="BQ75" i="6" l="1"/>
  <c r="BM82" i="6"/>
  <c r="J42" i="6"/>
  <c r="L42" i="6"/>
  <c r="K42" i="6"/>
  <c r="M42" i="6"/>
  <c r="O42" i="6"/>
  <c r="N42" i="6"/>
  <c r="R42" i="6"/>
  <c r="P42" i="6"/>
  <c r="Q42" i="6"/>
  <c r="U42" i="6"/>
  <c r="S42" i="6"/>
  <c r="T42" i="6"/>
  <c r="W42" i="6"/>
  <c r="V42" i="6"/>
  <c r="X42" i="6"/>
  <c r="Y42" i="6"/>
  <c r="AA42" i="6"/>
  <c r="Z42" i="6"/>
  <c r="AC42" i="6"/>
  <c r="AB42" i="6"/>
  <c r="AD42" i="6"/>
  <c r="AE42" i="6"/>
  <c r="AF42" i="6"/>
  <c r="AG42" i="6"/>
  <c r="AH42" i="6"/>
  <c r="AJ42" i="6"/>
  <c r="AI42" i="6"/>
  <c r="AL42" i="6"/>
  <c r="AK42" i="6"/>
  <c r="AM42" i="6"/>
  <c r="AN42" i="6"/>
  <c r="AQ42" i="6"/>
  <c r="AO42" i="6"/>
  <c r="AP42" i="6"/>
  <c r="AR42" i="6"/>
  <c r="AS42" i="6"/>
  <c r="AU42" i="6"/>
  <c r="AT42" i="6"/>
  <c r="AV42" i="6"/>
  <c r="AW42" i="6"/>
  <c r="AX42" i="6"/>
  <c r="AY42" i="6"/>
  <c r="BA42" i="6"/>
  <c r="AZ42" i="6"/>
  <c r="BC42" i="6"/>
  <c r="BB42" i="6"/>
  <c r="BE42" i="6"/>
  <c r="BF42" i="6"/>
  <c r="BD42" i="6"/>
  <c r="BG42" i="6"/>
  <c r="BH42" i="6"/>
  <c r="BI42" i="6"/>
  <c r="BJ42" i="6"/>
  <c r="BP42" i="6"/>
  <c r="BK42" i="6"/>
  <c r="BL42" i="6"/>
  <c r="BQ102" i="6"/>
  <c r="BQ48" i="6"/>
  <c r="BO102" i="6"/>
  <c r="J35" i="6"/>
  <c r="L35" i="6"/>
  <c r="K35" i="6"/>
  <c r="M35" i="6"/>
  <c r="P35" i="6"/>
  <c r="O35" i="6"/>
  <c r="S35" i="6"/>
  <c r="R35" i="6"/>
  <c r="Q35" i="6"/>
  <c r="V35" i="6"/>
  <c r="T35" i="6"/>
  <c r="U35" i="6"/>
  <c r="W35" i="6"/>
  <c r="Y35" i="6"/>
  <c r="X35" i="6"/>
  <c r="AB35" i="6"/>
  <c r="Z35" i="6"/>
  <c r="AA35" i="6"/>
  <c r="AD35" i="6"/>
  <c r="AC35" i="6"/>
  <c r="AE35" i="6"/>
  <c r="AH35" i="6"/>
  <c r="AG35" i="6"/>
  <c r="AJ35" i="6"/>
  <c r="AF35" i="6"/>
  <c r="AI35" i="6"/>
  <c r="AK35" i="6"/>
  <c r="AL35" i="6"/>
  <c r="AN35" i="6"/>
  <c r="AM35" i="6"/>
  <c r="AQ35" i="6"/>
  <c r="AP35" i="6"/>
  <c r="AO35" i="6"/>
  <c r="AR35" i="6"/>
  <c r="AT35" i="6"/>
  <c r="AS35" i="6"/>
  <c r="AU35" i="6"/>
  <c r="AW35" i="6"/>
  <c r="AV35" i="6"/>
  <c r="AX35" i="6"/>
  <c r="AZ35" i="6"/>
  <c r="AY35" i="6"/>
  <c r="BB35" i="6"/>
  <c r="BA35" i="6"/>
  <c r="BD35" i="6"/>
  <c r="BC35" i="6"/>
  <c r="BE35" i="6"/>
  <c r="BF35" i="6"/>
  <c r="BI35" i="6"/>
  <c r="BG35" i="6"/>
  <c r="BH35" i="6"/>
  <c r="BJ35" i="6"/>
  <c r="BK35" i="6"/>
  <c r="BL35" i="6"/>
  <c r="BM35" i="6"/>
  <c r="BN35" i="6"/>
  <c r="H59" i="6"/>
  <c r="H79" i="6"/>
  <c r="H39" i="6"/>
  <c r="H99" i="6"/>
  <c r="J102" i="6"/>
  <c r="K102" i="6"/>
  <c r="L102" i="6"/>
  <c r="M102" i="6"/>
  <c r="O102" i="6"/>
  <c r="N102" i="6"/>
  <c r="P102" i="6"/>
  <c r="Q102" i="6"/>
  <c r="R102" i="6"/>
  <c r="S102" i="6"/>
  <c r="T102" i="6"/>
  <c r="U102" i="6"/>
  <c r="X102" i="6"/>
  <c r="W102" i="6"/>
  <c r="V102" i="6"/>
  <c r="Y102" i="6"/>
  <c r="AB102" i="6"/>
  <c r="Z102" i="6"/>
  <c r="AA102" i="6"/>
  <c r="AC102" i="6"/>
  <c r="AE102" i="6"/>
  <c r="AD102" i="6"/>
  <c r="AG102" i="6"/>
  <c r="AF102" i="6"/>
  <c r="AH102" i="6"/>
  <c r="AI102" i="6"/>
  <c r="AJ102" i="6"/>
  <c r="AL102" i="6"/>
  <c r="AK102" i="6"/>
  <c r="AM102" i="6"/>
  <c r="AN102" i="6"/>
  <c r="AO102" i="6"/>
  <c r="AP102" i="6"/>
  <c r="AS102" i="6"/>
  <c r="AR102" i="6"/>
  <c r="AQ102" i="6"/>
  <c r="AU102" i="6"/>
  <c r="AV102" i="6"/>
  <c r="AT102" i="6"/>
  <c r="AY102" i="6"/>
  <c r="AW102" i="6"/>
  <c r="AX102" i="6"/>
  <c r="AZ102" i="6"/>
  <c r="BB102" i="6"/>
  <c r="BA102" i="6"/>
  <c r="BC102" i="6"/>
  <c r="BD102" i="6"/>
  <c r="BE102" i="6"/>
  <c r="BG102" i="6"/>
  <c r="BF102" i="6"/>
  <c r="BI102" i="6"/>
  <c r="BH102" i="6"/>
  <c r="BJ102" i="6"/>
  <c r="BM102" i="6"/>
  <c r="BK102" i="6"/>
  <c r="BP102" i="6"/>
  <c r="BL102" i="6"/>
  <c r="K88" i="6"/>
  <c r="L88" i="6"/>
  <c r="M88" i="6"/>
  <c r="N88" i="6"/>
  <c r="O88" i="6"/>
  <c r="Q88" i="6"/>
  <c r="P88" i="6"/>
  <c r="R88" i="6"/>
  <c r="V88" i="6"/>
  <c r="S88" i="6"/>
  <c r="U88" i="6"/>
  <c r="T88" i="6"/>
  <c r="W88" i="6"/>
  <c r="Z88" i="6"/>
  <c r="Y88" i="6"/>
  <c r="X88" i="6"/>
  <c r="AB88" i="6"/>
  <c r="AA88" i="6"/>
  <c r="AE88" i="6"/>
  <c r="AD88" i="6"/>
  <c r="AC88" i="6"/>
  <c r="AF88" i="6"/>
  <c r="AH88" i="6"/>
  <c r="AG88" i="6"/>
  <c r="AK88" i="6"/>
  <c r="AI88" i="6"/>
  <c r="AJ88" i="6"/>
  <c r="AL88" i="6"/>
  <c r="AN88" i="6"/>
  <c r="AM88" i="6"/>
  <c r="AO88" i="6"/>
  <c r="AQ88" i="6"/>
  <c r="AR88" i="6"/>
  <c r="AP88" i="6"/>
  <c r="AS88" i="6"/>
  <c r="AT88" i="6"/>
  <c r="AV88" i="6"/>
  <c r="AU88" i="6"/>
  <c r="AX88" i="6"/>
  <c r="AW88" i="6"/>
  <c r="AY88" i="6"/>
  <c r="AZ88" i="6"/>
  <c r="BA88" i="6"/>
  <c r="BB88" i="6"/>
  <c r="BD88" i="6"/>
  <c r="BC88" i="6"/>
  <c r="BF88" i="6"/>
  <c r="BE88" i="6"/>
  <c r="BG88" i="6"/>
  <c r="BH88" i="6"/>
  <c r="BI88" i="6"/>
  <c r="BJ88" i="6"/>
  <c r="BK88" i="6"/>
  <c r="BL88" i="6"/>
  <c r="BN88" i="6"/>
  <c r="BP88" i="6"/>
  <c r="J48" i="6"/>
  <c r="K48" i="6"/>
  <c r="L48" i="6"/>
  <c r="M48" i="6"/>
  <c r="N48" i="6"/>
  <c r="O48" i="6"/>
  <c r="Q48" i="6"/>
  <c r="P48" i="6"/>
  <c r="R48" i="6"/>
  <c r="S48" i="6"/>
  <c r="T48" i="6"/>
  <c r="U48" i="6"/>
  <c r="W48" i="6"/>
  <c r="V48" i="6"/>
  <c r="X48" i="6"/>
  <c r="Y48" i="6"/>
  <c r="Z48" i="6"/>
  <c r="AA48" i="6"/>
  <c r="AB48" i="6"/>
  <c r="AC48" i="6"/>
  <c r="AE48" i="6"/>
  <c r="AD48" i="6"/>
  <c r="AG48" i="6"/>
  <c r="AF48" i="6"/>
  <c r="AH48" i="6"/>
  <c r="AJ48" i="6"/>
  <c r="AI48" i="6"/>
  <c r="AK48" i="6"/>
  <c r="AL48" i="6"/>
  <c r="AM48" i="6"/>
  <c r="AN48" i="6"/>
  <c r="AQ48" i="6"/>
  <c r="AO48" i="6"/>
  <c r="AP48" i="6"/>
  <c r="AR48" i="6"/>
  <c r="AS48" i="6"/>
  <c r="AU48" i="6"/>
  <c r="AT48" i="6"/>
  <c r="AW48" i="6"/>
  <c r="AX48" i="6"/>
  <c r="AV48" i="6"/>
  <c r="AY48" i="6"/>
  <c r="AZ48" i="6"/>
  <c r="BA48" i="6"/>
  <c r="BB48" i="6"/>
  <c r="BC48" i="6"/>
  <c r="BE48" i="6"/>
  <c r="BF48" i="6"/>
  <c r="BD48" i="6"/>
  <c r="BG48" i="6"/>
  <c r="BI48" i="6"/>
  <c r="BH48" i="6"/>
  <c r="BJ48" i="6"/>
  <c r="BK48" i="6"/>
  <c r="BL48" i="6"/>
  <c r="BM42" i="6"/>
  <c r="BQ42" i="6"/>
  <c r="BO42" i="6"/>
  <c r="K82" i="6"/>
  <c r="M82" i="6"/>
  <c r="L82" i="6"/>
  <c r="N82" i="6"/>
  <c r="O82" i="6"/>
  <c r="P82" i="6"/>
  <c r="Q82" i="6"/>
  <c r="R82" i="6"/>
  <c r="V82" i="6"/>
  <c r="S82" i="6"/>
  <c r="U82" i="6"/>
  <c r="T82" i="6"/>
  <c r="W82" i="6"/>
  <c r="Y82" i="6"/>
  <c r="X82" i="6"/>
  <c r="Z82" i="6"/>
  <c r="AA82" i="6"/>
  <c r="AB82" i="6"/>
  <c r="AC82" i="6"/>
  <c r="AD82" i="6"/>
  <c r="AE82" i="6"/>
  <c r="AF82" i="6"/>
  <c r="AH82" i="6"/>
  <c r="AG82" i="6"/>
  <c r="AI82" i="6"/>
  <c r="AJ82" i="6"/>
  <c r="AL82" i="6"/>
  <c r="AK82" i="6"/>
  <c r="AM82" i="6"/>
  <c r="AO82" i="6"/>
  <c r="AR82" i="6"/>
  <c r="AN82" i="6"/>
  <c r="AQ82" i="6"/>
  <c r="AP82" i="6"/>
  <c r="AS82" i="6"/>
  <c r="AT82" i="6"/>
  <c r="AU82" i="6"/>
  <c r="AV82" i="6"/>
  <c r="AY82" i="6"/>
  <c r="AW82" i="6"/>
  <c r="AX82" i="6"/>
  <c r="AZ82" i="6"/>
  <c r="BB82" i="6"/>
  <c r="BA82" i="6"/>
  <c r="BD82" i="6"/>
  <c r="BC82" i="6"/>
  <c r="BE82" i="6"/>
  <c r="BF82" i="6"/>
  <c r="BG82" i="6"/>
  <c r="BH82" i="6"/>
  <c r="BI82" i="6"/>
  <c r="BK82" i="6"/>
  <c r="BJ82" i="6"/>
  <c r="BL82" i="6"/>
  <c r="BP82" i="6"/>
  <c r="BO82" i="6"/>
  <c r="BM88" i="6"/>
  <c r="BP141" i="6"/>
  <c r="BP162" i="6"/>
  <c r="BP54" i="6"/>
  <c r="BP67" i="6"/>
  <c r="BP61" i="6"/>
  <c r="BN42" i="6"/>
  <c r="BN48" i="6"/>
  <c r="BO35" i="6"/>
  <c r="K75" i="6"/>
  <c r="L75" i="6"/>
  <c r="M75" i="6"/>
  <c r="N75" i="6"/>
  <c r="O75" i="6"/>
  <c r="P75" i="6"/>
  <c r="Q75" i="6"/>
  <c r="R75" i="6"/>
  <c r="S75" i="6"/>
  <c r="V75" i="6"/>
  <c r="T75" i="6"/>
  <c r="U75" i="6"/>
  <c r="W75" i="6"/>
  <c r="X75" i="6"/>
  <c r="Y75" i="6"/>
  <c r="Z75" i="6"/>
  <c r="AA75" i="6"/>
  <c r="AB75" i="6"/>
  <c r="AD75" i="6"/>
  <c r="AE75" i="6"/>
  <c r="AF75" i="6"/>
  <c r="AG75" i="6"/>
  <c r="AH75" i="6"/>
  <c r="AJ75" i="6"/>
  <c r="AI75" i="6"/>
  <c r="AK75" i="6"/>
  <c r="AL75" i="6"/>
  <c r="AM75" i="6"/>
  <c r="AN75" i="6"/>
  <c r="AP75" i="6"/>
  <c r="AR75" i="6"/>
  <c r="AO75" i="6"/>
  <c r="AQ75" i="6"/>
  <c r="AT75" i="6"/>
  <c r="AS75" i="6"/>
  <c r="AV75" i="6"/>
  <c r="AX75" i="6"/>
  <c r="AU75" i="6"/>
  <c r="AW75" i="6"/>
  <c r="AZ75" i="6"/>
  <c r="AY75" i="6"/>
  <c r="BA75" i="6"/>
  <c r="BD75" i="6"/>
  <c r="BC75" i="6"/>
  <c r="BB75" i="6"/>
  <c r="BE75" i="6"/>
  <c r="BF75" i="6"/>
  <c r="BH75" i="6"/>
  <c r="BG75" i="6"/>
  <c r="BI75" i="6"/>
  <c r="BK75" i="6"/>
  <c r="BL75" i="6"/>
  <c r="BJ75" i="6"/>
  <c r="BP75" i="6"/>
  <c r="BN75" i="6"/>
  <c r="BQ26" i="31"/>
  <c r="BQ29" i="9"/>
  <c r="J26" i="33"/>
  <c r="K26" i="32"/>
  <c r="S26" i="33"/>
  <c r="BO48" i="6"/>
  <c r="BQ2" i="40"/>
  <c r="BQ2" i="37"/>
  <c r="BQ2" i="34"/>
  <c r="BQ2" i="31"/>
  <c r="BQ2" i="28"/>
  <c r="BQ2" i="22"/>
  <c r="BQ2" i="21"/>
  <c r="BQ60" i="20"/>
  <c r="BQ61" i="20" s="1"/>
  <c r="BQ2" i="20"/>
  <c r="BQ2" i="19"/>
  <c r="BQ2" i="18"/>
  <c r="BQ2" i="17"/>
  <c r="BQ2" i="16"/>
  <c r="BQ2" i="15"/>
  <c r="BQ2" i="14"/>
  <c r="BQ2" i="13"/>
  <c r="BQ2" i="11"/>
  <c r="BQ2" i="12"/>
  <c r="BQ2" i="10"/>
  <c r="BQ2" i="8"/>
  <c r="BQ313" i="6"/>
  <c r="BQ315" i="6" s="1"/>
  <c r="BQ307" i="6"/>
  <c r="BQ235" i="6"/>
  <c r="BQ237" i="6" s="1"/>
  <c r="BQ276" i="6"/>
  <c r="BQ278" i="6" s="1"/>
  <c r="BQ243" i="6"/>
  <c r="BQ245" i="6" s="1"/>
  <c r="BQ203" i="6"/>
  <c r="BQ176" i="6"/>
  <c r="BQ178" i="6" s="1"/>
  <c r="BQ170" i="6"/>
  <c r="BQ171" i="6" s="1"/>
  <c r="BQ120" i="6"/>
  <c r="BQ122" i="6" s="1"/>
  <c r="BQ32" i="6"/>
  <c r="N35" i="6" s="1"/>
  <c r="BQ2" i="9"/>
  <c r="BQ114" i="6"/>
  <c r="BQ115" i="6" s="1"/>
  <c r="BQ92" i="6"/>
  <c r="BQ147" i="6"/>
  <c r="BQ2" i="7"/>
  <c r="BQ227" i="6"/>
  <c r="BQ229" i="6" s="1"/>
  <c r="BQ52" i="6"/>
  <c r="BQ2" i="6"/>
  <c r="BQ72" i="6"/>
  <c r="AC75" i="6" s="1"/>
  <c r="BP197" i="6"/>
  <c r="BP218" i="6"/>
  <c r="BP35" i="6"/>
  <c r="BQ88" i="6"/>
  <c r="K95" i="6"/>
  <c r="J95" i="6"/>
  <c r="L95" i="6"/>
  <c r="M95" i="6"/>
  <c r="N95" i="6"/>
  <c r="P95" i="6"/>
  <c r="O95" i="6"/>
  <c r="R95" i="6"/>
  <c r="Q95" i="6"/>
  <c r="U95" i="6"/>
  <c r="S95" i="6"/>
  <c r="W95" i="6"/>
  <c r="T95" i="6"/>
  <c r="V95" i="6"/>
  <c r="Z95" i="6"/>
  <c r="AA95" i="6"/>
  <c r="X95" i="6"/>
  <c r="Y95" i="6"/>
  <c r="AB95" i="6"/>
  <c r="AD95" i="6"/>
  <c r="AC95" i="6"/>
  <c r="AE95" i="6"/>
  <c r="AF95" i="6"/>
  <c r="AH95" i="6"/>
  <c r="AJ95" i="6"/>
  <c r="AG95" i="6"/>
  <c r="AI95" i="6"/>
  <c r="AL95" i="6"/>
  <c r="AK95" i="6"/>
  <c r="AN95" i="6"/>
  <c r="AM95" i="6"/>
  <c r="AO95" i="6"/>
  <c r="AP95" i="6"/>
  <c r="AR95" i="6"/>
  <c r="AQ95" i="6"/>
  <c r="AS95" i="6"/>
  <c r="AU95" i="6"/>
  <c r="AT95" i="6"/>
  <c r="AV95" i="6"/>
  <c r="AX95" i="6"/>
  <c r="AW95" i="6"/>
  <c r="AY95" i="6"/>
  <c r="AZ95" i="6"/>
  <c r="BA95" i="6"/>
  <c r="BB95" i="6"/>
  <c r="BC95" i="6"/>
  <c r="BE95" i="6"/>
  <c r="BD95" i="6"/>
  <c r="BG95" i="6"/>
  <c r="BF95" i="6"/>
  <c r="BK95" i="6"/>
  <c r="BH95" i="6"/>
  <c r="BI95" i="6"/>
  <c r="BJ95" i="6"/>
  <c r="BL95" i="6"/>
  <c r="BO95" i="6"/>
  <c r="BM95" i="6"/>
  <c r="BN82" i="6"/>
  <c r="BM48" i="6"/>
  <c r="J108" i="6"/>
  <c r="K108" i="6"/>
  <c r="L108" i="6"/>
  <c r="N108" i="6"/>
  <c r="M108" i="6"/>
  <c r="O108" i="6"/>
  <c r="P108" i="6"/>
  <c r="R108" i="6"/>
  <c r="S108" i="6"/>
  <c r="Q108" i="6"/>
  <c r="U108" i="6"/>
  <c r="T108" i="6"/>
  <c r="V108" i="6"/>
  <c r="X108" i="6"/>
  <c r="W108" i="6"/>
  <c r="Y108" i="6"/>
  <c r="AC108" i="6"/>
  <c r="Z108" i="6"/>
  <c r="AB108" i="6"/>
  <c r="AD108" i="6"/>
  <c r="AA108" i="6"/>
  <c r="AF108" i="6"/>
  <c r="AE108" i="6"/>
  <c r="AH108" i="6"/>
  <c r="AG108" i="6"/>
  <c r="AJ108" i="6"/>
  <c r="AI108" i="6"/>
  <c r="AK108" i="6"/>
  <c r="AL108" i="6"/>
  <c r="AM108" i="6"/>
  <c r="AN108" i="6"/>
  <c r="AO108" i="6"/>
  <c r="AP108" i="6"/>
  <c r="AR108" i="6"/>
  <c r="AQ108" i="6"/>
  <c r="AS108" i="6"/>
  <c r="AT108" i="6"/>
  <c r="AU108" i="6"/>
  <c r="AV108" i="6"/>
  <c r="AX108" i="6"/>
  <c r="AW108" i="6"/>
  <c r="AZ108" i="6"/>
  <c r="AY108" i="6"/>
  <c r="BA108" i="6"/>
  <c r="BB108" i="6"/>
  <c r="BC108" i="6"/>
  <c r="BD108" i="6"/>
  <c r="BF108" i="6"/>
  <c r="BG108" i="6"/>
  <c r="BE108" i="6"/>
  <c r="BI108" i="6"/>
  <c r="BH108" i="6"/>
  <c r="BJ108" i="6"/>
  <c r="BK108" i="6"/>
  <c r="BN95" i="6"/>
  <c r="N2" i="26" l="1"/>
  <c r="N2" i="25"/>
  <c r="N2" i="24"/>
  <c r="N2" i="23"/>
  <c r="AC2" i="38"/>
  <c r="AC2" i="41"/>
  <c r="AC2" i="35"/>
  <c r="AC2" i="32"/>
  <c r="AC2" i="29"/>
  <c r="BQ67" i="20"/>
  <c r="H61" i="20"/>
  <c r="H67" i="20" s="1"/>
  <c r="N2" i="39"/>
  <c r="N2" i="42"/>
  <c r="N2" i="36"/>
  <c r="N2" i="33"/>
  <c r="N2" i="30"/>
  <c r="J3" i="42"/>
  <c r="J3" i="39"/>
  <c r="J3" i="36"/>
  <c r="J3" i="33"/>
  <c r="J3" i="30"/>
  <c r="H102" i="6"/>
  <c r="P4" i="42"/>
  <c r="P4" i="39"/>
  <c r="P4" i="36"/>
  <c r="P4" i="33"/>
  <c r="P4" i="30"/>
  <c r="M2" i="42"/>
  <c r="M2" i="39"/>
  <c r="M2" i="36"/>
  <c r="M2" i="33"/>
  <c r="M2" i="30"/>
  <c r="BQ183" i="6"/>
  <c r="BQ184" i="6" s="1"/>
  <c r="H178" i="6"/>
  <c r="H183" i="6" s="1"/>
  <c r="AB2" i="41"/>
  <c r="AB2" i="38"/>
  <c r="AB2" i="35"/>
  <c r="AB2" i="32"/>
  <c r="AB2" i="29"/>
  <c r="V2" i="41"/>
  <c r="V2" i="38"/>
  <c r="V2" i="35"/>
  <c r="V2" i="32"/>
  <c r="V2" i="29"/>
  <c r="L2" i="41"/>
  <c r="L2" i="38"/>
  <c r="L2" i="35"/>
  <c r="L2" i="32"/>
  <c r="L2" i="29"/>
  <c r="T3" i="41"/>
  <c r="T3" i="38"/>
  <c r="T3" i="35"/>
  <c r="T3" i="32"/>
  <c r="T3" i="29"/>
  <c r="N3" i="41"/>
  <c r="N3" i="38"/>
  <c r="N3" i="35"/>
  <c r="N3" i="32"/>
  <c r="N3" i="29"/>
  <c r="Y4" i="41"/>
  <c r="Y4" i="38"/>
  <c r="Y4" i="35"/>
  <c r="Y4" i="32"/>
  <c r="Y4" i="29"/>
  <c r="P4" i="41"/>
  <c r="P4" i="38"/>
  <c r="P4" i="35"/>
  <c r="P4" i="32"/>
  <c r="P4" i="29"/>
  <c r="Q3" i="39"/>
  <c r="Q3" i="42"/>
  <c r="Q3" i="36"/>
  <c r="Q3" i="33"/>
  <c r="Q3" i="30"/>
  <c r="R4" i="38"/>
  <c r="R4" i="41"/>
  <c r="R4" i="35"/>
  <c r="R4" i="32"/>
  <c r="R4" i="29"/>
  <c r="O4" i="39"/>
  <c r="O4" i="42"/>
  <c r="O4" i="36"/>
  <c r="O4" i="33"/>
  <c r="O4" i="30"/>
  <c r="S2" i="39"/>
  <c r="S2" i="42"/>
  <c r="S2" i="36"/>
  <c r="S2" i="33"/>
  <c r="S2" i="30"/>
  <c r="L2" i="42"/>
  <c r="L2" i="39"/>
  <c r="L2" i="36"/>
  <c r="L2" i="33"/>
  <c r="L2" i="30"/>
  <c r="AA2" i="41"/>
  <c r="AA2" i="38"/>
  <c r="AA2" i="35"/>
  <c r="AA2" i="32"/>
  <c r="AA2" i="29"/>
  <c r="S2" i="41"/>
  <c r="S2" i="38"/>
  <c r="S2" i="35"/>
  <c r="S2" i="32"/>
  <c r="S2" i="29"/>
  <c r="K2" i="41"/>
  <c r="K2" i="38"/>
  <c r="K2" i="35"/>
  <c r="K2" i="32"/>
  <c r="K2" i="29"/>
  <c r="AC3" i="41"/>
  <c r="AC3" i="38"/>
  <c r="AC3" i="35"/>
  <c r="AC3" i="32"/>
  <c r="AC3" i="29"/>
  <c r="U3" i="41"/>
  <c r="U3" i="38"/>
  <c r="U3" i="35"/>
  <c r="U3" i="32"/>
  <c r="U3" i="29"/>
  <c r="L3" i="41"/>
  <c r="L3" i="38"/>
  <c r="L3" i="35"/>
  <c r="L3" i="32"/>
  <c r="L3" i="29"/>
  <c r="Z4" i="41"/>
  <c r="Z4" i="38"/>
  <c r="Z4" i="35"/>
  <c r="Z4" i="32"/>
  <c r="Z4" i="29"/>
  <c r="Q4" i="41"/>
  <c r="Q4" i="38"/>
  <c r="Q4" i="35"/>
  <c r="Q4" i="32"/>
  <c r="Q4" i="29"/>
  <c r="P3" i="42"/>
  <c r="P3" i="39"/>
  <c r="P3" i="36"/>
  <c r="P3" i="33"/>
  <c r="P3" i="30"/>
  <c r="M3" i="26"/>
  <c r="M3" i="25"/>
  <c r="M3" i="23"/>
  <c r="M3" i="24"/>
  <c r="J2" i="26"/>
  <c r="J2" i="25"/>
  <c r="J2" i="23"/>
  <c r="J2" i="24"/>
  <c r="N3" i="23"/>
  <c r="N3" i="26"/>
  <c r="N3" i="25"/>
  <c r="N3" i="24"/>
  <c r="M4" i="42"/>
  <c r="M4" i="39"/>
  <c r="M4" i="36"/>
  <c r="M4" i="33"/>
  <c r="M4" i="30"/>
  <c r="J2" i="42"/>
  <c r="J2" i="39"/>
  <c r="J2" i="36"/>
  <c r="J2" i="33"/>
  <c r="J2" i="30"/>
  <c r="BQ21" i="18"/>
  <c r="H245" i="6"/>
  <c r="H21" i="18" s="1"/>
  <c r="Z2" i="38"/>
  <c r="Z2" i="41"/>
  <c r="Z2" i="35"/>
  <c r="Z2" i="32"/>
  <c r="Z2" i="29"/>
  <c r="R2" i="41"/>
  <c r="R2" i="38"/>
  <c r="R2" i="35"/>
  <c r="R2" i="32"/>
  <c r="R2" i="29"/>
  <c r="AB3" i="41"/>
  <c r="AB3" i="38"/>
  <c r="AB3" i="35"/>
  <c r="AB3" i="32"/>
  <c r="AB3" i="29"/>
  <c r="S3" i="41"/>
  <c r="S3" i="38"/>
  <c r="S3" i="35"/>
  <c r="S3" i="32"/>
  <c r="S3" i="29"/>
  <c r="M3" i="41"/>
  <c r="M3" i="38"/>
  <c r="M3" i="35"/>
  <c r="M3" i="32"/>
  <c r="M3" i="29"/>
  <c r="N4" i="26"/>
  <c r="N4" i="25"/>
  <c r="N4" i="24"/>
  <c r="N4" i="23"/>
  <c r="AC4" i="41"/>
  <c r="AC4" i="38"/>
  <c r="AC4" i="35"/>
  <c r="AC4" i="32"/>
  <c r="AC4" i="29"/>
  <c r="W4" i="41"/>
  <c r="W4" i="38"/>
  <c r="W4" i="35"/>
  <c r="W4" i="32"/>
  <c r="W4" i="29"/>
  <c r="O4" i="41"/>
  <c r="O4" i="38"/>
  <c r="O4" i="35"/>
  <c r="O4" i="32"/>
  <c r="O4" i="29"/>
  <c r="N3" i="42"/>
  <c r="N3" i="39"/>
  <c r="N3" i="36"/>
  <c r="N3" i="33"/>
  <c r="N3" i="30"/>
  <c r="K3" i="26"/>
  <c r="K3" i="25"/>
  <c r="K3" i="24"/>
  <c r="K3" i="23"/>
  <c r="O3" i="41"/>
  <c r="O3" i="38"/>
  <c r="O3" i="35"/>
  <c r="O3" i="32"/>
  <c r="O3" i="29"/>
  <c r="X4" i="41"/>
  <c r="X4" i="38"/>
  <c r="X4" i="35"/>
  <c r="X4" i="32"/>
  <c r="X4" i="29"/>
  <c r="R3" i="42"/>
  <c r="R3" i="39"/>
  <c r="R3" i="36"/>
  <c r="R3" i="33"/>
  <c r="R3" i="30"/>
  <c r="N4" i="42"/>
  <c r="N4" i="39"/>
  <c r="N4" i="36"/>
  <c r="N4" i="33"/>
  <c r="N4" i="30"/>
  <c r="Q2" i="42"/>
  <c r="Q2" i="39"/>
  <c r="Q2" i="36"/>
  <c r="Q2" i="33"/>
  <c r="Q2" i="30"/>
  <c r="K2" i="39"/>
  <c r="K2" i="42"/>
  <c r="K2" i="36"/>
  <c r="K2" i="33"/>
  <c r="K2" i="30"/>
  <c r="BQ162" i="6"/>
  <c r="BQ141" i="6"/>
  <c r="H115" i="6"/>
  <c r="BQ270" i="6"/>
  <c r="BQ271" i="6" s="1"/>
  <c r="H278" i="6"/>
  <c r="H270" i="6" s="1"/>
  <c r="Y2" i="41"/>
  <c r="Y2" i="38"/>
  <c r="Y2" i="35"/>
  <c r="Y2" i="32"/>
  <c r="Y2" i="29"/>
  <c r="Q2" i="41"/>
  <c r="Q2" i="38"/>
  <c r="Q2" i="35"/>
  <c r="Q2" i="32"/>
  <c r="Q2" i="29"/>
  <c r="AA3" i="41"/>
  <c r="AA3" i="38"/>
  <c r="AA3" i="35"/>
  <c r="AA3" i="32"/>
  <c r="AA3" i="29"/>
  <c r="V3" i="38"/>
  <c r="V3" i="41"/>
  <c r="V3" i="35"/>
  <c r="V3" i="32"/>
  <c r="V3" i="29"/>
  <c r="K3" i="41"/>
  <c r="K3" i="38"/>
  <c r="K3" i="35"/>
  <c r="K3" i="32"/>
  <c r="K3" i="29"/>
  <c r="H82" i="6"/>
  <c r="M4" i="25"/>
  <c r="M4" i="24"/>
  <c r="M4" i="23"/>
  <c r="M4" i="26"/>
  <c r="T4" i="41"/>
  <c r="T4" i="38"/>
  <c r="T4" i="35"/>
  <c r="T4" i="32"/>
  <c r="T4" i="29"/>
  <c r="N4" i="41"/>
  <c r="N4" i="38"/>
  <c r="N4" i="35"/>
  <c r="N4" i="32"/>
  <c r="N4" i="29"/>
  <c r="O3" i="42"/>
  <c r="O3" i="39"/>
  <c r="O3" i="36"/>
  <c r="O3" i="33"/>
  <c r="O3" i="30"/>
  <c r="L3" i="26"/>
  <c r="L3" i="25"/>
  <c r="L3" i="24"/>
  <c r="L3" i="23"/>
  <c r="R4" i="39"/>
  <c r="R4" i="42"/>
  <c r="R4" i="36"/>
  <c r="R4" i="33"/>
  <c r="R4" i="30"/>
  <c r="M2" i="41"/>
  <c r="M2" i="38"/>
  <c r="M2" i="35"/>
  <c r="M2" i="32"/>
  <c r="M2" i="29"/>
  <c r="L4" i="42"/>
  <c r="L4" i="39"/>
  <c r="L4" i="36"/>
  <c r="L4" i="33"/>
  <c r="L4" i="30"/>
  <c r="R2" i="42"/>
  <c r="R2" i="39"/>
  <c r="R2" i="36"/>
  <c r="R2" i="33"/>
  <c r="R2" i="30"/>
  <c r="BQ20" i="16"/>
  <c r="H237" i="6"/>
  <c r="H20" i="16" s="1"/>
  <c r="X2" i="41"/>
  <c r="X2" i="38"/>
  <c r="X2" i="35"/>
  <c r="X2" i="32"/>
  <c r="X2" i="29"/>
  <c r="P2" i="41"/>
  <c r="P2" i="38"/>
  <c r="P2" i="35"/>
  <c r="P2" i="32"/>
  <c r="P2" i="29"/>
  <c r="Z3" i="41"/>
  <c r="Z3" i="38"/>
  <c r="Z3" i="35"/>
  <c r="Z3" i="32"/>
  <c r="Z3" i="29"/>
  <c r="R3" i="41"/>
  <c r="R3" i="38"/>
  <c r="R3" i="35"/>
  <c r="R3" i="32"/>
  <c r="R3" i="29"/>
  <c r="L4" i="26"/>
  <c r="L4" i="25"/>
  <c r="L4" i="24"/>
  <c r="L4" i="23"/>
  <c r="U4" i="38"/>
  <c r="U4" i="41"/>
  <c r="U4" i="35"/>
  <c r="U4" i="32"/>
  <c r="U4" i="29"/>
  <c r="M4" i="41"/>
  <c r="M4" i="38"/>
  <c r="M4" i="35"/>
  <c r="M4" i="32"/>
  <c r="M4" i="29"/>
  <c r="M3" i="42"/>
  <c r="M3" i="39"/>
  <c r="M3" i="36"/>
  <c r="M3" i="33"/>
  <c r="M3" i="30"/>
  <c r="M2" i="26"/>
  <c r="M2" i="25"/>
  <c r="M2" i="24"/>
  <c r="M2" i="23"/>
  <c r="J3" i="26"/>
  <c r="J3" i="25"/>
  <c r="J3" i="24"/>
  <c r="J3" i="23"/>
  <c r="H42" i="6"/>
  <c r="BQ21" i="17"/>
  <c r="H229" i="6"/>
  <c r="H21" i="17" s="1"/>
  <c r="Q4" i="42"/>
  <c r="Q4" i="39"/>
  <c r="Q4" i="36"/>
  <c r="Q4" i="33"/>
  <c r="Q4" i="30"/>
  <c r="K4" i="42"/>
  <c r="K4" i="39"/>
  <c r="K4" i="36"/>
  <c r="K4" i="33"/>
  <c r="K4" i="30"/>
  <c r="O2" i="39"/>
  <c r="O2" i="42"/>
  <c r="O2" i="36"/>
  <c r="O2" i="33"/>
  <c r="O2" i="30"/>
  <c r="W2" i="41"/>
  <c r="W2" i="38"/>
  <c r="W2" i="35"/>
  <c r="W2" i="32"/>
  <c r="W2" i="29"/>
  <c r="O2" i="41"/>
  <c r="O2" i="38"/>
  <c r="O2" i="35"/>
  <c r="O2" i="32"/>
  <c r="O2" i="29"/>
  <c r="X3" i="41"/>
  <c r="X3" i="38"/>
  <c r="X3" i="35"/>
  <c r="X3" i="32"/>
  <c r="X3" i="29"/>
  <c r="Q3" i="41"/>
  <c r="Q3" i="38"/>
  <c r="Q3" i="35"/>
  <c r="Q3" i="32"/>
  <c r="Q3" i="29"/>
  <c r="K4" i="26"/>
  <c r="K4" i="25"/>
  <c r="K4" i="24"/>
  <c r="K4" i="23"/>
  <c r="AA4" i="41"/>
  <c r="AA4" i="38"/>
  <c r="AA4" i="35"/>
  <c r="AA4" i="32"/>
  <c r="AA4" i="29"/>
  <c r="S4" i="41"/>
  <c r="S4" i="38"/>
  <c r="S4" i="35"/>
  <c r="S4" i="32"/>
  <c r="S4" i="29"/>
  <c r="L4" i="41"/>
  <c r="L4" i="38"/>
  <c r="L4" i="35"/>
  <c r="L4" i="32"/>
  <c r="L4" i="29"/>
  <c r="L3" i="39"/>
  <c r="L3" i="42"/>
  <c r="L3" i="36"/>
  <c r="L3" i="33"/>
  <c r="L3" i="30"/>
  <c r="K2" i="23"/>
  <c r="K2" i="26"/>
  <c r="K2" i="25"/>
  <c r="K2" i="24"/>
  <c r="BQ197" i="6"/>
  <c r="BQ218" i="6"/>
  <c r="H171" i="6"/>
  <c r="T2" i="41"/>
  <c r="T2" i="38"/>
  <c r="T2" i="35"/>
  <c r="T2" i="32"/>
  <c r="T2" i="29"/>
  <c r="W3" i="41"/>
  <c r="W3" i="38"/>
  <c r="W3" i="35"/>
  <c r="W3" i="32"/>
  <c r="W3" i="29"/>
  <c r="S4" i="42"/>
  <c r="S4" i="39"/>
  <c r="S4" i="36"/>
  <c r="S4" i="33"/>
  <c r="S4" i="30"/>
  <c r="J4" i="39"/>
  <c r="J4" i="42"/>
  <c r="J4" i="36"/>
  <c r="J4" i="33"/>
  <c r="J4" i="30"/>
  <c r="P2" i="42"/>
  <c r="P2" i="39"/>
  <c r="P2" i="36"/>
  <c r="P2" i="33"/>
  <c r="P2" i="30"/>
  <c r="BQ127" i="6"/>
  <c r="BQ128" i="6" s="1"/>
  <c r="H122" i="6"/>
  <c r="H127" i="6" s="1"/>
  <c r="BQ54" i="6"/>
  <c r="BQ61" i="6"/>
  <c r="BP62" i="6" s="1"/>
  <c r="BQ67" i="6"/>
  <c r="BQ68" i="6" s="1"/>
  <c r="U2" i="41"/>
  <c r="U2" i="38"/>
  <c r="U2" i="35"/>
  <c r="U2" i="32"/>
  <c r="U2" i="29"/>
  <c r="N2" i="41"/>
  <c r="N2" i="38"/>
  <c r="N2" i="35"/>
  <c r="N2" i="32"/>
  <c r="N2" i="29"/>
  <c r="Y3" i="38"/>
  <c r="Y3" i="41"/>
  <c r="Y3" i="35"/>
  <c r="Y3" i="32"/>
  <c r="Y3" i="29"/>
  <c r="P3" i="41"/>
  <c r="P3" i="38"/>
  <c r="P3" i="35"/>
  <c r="P3" i="32"/>
  <c r="P3" i="29"/>
  <c r="J4" i="26"/>
  <c r="J4" i="25"/>
  <c r="J4" i="24"/>
  <c r="J4" i="23"/>
  <c r="AB4" i="41"/>
  <c r="AB4" i="38"/>
  <c r="AB4" i="35"/>
  <c r="AB4" i="32"/>
  <c r="AB4" i="29"/>
  <c r="V4" i="41"/>
  <c r="V4" i="38"/>
  <c r="V4" i="35"/>
  <c r="V4" i="32"/>
  <c r="V4" i="29"/>
  <c r="K4" i="41"/>
  <c r="K4" i="38"/>
  <c r="K4" i="35"/>
  <c r="K4" i="32"/>
  <c r="K4" i="29"/>
  <c r="S3" i="42"/>
  <c r="S3" i="39"/>
  <c r="S3" i="36"/>
  <c r="S3" i="33"/>
  <c r="S3" i="30"/>
  <c r="K3" i="42"/>
  <c r="K3" i="39"/>
  <c r="K3" i="36"/>
  <c r="K3" i="33"/>
  <c r="K3" i="30"/>
  <c r="L2" i="26"/>
  <c r="L2" i="25"/>
  <c r="L2" i="24"/>
  <c r="L2" i="23"/>
  <c r="BQ62" i="6"/>
  <c r="BQ132" i="6" l="1"/>
  <c r="F133" i="6" s="1"/>
  <c r="F137" i="6" s="1"/>
  <c r="H128" i="6"/>
  <c r="H132" i="6" s="1"/>
  <c r="H141" i="6"/>
  <c r="H162" i="6"/>
  <c r="BP68" i="6"/>
  <c r="BQ264" i="6"/>
  <c r="F265" i="6" s="1"/>
  <c r="H271" i="6"/>
  <c r="H264" i="6" s="1"/>
  <c r="J68" i="6"/>
  <c r="J4" i="27" s="1"/>
  <c r="M68" i="6"/>
  <c r="M4" i="27" s="1"/>
  <c r="L68" i="6"/>
  <c r="L4" i="27" s="1"/>
  <c r="K68" i="6"/>
  <c r="K4" i="27" s="1"/>
  <c r="N68" i="6"/>
  <c r="N4" i="27" s="1"/>
  <c r="R68" i="6"/>
  <c r="O68" i="6"/>
  <c r="P68" i="6"/>
  <c r="Q68" i="6"/>
  <c r="S68" i="6"/>
  <c r="U68" i="6"/>
  <c r="V68" i="6"/>
  <c r="T68" i="6"/>
  <c r="X68" i="6"/>
  <c r="W68" i="6"/>
  <c r="AA68" i="6"/>
  <c r="Z68" i="6"/>
  <c r="Y68" i="6"/>
  <c r="AB68" i="6"/>
  <c r="AC68" i="6"/>
  <c r="AD68" i="6"/>
  <c r="AF68" i="6"/>
  <c r="AG68" i="6"/>
  <c r="AE68" i="6"/>
  <c r="AH68" i="6"/>
  <c r="AI68" i="6"/>
  <c r="AJ68" i="6"/>
  <c r="AK68" i="6"/>
  <c r="AL68" i="6"/>
  <c r="AM68" i="6"/>
  <c r="AN68" i="6"/>
  <c r="AP68" i="6"/>
  <c r="AQ68" i="6"/>
  <c r="AO68" i="6"/>
  <c r="AR68" i="6"/>
  <c r="AS68" i="6"/>
  <c r="AT68" i="6"/>
  <c r="AV68" i="6"/>
  <c r="AX68" i="6"/>
  <c r="AU68" i="6"/>
  <c r="AW68" i="6"/>
  <c r="AZ68" i="6"/>
  <c r="AY68" i="6"/>
  <c r="BA68" i="6"/>
  <c r="BB68" i="6"/>
  <c r="BC68" i="6"/>
  <c r="BD68" i="6"/>
  <c r="BF68" i="6"/>
  <c r="BG68" i="6"/>
  <c r="BE68" i="6"/>
  <c r="BH68" i="6"/>
  <c r="BJ68" i="6"/>
  <c r="BK68" i="6"/>
  <c r="BI68" i="6"/>
  <c r="BL68" i="6"/>
  <c r="BM68" i="6"/>
  <c r="BN68" i="6"/>
  <c r="BO68" i="6"/>
  <c r="H218" i="6"/>
  <c r="H197" i="6"/>
  <c r="J62" i="6"/>
  <c r="K62" i="6"/>
  <c r="K3" i="27" s="1"/>
  <c r="M62" i="6"/>
  <c r="M3" i="27" s="1"/>
  <c r="L62" i="6"/>
  <c r="L3" i="27" s="1"/>
  <c r="N62" i="6"/>
  <c r="N3" i="27" s="1"/>
  <c r="O62" i="6"/>
  <c r="P62" i="6"/>
  <c r="R62" i="6"/>
  <c r="Q62" i="6"/>
  <c r="S62" i="6"/>
  <c r="U62" i="6"/>
  <c r="V62" i="6"/>
  <c r="T62" i="6"/>
  <c r="W62" i="6"/>
  <c r="X62" i="6"/>
  <c r="Z62" i="6"/>
  <c r="Y62" i="6"/>
  <c r="AC62" i="6"/>
  <c r="AB62" i="6"/>
  <c r="AA62" i="6"/>
  <c r="AE62" i="6"/>
  <c r="AD62" i="6"/>
  <c r="AF62" i="6"/>
  <c r="AG62" i="6"/>
  <c r="AI62" i="6"/>
  <c r="AH62" i="6"/>
  <c r="AJ62" i="6"/>
  <c r="AK62" i="6"/>
  <c r="AM62" i="6"/>
  <c r="AL62" i="6"/>
  <c r="AN62" i="6"/>
  <c r="AR62" i="6"/>
  <c r="AP62" i="6"/>
  <c r="AO62" i="6"/>
  <c r="AQ62" i="6"/>
  <c r="AS62" i="6"/>
  <c r="AT62" i="6"/>
  <c r="AW62" i="6"/>
  <c r="AU62" i="6"/>
  <c r="AX62" i="6"/>
  <c r="AV62" i="6"/>
  <c r="AY62" i="6"/>
  <c r="BA62" i="6"/>
  <c r="AZ62" i="6"/>
  <c r="BC62" i="6"/>
  <c r="BB62" i="6"/>
  <c r="BD62" i="6"/>
  <c r="BE62" i="6"/>
  <c r="BF62" i="6"/>
  <c r="BG62" i="6"/>
  <c r="BI62" i="6"/>
  <c r="BK62" i="6"/>
  <c r="BH62" i="6"/>
  <c r="BJ62" i="6"/>
  <c r="BL62" i="6"/>
  <c r="BM62" i="6"/>
  <c r="BN62" i="6"/>
  <c r="BO62" i="6"/>
  <c r="BQ188" i="6"/>
  <c r="F189" i="6" s="1"/>
  <c r="F193" i="6" s="1"/>
  <c r="H184" i="6"/>
  <c r="H188" i="6" s="1"/>
  <c r="J55" i="6"/>
  <c r="J2" i="27" s="1"/>
  <c r="L55" i="6"/>
  <c r="L2" i="27" s="1"/>
  <c r="M55" i="6"/>
  <c r="M2" i="27" s="1"/>
  <c r="K55" i="6"/>
  <c r="K2" i="27" s="1"/>
  <c r="P55" i="6"/>
  <c r="N55" i="6"/>
  <c r="N2" i="27" s="1"/>
  <c r="R55" i="6"/>
  <c r="O55" i="6"/>
  <c r="Q55" i="6"/>
  <c r="V55" i="6"/>
  <c r="S55" i="6"/>
  <c r="U55" i="6"/>
  <c r="T55" i="6"/>
  <c r="W55" i="6"/>
  <c r="X55" i="6"/>
  <c r="Y55" i="6"/>
  <c r="AB55" i="6"/>
  <c r="Z55" i="6"/>
  <c r="AD55" i="6"/>
  <c r="AA55" i="6"/>
  <c r="AE55" i="6"/>
  <c r="AC55" i="6"/>
  <c r="AF55" i="6"/>
  <c r="AG55" i="6"/>
  <c r="AJ55" i="6"/>
  <c r="AH55" i="6"/>
  <c r="AK55" i="6"/>
  <c r="AI55" i="6"/>
  <c r="AL55" i="6"/>
  <c r="AM55" i="6"/>
  <c r="AN55" i="6"/>
  <c r="AQ55" i="6"/>
  <c r="AO55" i="6"/>
  <c r="AP55" i="6"/>
  <c r="AR55" i="6"/>
  <c r="AS55" i="6"/>
  <c r="AT55" i="6"/>
  <c r="AW55" i="6"/>
  <c r="AV55" i="6"/>
  <c r="AU55" i="6"/>
  <c r="AZ55" i="6"/>
  <c r="AX55" i="6"/>
  <c r="AY55" i="6"/>
  <c r="BC55" i="6"/>
  <c r="BB55" i="6"/>
  <c r="BA55" i="6"/>
  <c r="BF55" i="6"/>
  <c r="BD55" i="6"/>
  <c r="BE55" i="6"/>
  <c r="BH55" i="6"/>
  <c r="BG55" i="6"/>
  <c r="BJ55" i="6"/>
  <c r="BI55" i="6"/>
  <c r="BL55" i="6"/>
  <c r="BK55" i="6"/>
  <c r="BM55" i="6"/>
  <c r="BN55" i="6"/>
  <c r="BO55" i="6"/>
  <c r="BQ55" i="6"/>
  <c r="BP55" i="6"/>
  <c r="J3" i="27" l="1"/>
  <c r="H62" i="6"/>
  <c r="J198" i="6"/>
  <c r="K198" i="6"/>
  <c r="L198" i="6"/>
  <c r="M198" i="6"/>
  <c r="N198" i="6"/>
  <c r="O198" i="6"/>
  <c r="P198" i="6"/>
  <c r="Q198" i="6"/>
  <c r="R198" i="6"/>
  <c r="S198" i="6"/>
  <c r="T198" i="6"/>
  <c r="U198" i="6"/>
  <c r="V198" i="6"/>
  <c r="W198" i="6"/>
  <c r="X198" i="6"/>
  <c r="Y198" i="6"/>
  <c r="Z198" i="6"/>
  <c r="AA198" i="6"/>
  <c r="AB198" i="6"/>
  <c r="AC198" i="6"/>
  <c r="AD198" i="6"/>
  <c r="AE198" i="6"/>
  <c r="AF198" i="6"/>
  <c r="AG198" i="6"/>
  <c r="AH198" i="6"/>
  <c r="AI198" i="6"/>
  <c r="AJ198" i="6"/>
  <c r="AK198" i="6"/>
  <c r="AL198" i="6"/>
  <c r="AM198" i="6"/>
  <c r="AN198" i="6"/>
  <c r="AO198" i="6"/>
  <c r="AP198" i="6"/>
  <c r="AQ198" i="6"/>
  <c r="AR198" i="6"/>
  <c r="AS198" i="6"/>
  <c r="AT198" i="6"/>
  <c r="AU198" i="6"/>
  <c r="AV198" i="6"/>
  <c r="AW198" i="6"/>
  <c r="AX198" i="6"/>
  <c r="AY198" i="6"/>
  <c r="AZ198" i="6"/>
  <c r="BA198" i="6"/>
  <c r="BB198" i="6"/>
  <c r="BC198" i="6"/>
  <c r="BD198" i="6"/>
  <c r="BE198" i="6"/>
  <c r="BF198" i="6"/>
  <c r="BG198" i="6"/>
  <c r="BH198" i="6"/>
  <c r="BI198" i="6"/>
  <c r="BJ198" i="6"/>
  <c r="BK198" i="6"/>
  <c r="BL198" i="6"/>
  <c r="BM198" i="6"/>
  <c r="BN198" i="6"/>
  <c r="BO198" i="6"/>
  <c r="BP198" i="6"/>
  <c r="BQ198" i="6"/>
  <c r="F250" i="6"/>
  <c r="F258" i="6"/>
  <c r="F260" i="6" s="1"/>
  <c r="F252" i="6" s="1"/>
  <c r="J142" i="6"/>
  <c r="K142" i="6"/>
  <c r="L142" i="6"/>
  <c r="M142" i="6"/>
  <c r="N142" i="6"/>
  <c r="O142" i="6"/>
  <c r="P142" i="6"/>
  <c r="Q142" i="6"/>
  <c r="R142" i="6"/>
  <c r="S142" i="6"/>
  <c r="T142" i="6"/>
  <c r="U142" i="6"/>
  <c r="V142" i="6"/>
  <c r="W142" i="6"/>
  <c r="X142" i="6"/>
  <c r="Y142" i="6"/>
  <c r="Z142" i="6"/>
  <c r="AA142" i="6"/>
  <c r="AB142" i="6"/>
  <c r="AC142" i="6"/>
  <c r="AD142" i="6"/>
  <c r="AE142" i="6"/>
  <c r="AF142" i="6"/>
  <c r="AG142" i="6"/>
  <c r="AH142" i="6"/>
  <c r="AI142" i="6"/>
  <c r="AJ142" i="6"/>
  <c r="AK142" i="6"/>
  <c r="AL142" i="6"/>
  <c r="AM142" i="6"/>
  <c r="AN142" i="6"/>
  <c r="AO142" i="6"/>
  <c r="AP142" i="6"/>
  <c r="AQ142" i="6"/>
  <c r="AR142" i="6"/>
  <c r="AS142" i="6"/>
  <c r="AT142" i="6"/>
  <c r="AU142" i="6"/>
  <c r="AV142" i="6"/>
  <c r="AW142" i="6"/>
  <c r="AX142" i="6"/>
  <c r="AY142" i="6"/>
  <c r="AZ142" i="6"/>
  <c r="BA142" i="6"/>
  <c r="BB142" i="6"/>
  <c r="BC142" i="6"/>
  <c r="BD142" i="6"/>
  <c r="BE142" i="6"/>
  <c r="BF142" i="6"/>
  <c r="BG142" i="6"/>
  <c r="BH142" i="6"/>
  <c r="BI142" i="6"/>
  <c r="BJ142" i="6"/>
  <c r="BK142" i="6"/>
  <c r="BL142" i="6"/>
  <c r="BM142" i="6"/>
  <c r="BN142" i="6"/>
  <c r="BO142" i="6"/>
  <c r="BP142" i="6"/>
  <c r="BQ142" i="6"/>
  <c r="AW155" i="6" l="1"/>
  <c r="AW148" i="6"/>
  <c r="AW149" i="6" s="1"/>
  <c r="AW154" i="6" s="1"/>
  <c r="AW163" i="6"/>
  <c r="AU219" i="6"/>
  <c r="AU211" i="6"/>
  <c r="AU204" i="6"/>
  <c r="AU205" i="6" s="1"/>
  <c r="AU210" i="6" s="1"/>
  <c r="AV155" i="6"/>
  <c r="AV148" i="6"/>
  <c r="AV149" i="6" s="1"/>
  <c r="AV154" i="6" s="1"/>
  <c r="AV163" i="6"/>
  <c r="AN155" i="6"/>
  <c r="AN148" i="6"/>
  <c r="AN149" i="6" s="1"/>
  <c r="AN154" i="6" s="1"/>
  <c r="AN163" i="6"/>
  <c r="AF155" i="6"/>
  <c r="AF148" i="6"/>
  <c r="AF149" i="6" s="1"/>
  <c r="AF154" i="6" s="1"/>
  <c r="AF163" i="6"/>
  <c r="X155" i="6"/>
  <c r="X156" i="6" s="1"/>
  <c r="X161" i="6" s="1"/>
  <c r="X148" i="6"/>
  <c r="X149" i="6" s="1"/>
  <c r="X154" i="6" s="1"/>
  <c r="X163" i="6"/>
  <c r="P155" i="6"/>
  <c r="P148" i="6"/>
  <c r="P149" i="6" s="1"/>
  <c r="P154" i="6" s="1"/>
  <c r="P163" i="6"/>
  <c r="J254" i="6"/>
  <c r="K254" i="6"/>
  <c r="K50" i="19" s="1"/>
  <c r="L254" i="6"/>
  <c r="L50" i="19" s="1"/>
  <c r="M254" i="6"/>
  <c r="M50" i="19" s="1"/>
  <c r="N254" i="6"/>
  <c r="N50" i="19" s="1"/>
  <c r="O254" i="6"/>
  <c r="O50" i="19" s="1"/>
  <c r="P254" i="6"/>
  <c r="P50" i="19" s="1"/>
  <c r="Q254" i="6"/>
  <c r="Q50" i="19" s="1"/>
  <c r="R254" i="6"/>
  <c r="R50" i="19" s="1"/>
  <c r="S254" i="6"/>
  <c r="S50" i="19" s="1"/>
  <c r="T254" i="6"/>
  <c r="T50" i="19" s="1"/>
  <c r="U254" i="6"/>
  <c r="U50" i="19" s="1"/>
  <c r="V254" i="6"/>
  <c r="V50" i="19" s="1"/>
  <c r="W254" i="6"/>
  <c r="W50" i="19" s="1"/>
  <c r="X254" i="6"/>
  <c r="X50" i="19" s="1"/>
  <c r="Y254" i="6"/>
  <c r="Y50" i="19" s="1"/>
  <c r="Z254" i="6"/>
  <c r="Z50" i="19" s="1"/>
  <c r="AA254" i="6"/>
  <c r="AA50" i="19" s="1"/>
  <c r="AB254" i="6"/>
  <c r="AB50" i="19" s="1"/>
  <c r="AC254" i="6"/>
  <c r="AC50" i="19" s="1"/>
  <c r="AD254" i="6"/>
  <c r="AD50" i="19" s="1"/>
  <c r="AE254" i="6"/>
  <c r="AE50" i="19" s="1"/>
  <c r="AF254" i="6"/>
  <c r="AF50" i="19" s="1"/>
  <c r="AG254" i="6"/>
  <c r="AG50" i="19" s="1"/>
  <c r="AH254" i="6"/>
  <c r="AH50" i="19" s="1"/>
  <c r="AI254" i="6"/>
  <c r="AI50" i="19" s="1"/>
  <c r="AJ254" i="6"/>
  <c r="AJ50" i="19" s="1"/>
  <c r="AK254" i="6"/>
  <c r="AK50" i="19" s="1"/>
  <c r="AL254" i="6"/>
  <c r="AL50" i="19" s="1"/>
  <c r="AM254" i="6"/>
  <c r="AM50" i="19" s="1"/>
  <c r="AN254" i="6"/>
  <c r="AN50" i="19" s="1"/>
  <c r="AO254" i="6"/>
  <c r="AO50" i="19" s="1"/>
  <c r="AP254" i="6"/>
  <c r="AP50" i="19" s="1"/>
  <c r="AQ254" i="6"/>
  <c r="AQ50" i="19" s="1"/>
  <c r="AR254" i="6"/>
  <c r="AR50" i="19" s="1"/>
  <c r="AS254" i="6"/>
  <c r="AS50" i="19" s="1"/>
  <c r="AT254" i="6"/>
  <c r="AT50" i="19" s="1"/>
  <c r="AU254" i="6"/>
  <c r="AU50" i="19" s="1"/>
  <c r="AV254" i="6"/>
  <c r="AV50" i="19" s="1"/>
  <c r="AW254" i="6"/>
  <c r="AW50" i="19" s="1"/>
  <c r="AX254" i="6"/>
  <c r="AX50" i="19" s="1"/>
  <c r="AY254" i="6"/>
  <c r="AY50" i="19" s="1"/>
  <c r="AZ254" i="6"/>
  <c r="AZ50" i="19" s="1"/>
  <c r="BA254" i="6"/>
  <c r="BA50" i="19" s="1"/>
  <c r="BB254" i="6"/>
  <c r="BB50" i="19" s="1"/>
  <c r="BC254" i="6"/>
  <c r="BC50" i="19" s="1"/>
  <c r="BD254" i="6"/>
  <c r="BD50" i="19" s="1"/>
  <c r="BE254" i="6"/>
  <c r="BE50" i="19" s="1"/>
  <c r="BF254" i="6"/>
  <c r="BF50" i="19" s="1"/>
  <c r="BG254" i="6"/>
  <c r="BG50" i="19" s="1"/>
  <c r="BH254" i="6"/>
  <c r="BH50" i="19" s="1"/>
  <c r="BI254" i="6"/>
  <c r="BI50" i="19" s="1"/>
  <c r="BJ254" i="6"/>
  <c r="BJ50" i="19" s="1"/>
  <c r="BK254" i="6"/>
  <c r="BK50" i="19" s="1"/>
  <c r="BL254" i="6"/>
  <c r="BL50" i="19" s="1"/>
  <c r="BM254" i="6"/>
  <c r="BM50" i="19" s="1"/>
  <c r="BN254" i="6"/>
  <c r="BN50" i="19" s="1"/>
  <c r="BO254" i="6"/>
  <c r="BO50" i="19" s="1"/>
  <c r="BP254" i="6"/>
  <c r="BP50" i="19" s="1"/>
  <c r="BQ254" i="6"/>
  <c r="BQ50" i="19" s="1"/>
  <c r="BJ219" i="6"/>
  <c r="BJ211" i="6"/>
  <c r="BJ204" i="6"/>
  <c r="BJ205" i="6" s="1"/>
  <c r="BJ210" i="6" s="1"/>
  <c r="BB219" i="6"/>
  <c r="BB211" i="6"/>
  <c r="BB204" i="6"/>
  <c r="BB205" i="6" s="1"/>
  <c r="BB210" i="6" s="1"/>
  <c r="AT219" i="6"/>
  <c r="AT211" i="6"/>
  <c r="AT204" i="6"/>
  <c r="AT205" i="6" s="1"/>
  <c r="AT210" i="6" s="1"/>
  <c r="AL219" i="6"/>
  <c r="AL211" i="6"/>
  <c r="AL204" i="6"/>
  <c r="AL205" i="6" s="1"/>
  <c r="AL210" i="6" s="1"/>
  <c r="AD219" i="6"/>
  <c r="AD211" i="6"/>
  <c r="AD204" i="6"/>
  <c r="AD205" i="6" s="1"/>
  <c r="AD210" i="6" s="1"/>
  <c r="V219" i="6"/>
  <c r="V204" i="6"/>
  <c r="V205" i="6" s="1"/>
  <c r="V210" i="6" s="1"/>
  <c r="V211" i="6"/>
  <c r="N219" i="6"/>
  <c r="N211" i="6"/>
  <c r="N204" i="6"/>
  <c r="N205" i="6" s="1"/>
  <c r="N210" i="6" s="1"/>
  <c r="Q155" i="6"/>
  <c r="Q148" i="6"/>
  <c r="Q149" i="6" s="1"/>
  <c r="Q154" i="6" s="1"/>
  <c r="Q163" i="6"/>
  <c r="O219" i="6"/>
  <c r="O211" i="6"/>
  <c r="O204" i="6"/>
  <c r="O205" i="6" s="1"/>
  <c r="O210" i="6" s="1"/>
  <c r="AM155" i="6"/>
  <c r="AM148" i="6"/>
  <c r="AM149" i="6" s="1"/>
  <c r="AM154" i="6" s="1"/>
  <c r="AM163" i="6"/>
  <c r="AE155" i="6"/>
  <c r="AE156" i="6" s="1"/>
  <c r="AE161" i="6" s="1"/>
  <c r="AE148" i="6"/>
  <c r="AE149" i="6" s="1"/>
  <c r="AE154" i="6" s="1"/>
  <c r="AE163" i="6"/>
  <c r="W155" i="6"/>
  <c r="W148" i="6"/>
  <c r="W149" i="6" s="1"/>
  <c r="W154" i="6" s="1"/>
  <c r="W163" i="6"/>
  <c r="O155" i="6"/>
  <c r="O156" i="6" s="1"/>
  <c r="O161" i="6" s="1"/>
  <c r="O148" i="6"/>
  <c r="O149" i="6" s="1"/>
  <c r="O154" i="6" s="1"/>
  <c r="O163" i="6"/>
  <c r="O164" i="6" s="1"/>
  <c r="O10" i="10" s="1"/>
  <c r="O11" i="10" s="1"/>
  <c r="BQ219" i="6"/>
  <c r="BQ204" i="6"/>
  <c r="BQ205" i="6" s="1"/>
  <c r="BQ210" i="6" s="1"/>
  <c r="BQ211" i="6"/>
  <c r="BI219" i="6"/>
  <c r="BI204" i="6"/>
  <c r="BI205" i="6" s="1"/>
  <c r="BI210" i="6" s="1"/>
  <c r="BI211" i="6"/>
  <c r="BI212" i="6" s="1"/>
  <c r="BI217" i="6" s="1"/>
  <c r="BA219" i="6"/>
  <c r="BA204" i="6"/>
  <c r="BA205" i="6" s="1"/>
  <c r="BA210" i="6" s="1"/>
  <c r="BA211" i="6"/>
  <c r="AS219" i="6"/>
  <c r="AS204" i="6"/>
  <c r="AS205" i="6" s="1"/>
  <c r="AS210" i="6" s="1"/>
  <c r="AS211" i="6"/>
  <c r="AS212" i="6" s="1"/>
  <c r="AS217" i="6" s="1"/>
  <c r="AK219" i="6"/>
  <c r="AK204" i="6"/>
  <c r="AK205" i="6" s="1"/>
  <c r="AK210" i="6" s="1"/>
  <c r="AK211" i="6"/>
  <c r="AC219" i="6"/>
  <c r="AC204" i="6"/>
  <c r="AC205" i="6" s="1"/>
  <c r="AC210" i="6" s="1"/>
  <c r="AC211" i="6"/>
  <c r="U219" i="6"/>
  <c r="U204" i="6"/>
  <c r="U205" i="6" s="1"/>
  <c r="U210" i="6" s="1"/>
  <c r="U211" i="6"/>
  <c r="M219" i="6"/>
  <c r="M204" i="6"/>
  <c r="M205" i="6" s="1"/>
  <c r="M210" i="6" s="1"/>
  <c r="M211" i="6"/>
  <c r="M212" i="6" s="1"/>
  <c r="M217" i="6" s="1"/>
  <c r="W219" i="6"/>
  <c r="W211" i="6"/>
  <c r="W204" i="6"/>
  <c r="W205" i="6" s="1"/>
  <c r="W210" i="6" s="1"/>
  <c r="AU155" i="6"/>
  <c r="AU156" i="6" s="1"/>
  <c r="AU161" i="6" s="1"/>
  <c r="AU148" i="6"/>
  <c r="AU149" i="6" s="1"/>
  <c r="AU154" i="6" s="1"/>
  <c r="AU163" i="6"/>
  <c r="AD163" i="6"/>
  <c r="AD155" i="6"/>
  <c r="AD156" i="6" s="1"/>
  <c r="AD161" i="6" s="1"/>
  <c r="AD148" i="6"/>
  <c r="AD149" i="6" s="1"/>
  <c r="AD154" i="6" s="1"/>
  <c r="V163" i="6"/>
  <c r="V155" i="6"/>
  <c r="V148" i="6"/>
  <c r="V149" i="6" s="1"/>
  <c r="V154" i="6" s="1"/>
  <c r="N163" i="6"/>
  <c r="N155" i="6"/>
  <c r="N156" i="6" s="1"/>
  <c r="N161" i="6" s="1"/>
  <c r="N148" i="6"/>
  <c r="N149" i="6" s="1"/>
  <c r="N154" i="6" s="1"/>
  <c r="BP219" i="6"/>
  <c r="BP211" i="6"/>
  <c r="BP212" i="6" s="1"/>
  <c r="BP217" i="6" s="1"/>
  <c r="BP204" i="6"/>
  <c r="BP205" i="6" s="1"/>
  <c r="BP210" i="6" s="1"/>
  <c r="BH219" i="6"/>
  <c r="BH211" i="6"/>
  <c r="BH212" i="6" s="1"/>
  <c r="BH217" i="6" s="1"/>
  <c r="BH204" i="6"/>
  <c r="BH205" i="6" s="1"/>
  <c r="BH210" i="6" s="1"/>
  <c r="AZ219" i="6"/>
  <c r="AZ211" i="6"/>
  <c r="AZ204" i="6"/>
  <c r="AZ205" i="6" s="1"/>
  <c r="AZ210" i="6" s="1"/>
  <c r="AR219" i="6"/>
  <c r="AR211" i="6"/>
  <c r="AR204" i="6"/>
  <c r="AR205" i="6" s="1"/>
  <c r="AR210" i="6" s="1"/>
  <c r="AJ219" i="6"/>
  <c r="AJ211" i="6"/>
  <c r="AJ204" i="6"/>
  <c r="AJ205" i="6" s="1"/>
  <c r="AJ210" i="6" s="1"/>
  <c r="AB219" i="6"/>
  <c r="AB211" i="6"/>
  <c r="AB212" i="6" s="1"/>
  <c r="AB217" i="6" s="1"/>
  <c r="AB204" i="6"/>
  <c r="AB205" i="6" s="1"/>
  <c r="AB210" i="6" s="1"/>
  <c r="T219" i="6"/>
  <c r="T211" i="6"/>
  <c r="T204" i="6"/>
  <c r="T205" i="6" s="1"/>
  <c r="T210" i="6" s="1"/>
  <c r="L219" i="6"/>
  <c r="L211" i="6"/>
  <c r="L212" i="6" s="1"/>
  <c r="L217" i="6" s="1"/>
  <c r="L204" i="6"/>
  <c r="L205" i="6" s="1"/>
  <c r="L210" i="6" s="1"/>
  <c r="BM155" i="6"/>
  <c r="BM156" i="6" s="1"/>
  <c r="BM161" i="6" s="1"/>
  <c r="BM148" i="6"/>
  <c r="BM149" i="6" s="1"/>
  <c r="BM154" i="6" s="1"/>
  <c r="BM163" i="6"/>
  <c r="AG155" i="6"/>
  <c r="AG148" i="6"/>
  <c r="AG149" i="6" s="1"/>
  <c r="AG154" i="6" s="1"/>
  <c r="AG163" i="6"/>
  <c r="BK219" i="6"/>
  <c r="BK211" i="6"/>
  <c r="BK204" i="6"/>
  <c r="BK205" i="6" s="1"/>
  <c r="BK210" i="6" s="1"/>
  <c r="BL155" i="6"/>
  <c r="BL156" i="6" s="1"/>
  <c r="BL161" i="6" s="1"/>
  <c r="BL148" i="6"/>
  <c r="BL149" i="6" s="1"/>
  <c r="BL154" i="6" s="1"/>
  <c r="BL163" i="6"/>
  <c r="BB163" i="6"/>
  <c r="BB155" i="6"/>
  <c r="BB148" i="6"/>
  <c r="BB149" i="6" s="1"/>
  <c r="BB154" i="6" s="1"/>
  <c r="BI163" i="6"/>
  <c r="BI155" i="6"/>
  <c r="BI156" i="6" s="1"/>
  <c r="BI161" i="6" s="1"/>
  <c r="BI148" i="6"/>
  <c r="BI149" i="6" s="1"/>
  <c r="BI154" i="6" s="1"/>
  <c r="AK163" i="6"/>
  <c r="AK155" i="6"/>
  <c r="AK148" i="6"/>
  <c r="AK149" i="6" s="1"/>
  <c r="AK154" i="6" s="1"/>
  <c r="AC163" i="6"/>
  <c r="AC155" i="6"/>
  <c r="AC156" i="6" s="1"/>
  <c r="AC161" i="6" s="1"/>
  <c r="AC148" i="6"/>
  <c r="AC149" i="6" s="1"/>
  <c r="AC154" i="6" s="1"/>
  <c r="U163" i="6"/>
  <c r="U164" i="6" s="1"/>
  <c r="U10" i="10" s="1"/>
  <c r="U11" i="10" s="1"/>
  <c r="U155" i="6"/>
  <c r="U156" i="6" s="1"/>
  <c r="U161" i="6" s="1"/>
  <c r="U148" i="6"/>
  <c r="U149" i="6" s="1"/>
  <c r="U154" i="6" s="1"/>
  <c r="M163" i="6"/>
  <c r="M155" i="6"/>
  <c r="M156" i="6" s="1"/>
  <c r="M161" i="6" s="1"/>
  <c r="M148" i="6"/>
  <c r="M149" i="6" s="1"/>
  <c r="M154" i="6" s="1"/>
  <c r="BO204" i="6"/>
  <c r="BO205" i="6" s="1"/>
  <c r="BO210" i="6" s="1"/>
  <c r="BO211" i="6"/>
  <c r="BO219" i="6"/>
  <c r="BG204" i="6"/>
  <c r="BG205" i="6" s="1"/>
  <c r="BG210" i="6" s="1"/>
  <c r="BG219" i="6"/>
  <c r="BG211" i="6"/>
  <c r="AY204" i="6"/>
  <c r="AY205" i="6" s="1"/>
  <c r="AY210" i="6" s="1"/>
  <c r="AY219" i="6"/>
  <c r="AY211" i="6"/>
  <c r="AQ204" i="6"/>
  <c r="AQ205" i="6" s="1"/>
  <c r="AQ210" i="6" s="1"/>
  <c r="AQ211" i="6"/>
  <c r="AQ212" i="6" s="1"/>
  <c r="AQ217" i="6" s="1"/>
  <c r="AQ219" i="6"/>
  <c r="AI204" i="6"/>
  <c r="AI205" i="6" s="1"/>
  <c r="AI210" i="6" s="1"/>
  <c r="AI211" i="6"/>
  <c r="AI219" i="6"/>
  <c r="AA204" i="6"/>
  <c r="AA205" i="6" s="1"/>
  <c r="AA210" i="6" s="1"/>
  <c r="AA219" i="6"/>
  <c r="AA211" i="6"/>
  <c r="AA212" i="6" s="1"/>
  <c r="AA217" i="6" s="1"/>
  <c r="S204" i="6"/>
  <c r="S205" i="6" s="1"/>
  <c r="S210" i="6" s="1"/>
  <c r="S211" i="6"/>
  <c r="S219" i="6"/>
  <c r="K204" i="6"/>
  <c r="K205" i="6" s="1"/>
  <c r="K210" i="6" s="1"/>
  <c r="K211" i="6"/>
  <c r="K212" i="6" s="1"/>
  <c r="K217" i="6" s="1"/>
  <c r="K219" i="6"/>
  <c r="AO155" i="6"/>
  <c r="AO156" i="6" s="1"/>
  <c r="AO161" i="6" s="1"/>
  <c r="AO148" i="6"/>
  <c r="AO149" i="6" s="1"/>
  <c r="AO154" i="6" s="1"/>
  <c r="AO163" i="6"/>
  <c r="AO164" i="6" s="1"/>
  <c r="AO10" i="10" s="1"/>
  <c r="AO11" i="10" s="1"/>
  <c r="AE219" i="6"/>
  <c r="AE211" i="6"/>
  <c r="AE204" i="6"/>
  <c r="AE205" i="6" s="1"/>
  <c r="AE210" i="6" s="1"/>
  <c r="BC155" i="6"/>
  <c r="BC156" i="6" s="1"/>
  <c r="BC161" i="6" s="1"/>
  <c r="BC148" i="6"/>
  <c r="BC149" i="6" s="1"/>
  <c r="BC154" i="6" s="1"/>
  <c r="BC163" i="6"/>
  <c r="AL163" i="6"/>
  <c r="AL155" i="6"/>
  <c r="AL156" i="6" s="1"/>
  <c r="AL161" i="6" s="1"/>
  <c r="AL148" i="6"/>
  <c r="AL149" i="6" s="1"/>
  <c r="AL154" i="6" s="1"/>
  <c r="AS163" i="6"/>
  <c r="AS155" i="6"/>
  <c r="AS148" i="6"/>
  <c r="AS149" i="6" s="1"/>
  <c r="AS154" i="6" s="1"/>
  <c r="BH163" i="6"/>
  <c r="BH155" i="6"/>
  <c r="BH156" i="6" s="1"/>
  <c r="BH161" i="6" s="1"/>
  <c r="BH148" i="6"/>
  <c r="BH149" i="6" s="1"/>
  <c r="BH154" i="6" s="1"/>
  <c r="AZ163" i="6"/>
  <c r="AZ164" i="6" s="1"/>
  <c r="AZ10" i="10" s="1"/>
  <c r="AZ11" i="10" s="1"/>
  <c r="AZ155" i="6"/>
  <c r="AZ156" i="6" s="1"/>
  <c r="AZ161" i="6" s="1"/>
  <c r="AZ148" i="6"/>
  <c r="AZ149" i="6" s="1"/>
  <c r="AZ154" i="6" s="1"/>
  <c r="AR163" i="6"/>
  <c r="AR155" i="6"/>
  <c r="AR156" i="6" s="1"/>
  <c r="AR161" i="6" s="1"/>
  <c r="AR148" i="6"/>
  <c r="AR149" i="6" s="1"/>
  <c r="AR154" i="6" s="1"/>
  <c r="AJ163" i="6"/>
  <c r="AJ155" i="6"/>
  <c r="AJ148" i="6"/>
  <c r="AJ149" i="6" s="1"/>
  <c r="AJ154" i="6" s="1"/>
  <c r="AB163" i="6"/>
  <c r="AB155" i="6"/>
  <c r="AB148" i="6"/>
  <c r="AB149" i="6" s="1"/>
  <c r="AB154" i="6" s="1"/>
  <c r="T163" i="6"/>
  <c r="T155" i="6"/>
  <c r="T148" i="6"/>
  <c r="T149" i="6" s="1"/>
  <c r="T154" i="6" s="1"/>
  <c r="L163" i="6"/>
  <c r="L155" i="6"/>
  <c r="L156" i="6" s="1"/>
  <c r="L161" i="6" s="1"/>
  <c r="L148" i="6"/>
  <c r="L149" i="6" s="1"/>
  <c r="L154" i="6" s="1"/>
  <c r="BN211" i="6"/>
  <c r="BN204" i="6"/>
  <c r="BN205" i="6" s="1"/>
  <c r="BN210" i="6" s="1"/>
  <c r="BN219" i="6"/>
  <c r="BF211" i="6"/>
  <c r="BF204" i="6"/>
  <c r="BF205" i="6" s="1"/>
  <c r="BF210" i="6" s="1"/>
  <c r="BF219" i="6"/>
  <c r="AX211" i="6"/>
  <c r="AX212" i="6" s="1"/>
  <c r="AX217" i="6" s="1"/>
  <c r="AX204" i="6"/>
  <c r="AX205" i="6" s="1"/>
  <c r="AX210" i="6" s="1"/>
  <c r="AX219" i="6"/>
  <c r="AP211" i="6"/>
  <c r="AP204" i="6"/>
  <c r="AP205" i="6" s="1"/>
  <c r="AP210" i="6" s="1"/>
  <c r="AP219" i="6"/>
  <c r="AH211" i="6"/>
  <c r="AH212" i="6" s="1"/>
  <c r="AH217" i="6" s="1"/>
  <c r="AH204" i="6"/>
  <c r="AH205" i="6" s="1"/>
  <c r="AH210" i="6" s="1"/>
  <c r="AH219" i="6"/>
  <c r="AH220" i="6" s="1"/>
  <c r="AH18" i="14" s="1"/>
  <c r="AH19" i="14" s="1"/>
  <c r="Z211" i="6"/>
  <c r="Z212" i="6" s="1"/>
  <c r="Z217" i="6" s="1"/>
  <c r="Z204" i="6"/>
  <c r="Z205" i="6" s="1"/>
  <c r="Z210" i="6" s="1"/>
  <c r="Z219" i="6"/>
  <c r="R211" i="6"/>
  <c r="R212" i="6" s="1"/>
  <c r="R217" i="6" s="1"/>
  <c r="R204" i="6"/>
  <c r="R205" i="6" s="1"/>
  <c r="R210" i="6" s="1"/>
  <c r="R219" i="6"/>
  <c r="J211" i="6"/>
  <c r="J204" i="6"/>
  <c r="J205" i="6" s="1"/>
  <c r="J210" i="6" s="1"/>
  <c r="J219" i="6"/>
  <c r="H198" i="6"/>
  <c r="BE155" i="6"/>
  <c r="BE148" i="6"/>
  <c r="BE149" i="6" s="1"/>
  <c r="BE154" i="6" s="1"/>
  <c r="BE163" i="6"/>
  <c r="BC219" i="6"/>
  <c r="BC211" i="6"/>
  <c r="BC204" i="6"/>
  <c r="BC205" i="6" s="1"/>
  <c r="BC210" i="6" s="1"/>
  <c r="BD155" i="6"/>
  <c r="BD156" i="6" s="1"/>
  <c r="BD161" i="6" s="1"/>
  <c r="BD148" i="6"/>
  <c r="BD149" i="6" s="1"/>
  <c r="BD154" i="6" s="1"/>
  <c r="BD163" i="6"/>
  <c r="BJ163" i="6"/>
  <c r="BJ155" i="6"/>
  <c r="BJ148" i="6"/>
  <c r="BJ149" i="6" s="1"/>
  <c r="BJ154" i="6" s="1"/>
  <c r="BQ163" i="6"/>
  <c r="BQ155" i="6"/>
  <c r="BQ156" i="6" s="1"/>
  <c r="BQ161" i="6" s="1"/>
  <c r="BQ148" i="6"/>
  <c r="BQ149" i="6" s="1"/>
  <c r="BQ154" i="6" s="1"/>
  <c r="BP163" i="6"/>
  <c r="BP155" i="6"/>
  <c r="BP148" i="6"/>
  <c r="BP149" i="6" s="1"/>
  <c r="BP154" i="6" s="1"/>
  <c r="BO163" i="6"/>
  <c r="BO155" i="6"/>
  <c r="BO156" i="6" s="1"/>
  <c r="BO161" i="6" s="1"/>
  <c r="BO148" i="6"/>
  <c r="BO149" i="6" s="1"/>
  <c r="BO154" i="6" s="1"/>
  <c r="BG163" i="6"/>
  <c r="BG164" i="6" s="1"/>
  <c r="BG10" i="10" s="1"/>
  <c r="BG11" i="10" s="1"/>
  <c r="BG155" i="6"/>
  <c r="BG156" i="6" s="1"/>
  <c r="BG161" i="6" s="1"/>
  <c r="BG148" i="6"/>
  <c r="BG149" i="6" s="1"/>
  <c r="BG154" i="6" s="1"/>
  <c r="AY163" i="6"/>
  <c r="AY155" i="6"/>
  <c r="AY156" i="6" s="1"/>
  <c r="AY161" i="6" s="1"/>
  <c r="AY148" i="6"/>
  <c r="AY149" i="6" s="1"/>
  <c r="AY154" i="6" s="1"/>
  <c r="AQ163" i="6"/>
  <c r="AQ155" i="6"/>
  <c r="AQ148" i="6"/>
  <c r="AQ149" i="6" s="1"/>
  <c r="AQ154" i="6" s="1"/>
  <c r="AI163" i="6"/>
  <c r="AI164" i="6" s="1"/>
  <c r="AI10" i="10" s="1"/>
  <c r="AI11" i="10" s="1"/>
  <c r="AI155" i="6"/>
  <c r="AI156" i="6" s="1"/>
  <c r="AI161" i="6" s="1"/>
  <c r="AI148" i="6"/>
  <c r="AI149" i="6" s="1"/>
  <c r="AI154" i="6" s="1"/>
  <c r="AA163" i="6"/>
  <c r="AA155" i="6"/>
  <c r="AA148" i="6"/>
  <c r="AA149" i="6" s="1"/>
  <c r="AA154" i="6" s="1"/>
  <c r="S163" i="6"/>
  <c r="S155" i="6"/>
  <c r="S156" i="6" s="1"/>
  <c r="S161" i="6" s="1"/>
  <c r="S148" i="6"/>
  <c r="S149" i="6" s="1"/>
  <c r="S154" i="6" s="1"/>
  <c r="K163" i="6"/>
  <c r="K155" i="6"/>
  <c r="K148" i="6"/>
  <c r="K149" i="6" s="1"/>
  <c r="K154" i="6" s="1"/>
  <c r="BM211" i="6"/>
  <c r="BM204" i="6"/>
  <c r="BM205" i="6" s="1"/>
  <c r="BM210" i="6" s="1"/>
  <c r="BM219" i="6"/>
  <c r="BE211" i="6"/>
  <c r="BE212" i="6" s="1"/>
  <c r="BE217" i="6" s="1"/>
  <c r="BE204" i="6"/>
  <c r="BE205" i="6" s="1"/>
  <c r="BE210" i="6" s="1"/>
  <c r="BE219" i="6"/>
  <c r="AW211" i="6"/>
  <c r="AW204" i="6"/>
  <c r="AW205" i="6" s="1"/>
  <c r="AW210" i="6" s="1"/>
  <c r="AW219" i="6"/>
  <c r="AO211" i="6"/>
  <c r="AO212" i="6" s="1"/>
  <c r="AO217" i="6" s="1"/>
  <c r="AO204" i="6"/>
  <c r="AO205" i="6" s="1"/>
  <c r="AO210" i="6" s="1"/>
  <c r="AO219" i="6"/>
  <c r="AG211" i="6"/>
  <c r="AG212" i="6" s="1"/>
  <c r="AG217" i="6" s="1"/>
  <c r="AG204" i="6"/>
  <c r="AG205" i="6" s="1"/>
  <c r="AG210" i="6" s="1"/>
  <c r="AG219" i="6"/>
  <c r="Y211" i="6"/>
  <c r="Y212" i="6" s="1"/>
  <c r="Y217" i="6" s="1"/>
  <c r="Y204" i="6"/>
  <c r="Y205" i="6" s="1"/>
  <c r="Y210" i="6" s="1"/>
  <c r="Y219" i="6"/>
  <c r="Q211" i="6"/>
  <c r="Q204" i="6"/>
  <c r="Q205" i="6" s="1"/>
  <c r="Q210" i="6" s="1"/>
  <c r="Q219" i="6"/>
  <c r="Q220" i="6" s="1"/>
  <c r="Q18" i="14" s="1"/>
  <c r="Q19" i="14" s="1"/>
  <c r="Y155" i="6"/>
  <c r="Y156" i="6" s="1"/>
  <c r="Y161" i="6" s="1"/>
  <c r="Y148" i="6"/>
  <c r="Y149" i="6" s="1"/>
  <c r="Y154" i="6" s="1"/>
  <c r="Y163" i="6"/>
  <c r="Y164" i="6" s="1"/>
  <c r="Y10" i="10" s="1"/>
  <c r="Y11" i="10" s="1"/>
  <c r="AM219" i="6"/>
  <c r="AM211" i="6"/>
  <c r="AM212" i="6" s="1"/>
  <c r="AM217" i="6" s="1"/>
  <c r="AM204" i="6"/>
  <c r="AM205" i="6" s="1"/>
  <c r="AM210" i="6" s="1"/>
  <c r="BK155" i="6"/>
  <c r="BK148" i="6"/>
  <c r="BK149" i="6" s="1"/>
  <c r="BK154" i="6" s="1"/>
  <c r="BK163" i="6"/>
  <c r="AT163" i="6"/>
  <c r="AT155" i="6"/>
  <c r="AT156" i="6" s="1"/>
  <c r="AT161" i="6" s="1"/>
  <c r="AT148" i="6"/>
  <c r="AT149" i="6" s="1"/>
  <c r="AT154" i="6" s="1"/>
  <c r="BA163" i="6"/>
  <c r="BA155" i="6"/>
  <c r="BA148" i="6"/>
  <c r="BA149" i="6" s="1"/>
  <c r="BA154" i="6" s="1"/>
  <c r="BN148" i="6"/>
  <c r="BN149" i="6" s="1"/>
  <c r="BN154" i="6" s="1"/>
  <c r="BN163" i="6"/>
  <c r="BN155" i="6"/>
  <c r="BF148" i="6"/>
  <c r="BF149" i="6" s="1"/>
  <c r="BF154" i="6" s="1"/>
  <c r="BF163" i="6"/>
  <c r="BF155" i="6"/>
  <c r="AX148" i="6"/>
  <c r="AX149" i="6" s="1"/>
  <c r="AX154" i="6" s="1"/>
  <c r="AX163" i="6"/>
  <c r="AX155" i="6"/>
  <c r="AX156" i="6" s="1"/>
  <c r="AX161" i="6" s="1"/>
  <c r="AP148" i="6"/>
  <c r="AP149" i="6" s="1"/>
  <c r="AP154" i="6" s="1"/>
  <c r="AP163" i="6"/>
  <c r="AP155" i="6"/>
  <c r="AP156" i="6" s="1"/>
  <c r="AP161" i="6" s="1"/>
  <c r="AH148" i="6"/>
  <c r="AH149" i="6" s="1"/>
  <c r="AH154" i="6" s="1"/>
  <c r="AH163" i="6"/>
  <c r="AH164" i="6" s="1"/>
  <c r="AH10" i="10" s="1"/>
  <c r="AH11" i="10" s="1"/>
  <c r="AH155" i="6"/>
  <c r="AH156" i="6" s="1"/>
  <c r="AH161" i="6" s="1"/>
  <c r="Z148" i="6"/>
  <c r="Z149" i="6" s="1"/>
  <c r="Z154" i="6" s="1"/>
  <c r="Z163" i="6"/>
  <c r="Z155" i="6"/>
  <c r="R148" i="6"/>
  <c r="R149" i="6" s="1"/>
  <c r="R154" i="6" s="1"/>
  <c r="R163" i="6"/>
  <c r="R164" i="6" s="1"/>
  <c r="R10" i="10" s="1"/>
  <c r="R11" i="10" s="1"/>
  <c r="R155" i="6"/>
  <c r="R156" i="6" s="1"/>
  <c r="R161" i="6" s="1"/>
  <c r="J148" i="6"/>
  <c r="J149" i="6" s="1"/>
  <c r="J154" i="6" s="1"/>
  <c r="J163" i="6"/>
  <c r="H142" i="6"/>
  <c r="J155" i="6"/>
  <c r="J156" i="6" s="1"/>
  <c r="BL211" i="6"/>
  <c r="BL212" i="6" s="1"/>
  <c r="BL217" i="6" s="1"/>
  <c r="BL204" i="6"/>
  <c r="BL205" i="6" s="1"/>
  <c r="BL210" i="6" s="1"/>
  <c r="BL219" i="6"/>
  <c r="BL220" i="6" s="1"/>
  <c r="BL18" i="14" s="1"/>
  <c r="BL19" i="14" s="1"/>
  <c r="BD211" i="6"/>
  <c r="BD204" i="6"/>
  <c r="BD205" i="6" s="1"/>
  <c r="BD210" i="6" s="1"/>
  <c r="BD219" i="6"/>
  <c r="AV211" i="6"/>
  <c r="AV204" i="6"/>
  <c r="AV205" i="6" s="1"/>
  <c r="AV210" i="6" s="1"/>
  <c r="AV219" i="6"/>
  <c r="AN211" i="6"/>
  <c r="AN204" i="6"/>
  <c r="AN205" i="6" s="1"/>
  <c r="AN210" i="6" s="1"/>
  <c r="AN219" i="6"/>
  <c r="AF211" i="6"/>
  <c r="AF212" i="6" s="1"/>
  <c r="AF217" i="6" s="1"/>
  <c r="AF204" i="6"/>
  <c r="AF205" i="6" s="1"/>
  <c r="AF210" i="6" s="1"/>
  <c r="AF219" i="6"/>
  <c r="X211" i="6"/>
  <c r="X212" i="6" s="1"/>
  <c r="X217" i="6" s="1"/>
  <c r="X204" i="6"/>
  <c r="X205" i="6" s="1"/>
  <c r="X210" i="6" s="1"/>
  <c r="X219" i="6"/>
  <c r="P211" i="6"/>
  <c r="P212" i="6" s="1"/>
  <c r="P217" i="6" s="1"/>
  <c r="P204" i="6"/>
  <c r="P205" i="6" s="1"/>
  <c r="P210" i="6" s="1"/>
  <c r="P219" i="6"/>
  <c r="P220" i="6" s="1"/>
  <c r="P18" i="14" s="1"/>
  <c r="P19" i="14" s="1"/>
  <c r="AX164" i="6" l="1"/>
  <c r="AX10" i="10" s="1"/>
  <c r="AX11" i="10" s="1"/>
  <c r="AV212" i="6"/>
  <c r="AV217" i="6" s="1"/>
  <c r="BK156" i="6"/>
  <c r="BK161" i="6" s="1"/>
  <c r="U8" i="37"/>
  <c r="U16" i="12"/>
  <c r="AS18" i="12" s="1"/>
  <c r="U31" i="10"/>
  <c r="AS32" i="10" s="1"/>
  <c r="U18" i="10"/>
  <c r="U38" i="10"/>
  <c r="U40" i="10" s="1"/>
  <c r="U25" i="14" s="1"/>
  <c r="U26" i="14" s="1"/>
  <c r="O8" i="37"/>
  <c r="O18" i="10"/>
  <c r="O38" i="10"/>
  <c r="O40" i="10" s="1"/>
  <c r="O25" i="14" s="1"/>
  <c r="O26" i="14" s="1"/>
  <c r="O16" i="12"/>
  <c r="AM18" i="12" s="1"/>
  <c r="O31" i="10"/>
  <c r="AM32" i="10" s="1"/>
  <c r="BA156" i="6"/>
  <c r="BA161" i="6" s="1"/>
  <c r="Q212" i="6"/>
  <c r="Q217" i="6" s="1"/>
  <c r="BM220" i="6"/>
  <c r="BM18" i="14" s="1"/>
  <c r="BM19" i="14" s="1"/>
  <c r="S164" i="6"/>
  <c r="S10" i="10" s="1"/>
  <c r="S11" i="10" s="1"/>
  <c r="AQ156" i="6"/>
  <c r="AQ161" i="6" s="1"/>
  <c r="BQ164" i="6"/>
  <c r="BQ10" i="10" s="1"/>
  <c r="BQ11" i="10" s="1"/>
  <c r="BC212" i="6"/>
  <c r="BC217" i="6" s="1"/>
  <c r="BC220" i="6" s="1"/>
  <c r="J212" i="6"/>
  <c r="L164" i="6"/>
  <c r="L10" i="10" s="1"/>
  <c r="L11" i="10" s="1"/>
  <c r="AJ156" i="6"/>
  <c r="AJ161" i="6" s="1"/>
  <c r="AJ164" i="6" s="1"/>
  <c r="AJ10" i="10" s="1"/>
  <c r="AJ11" i="10" s="1"/>
  <c r="L8" i="26" s="1"/>
  <c r="AL164" i="6"/>
  <c r="AL10" i="10" s="1"/>
  <c r="AL11" i="10" s="1"/>
  <c r="BO212" i="6"/>
  <c r="BO217" i="6" s="1"/>
  <c r="BI164" i="6"/>
  <c r="BI10" i="10" s="1"/>
  <c r="BI11" i="10" s="1"/>
  <c r="BK212" i="6"/>
  <c r="BK217" i="6" s="1"/>
  <c r="AB220" i="6"/>
  <c r="AB18" i="14" s="1"/>
  <c r="AB19" i="14" s="1"/>
  <c r="AZ212" i="6"/>
  <c r="AZ217" i="6" s="1"/>
  <c r="AD164" i="6"/>
  <c r="AD10" i="10" s="1"/>
  <c r="AD11" i="10" s="1"/>
  <c r="AK212" i="6"/>
  <c r="AK217" i="6" s="1"/>
  <c r="Q156" i="6"/>
  <c r="Q161" i="6" s="1"/>
  <c r="AD212" i="6"/>
  <c r="AD217" i="6" s="1"/>
  <c r="AV156" i="6"/>
  <c r="AV161" i="6" s="1"/>
  <c r="AX8" i="37"/>
  <c r="AX38" i="10"/>
  <c r="AX16" i="12"/>
  <c r="AX31" i="10"/>
  <c r="AX18" i="10"/>
  <c r="AH48" i="15"/>
  <c r="AH11" i="14"/>
  <c r="AH20" i="14"/>
  <c r="AH33" i="15"/>
  <c r="AH8" i="37"/>
  <c r="AH38" i="10"/>
  <c r="AH16" i="12"/>
  <c r="AH31" i="10"/>
  <c r="BF32" i="10" s="1"/>
  <c r="AH18" i="10"/>
  <c r="BA164" i="6"/>
  <c r="BA10" i="10" s="1"/>
  <c r="BA11" i="10" s="1"/>
  <c r="Y220" i="6"/>
  <c r="Y18" i="14" s="1"/>
  <c r="Y19" i="14" s="1"/>
  <c r="AQ164" i="6"/>
  <c r="AQ10" i="10" s="1"/>
  <c r="AQ11" i="10" s="1"/>
  <c r="R220" i="6"/>
  <c r="R18" i="14" s="1"/>
  <c r="R19" i="14" s="1"/>
  <c r="BC164" i="6"/>
  <c r="BC10" i="10" s="1"/>
  <c r="BC11" i="10" s="1"/>
  <c r="AY212" i="6"/>
  <c r="AY217" i="6" s="1"/>
  <c r="AZ220" i="6"/>
  <c r="AZ18" i="14" s="1"/>
  <c r="AZ19" i="14" s="1"/>
  <c r="AU164" i="6"/>
  <c r="AU10" i="10" s="1"/>
  <c r="AU11" i="10" s="1"/>
  <c r="M220" i="6"/>
  <c r="M18" i="14" s="1"/>
  <c r="M19" i="14" s="1"/>
  <c r="BB212" i="6"/>
  <c r="BB217" i="6" s="1"/>
  <c r="J50" i="19"/>
  <c r="H254" i="6"/>
  <c r="H50" i="19" s="1"/>
  <c r="BF156" i="6"/>
  <c r="BF161" i="6" s="1"/>
  <c r="BF164" i="6" s="1"/>
  <c r="BF10" i="10" s="1"/>
  <c r="BF11" i="10" s="1"/>
  <c r="BD212" i="6"/>
  <c r="BD217" i="6" s="1"/>
  <c r="BM212" i="6"/>
  <c r="BM217" i="6" s="1"/>
  <c r="AA156" i="6"/>
  <c r="AA161" i="6" s="1"/>
  <c r="BO164" i="6"/>
  <c r="BO10" i="10" s="1"/>
  <c r="BO11" i="10" s="1"/>
  <c r="BJ156" i="6"/>
  <c r="BJ161" i="6" s="1"/>
  <c r="BF212" i="6"/>
  <c r="BF217" i="6" s="1"/>
  <c r="BF220" i="6" s="1"/>
  <c r="T156" i="6"/>
  <c r="T161" i="6" s="1"/>
  <c r="BH164" i="6"/>
  <c r="BH10" i="10" s="1"/>
  <c r="BH11" i="10" s="1"/>
  <c r="AC164" i="6"/>
  <c r="AC10" i="10" s="1"/>
  <c r="AC11" i="10" s="1"/>
  <c r="BB156" i="6"/>
  <c r="BB161" i="6" s="1"/>
  <c r="BB164" i="6" s="1"/>
  <c r="BB10" i="10" s="1"/>
  <c r="BB11" i="10" s="1"/>
  <c r="AJ212" i="6"/>
  <c r="AJ217" i="6" s="1"/>
  <c r="N164" i="6"/>
  <c r="N10" i="10" s="1"/>
  <c r="N11" i="10" s="1"/>
  <c r="U212" i="6"/>
  <c r="U217" i="6" s="1"/>
  <c r="AK220" i="6"/>
  <c r="AK18" i="14" s="1"/>
  <c r="AK19" i="14" s="1"/>
  <c r="AM156" i="6"/>
  <c r="AM161" i="6" s="1"/>
  <c r="AM164" i="6" s="1"/>
  <c r="AM10" i="10" s="1"/>
  <c r="AM11" i="10" s="1"/>
  <c r="N212" i="6"/>
  <c r="N217" i="6" s="1"/>
  <c r="AF156" i="6"/>
  <c r="AF161" i="6" s="1"/>
  <c r="AF164" i="6" s="1"/>
  <c r="AF10" i="10" s="1"/>
  <c r="AF11" i="10" s="1"/>
  <c r="AU212" i="6"/>
  <c r="AU217" i="6" s="1"/>
  <c r="AZ8" i="37"/>
  <c r="AZ16" i="12"/>
  <c r="AZ31" i="10"/>
  <c r="AZ38" i="10"/>
  <c r="AZ18" i="10"/>
  <c r="P48" i="15"/>
  <c r="P11" i="14"/>
  <c r="P20" i="14"/>
  <c r="P33" i="15"/>
  <c r="BN220" i="6"/>
  <c r="BN18" i="14" s="1"/>
  <c r="BN19" i="14" s="1"/>
  <c r="BI220" i="6"/>
  <c r="BI18" i="14" s="1"/>
  <c r="BI19" i="14" s="1"/>
  <c r="N220" i="6"/>
  <c r="N18" i="14" s="1"/>
  <c r="N19" i="14" s="1"/>
  <c r="AL212" i="6"/>
  <c r="AL217" i="6" s="1"/>
  <c r="H155" i="6"/>
  <c r="H148" i="6"/>
  <c r="H163" i="6"/>
  <c r="BG8" i="37"/>
  <c r="BG16" i="12"/>
  <c r="BG31" i="10"/>
  <c r="BG38" i="10"/>
  <c r="BG18" i="10"/>
  <c r="AO8" i="37"/>
  <c r="AO38" i="10"/>
  <c r="AO16" i="12"/>
  <c r="AO18" i="10"/>
  <c r="AO31" i="10"/>
  <c r="BM32" i="10" s="1"/>
  <c r="BO220" i="6"/>
  <c r="BO18" i="14" s="1"/>
  <c r="BO19" i="14" s="1"/>
  <c r="BL48" i="15"/>
  <c r="BL11" i="14"/>
  <c r="BL20" i="14"/>
  <c r="BL33" i="15"/>
  <c r="AA164" i="6"/>
  <c r="AA10" i="10" s="1"/>
  <c r="AA11" i="10" s="1"/>
  <c r="BJ164" i="6"/>
  <c r="BJ10" i="10" s="1"/>
  <c r="BJ11" i="10" s="1"/>
  <c r="T164" i="6"/>
  <c r="T10" i="10" s="1"/>
  <c r="T11" i="10" s="1"/>
  <c r="AI220" i="6"/>
  <c r="AI18" i="14" s="1"/>
  <c r="AI19" i="14" s="1"/>
  <c r="AN212" i="6"/>
  <c r="AN217" i="6" s="1"/>
  <c r="AN220" i="6" s="1"/>
  <c r="AP164" i="6"/>
  <c r="AP10" i="10" s="1"/>
  <c r="AP11" i="10" s="1"/>
  <c r="BN156" i="6"/>
  <c r="BN161" i="6" s="1"/>
  <c r="BN164" i="6" s="1"/>
  <c r="BN10" i="10" s="1"/>
  <c r="BN11" i="10" s="1"/>
  <c r="AT164" i="6"/>
  <c r="AT10" i="10" s="1"/>
  <c r="AT11" i="10" s="1"/>
  <c r="AW212" i="6"/>
  <c r="AW217" i="6" s="1"/>
  <c r="AW220" i="6" s="1"/>
  <c r="K156" i="6"/>
  <c r="K161" i="6" s="1"/>
  <c r="K164" i="6" s="1"/>
  <c r="K10" i="10" s="1"/>
  <c r="K11" i="10" s="1"/>
  <c r="AY164" i="6"/>
  <c r="AY10" i="10" s="1"/>
  <c r="AY11" i="10" s="1"/>
  <c r="BP156" i="6"/>
  <c r="BP161" i="6" s="1"/>
  <c r="BD164" i="6"/>
  <c r="BD10" i="10" s="1"/>
  <c r="BD11" i="10" s="1"/>
  <c r="BE156" i="6"/>
  <c r="BE161" i="6" s="1"/>
  <c r="BE164" i="6" s="1"/>
  <c r="BE10" i="10" s="1"/>
  <c r="BE11" i="10" s="1"/>
  <c r="Z220" i="6"/>
  <c r="Z18" i="14" s="1"/>
  <c r="Z19" i="14" s="1"/>
  <c r="AP212" i="6"/>
  <c r="AP217" i="6" s="1"/>
  <c r="AR164" i="6"/>
  <c r="AR10" i="10" s="1"/>
  <c r="AR11" i="10" s="1"/>
  <c r="AS156" i="6"/>
  <c r="AS161" i="6" s="1"/>
  <c r="AS164" i="6" s="1"/>
  <c r="AS10" i="10" s="1"/>
  <c r="AS11" i="10" s="1"/>
  <c r="AI212" i="6"/>
  <c r="AI217" i="6" s="1"/>
  <c r="BG212" i="6"/>
  <c r="BG217" i="6" s="1"/>
  <c r="M164" i="6"/>
  <c r="M10" i="10" s="1"/>
  <c r="M11" i="10" s="1"/>
  <c r="AK156" i="6"/>
  <c r="AK161" i="6" s="1"/>
  <c r="BL164" i="6"/>
  <c r="BL10" i="10" s="1"/>
  <c r="BL11" i="10" s="1"/>
  <c r="AG156" i="6"/>
  <c r="AG161" i="6" s="1"/>
  <c r="AG164" i="6" s="1"/>
  <c r="AG10" i="10" s="1"/>
  <c r="AG11" i="10" s="1"/>
  <c r="T212" i="6"/>
  <c r="T217" i="6" s="1"/>
  <c r="V156" i="6"/>
  <c r="V161" i="6" s="1"/>
  <c r="BQ212" i="6"/>
  <c r="BQ217" i="6" s="1"/>
  <c r="W156" i="6"/>
  <c r="W161" i="6" s="1"/>
  <c r="W164" i="6" s="1"/>
  <c r="W10" i="10" s="1"/>
  <c r="W11" i="10" s="1"/>
  <c r="O212" i="6"/>
  <c r="O217" i="6" s="1"/>
  <c r="V212" i="6"/>
  <c r="V217" i="6" s="1"/>
  <c r="AL220" i="6"/>
  <c r="AL18" i="14" s="1"/>
  <c r="AL19" i="14" s="1"/>
  <c r="BJ212" i="6"/>
  <c r="BJ217" i="6" s="1"/>
  <c r="P156" i="6"/>
  <c r="P161" i="6" s="1"/>
  <c r="P164" i="6" s="1"/>
  <c r="P10" i="10" s="1"/>
  <c r="P11" i="10" s="1"/>
  <c r="R8" i="37"/>
  <c r="R38" i="10"/>
  <c r="R40" i="10" s="1"/>
  <c r="R25" i="14" s="1"/>
  <c r="R26" i="14" s="1"/>
  <c r="R16" i="12"/>
  <c r="AP18" i="12" s="1"/>
  <c r="R31" i="10"/>
  <c r="AP32" i="10" s="1"/>
  <c r="R18" i="10"/>
  <c r="Y8" i="37"/>
  <c r="Y38" i="10"/>
  <c r="Y40" i="10" s="1"/>
  <c r="Y25" i="14" s="1"/>
  <c r="Y26" i="14" s="1"/>
  <c r="Y16" i="12"/>
  <c r="AW18" i="12" s="1"/>
  <c r="Y18" i="10"/>
  <c r="Y31" i="10"/>
  <c r="AW32" i="10" s="1"/>
  <c r="Z156" i="6"/>
  <c r="Z161" i="6" s="1"/>
  <c r="Z164" i="6" s="1"/>
  <c r="Z10" i="10" s="1"/>
  <c r="Z11" i="10" s="1"/>
  <c r="BK164" i="6"/>
  <c r="BK10" i="10" s="1"/>
  <c r="BK11" i="10" s="1"/>
  <c r="BP164" i="6"/>
  <c r="BP10" i="10" s="1"/>
  <c r="BP11" i="10" s="1"/>
  <c r="H211" i="6"/>
  <c r="H204" i="6"/>
  <c r="H219" i="6"/>
  <c r="BN212" i="6"/>
  <c r="BN217" i="6" s="1"/>
  <c r="AB156" i="6"/>
  <c r="AB161" i="6" s="1"/>
  <c r="AB164" i="6" s="1"/>
  <c r="AB10" i="10" s="1"/>
  <c r="AB11" i="10" s="1"/>
  <c r="AE212" i="6"/>
  <c r="AE217" i="6" s="1"/>
  <c r="AE220" i="6" s="1"/>
  <c r="AK164" i="6"/>
  <c r="AK10" i="10" s="1"/>
  <c r="AK11" i="10" s="1"/>
  <c r="BM164" i="6"/>
  <c r="BM10" i="10" s="1"/>
  <c r="BM11" i="10" s="1"/>
  <c r="AR212" i="6"/>
  <c r="AR217" i="6" s="1"/>
  <c r="V164" i="6"/>
  <c r="V10" i="10" s="1"/>
  <c r="V11" i="10" s="1"/>
  <c r="W212" i="6"/>
  <c r="W217" i="6" s="1"/>
  <c r="AC212" i="6"/>
  <c r="AC217" i="6" s="1"/>
  <c r="AE164" i="6"/>
  <c r="AE10" i="10" s="1"/>
  <c r="AE11" i="10" s="1"/>
  <c r="O220" i="6"/>
  <c r="O18" i="14" s="1"/>
  <c r="O19" i="14" s="1"/>
  <c r="X164" i="6"/>
  <c r="X10" i="10" s="1"/>
  <c r="X11" i="10" s="1"/>
  <c r="AN156" i="6"/>
  <c r="AN161" i="6" s="1"/>
  <c r="AN164" i="6" s="1"/>
  <c r="AN10" i="10" s="1"/>
  <c r="AN11" i="10" s="1"/>
  <c r="J161" i="6"/>
  <c r="J164" i="6" s="1"/>
  <c r="J10" i="10" s="1"/>
  <c r="J11" i="10" s="1"/>
  <c r="Q48" i="15"/>
  <c r="Q11" i="14"/>
  <c r="Q33" i="15"/>
  <c r="Q20" i="14"/>
  <c r="Q10" i="28" s="1"/>
  <c r="AI8" i="37"/>
  <c r="AI16" i="12"/>
  <c r="AI31" i="10"/>
  <c r="BG32" i="10" s="1"/>
  <c r="AI18" i="10"/>
  <c r="AI38" i="10"/>
  <c r="S212" i="6"/>
  <c r="S217" i="6" s="1"/>
  <c r="S220" i="6" s="1"/>
  <c r="AQ220" i="6"/>
  <c r="AQ18" i="14" s="1"/>
  <c r="AQ19" i="14" s="1"/>
  <c r="AR220" i="6"/>
  <c r="AR18" i="14" s="1"/>
  <c r="AR19" i="14" s="1"/>
  <c r="W220" i="6"/>
  <c r="W18" i="14" s="1"/>
  <c r="W19" i="14" s="1"/>
  <c r="BA212" i="6"/>
  <c r="BA217" i="6" s="1"/>
  <c r="Q164" i="6"/>
  <c r="Q10" i="10" s="1"/>
  <c r="Q11" i="10" s="1"/>
  <c r="V220" i="6"/>
  <c r="V18" i="14" s="1"/>
  <c r="V19" i="14" s="1"/>
  <c r="AT212" i="6"/>
  <c r="AT217" i="6" s="1"/>
  <c r="AT220" i="6" s="1"/>
  <c r="AV164" i="6"/>
  <c r="AV10" i="10" s="1"/>
  <c r="AV11" i="10" s="1"/>
  <c r="AW156" i="6"/>
  <c r="AW161" i="6" s="1"/>
  <c r="AW164" i="6" s="1"/>
  <c r="AW10" i="10" s="1"/>
  <c r="AW11" i="10" s="1"/>
  <c r="AW18" i="14" l="1"/>
  <c r="AW19" i="14" s="1"/>
  <c r="AX220" i="6"/>
  <c r="BN8" i="37"/>
  <c r="BN38" i="10"/>
  <c r="BN16" i="12"/>
  <c r="BN31" i="10"/>
  <c r="BN18" i="10"/>
  <c r="AG8" i="37"/>
  <c r="AG38" i="10"/>
  <c r="AG40" i="10" s="1"/>
  <c r="AG25" i="14" s="1"/>
  <c r="AG26" i="14" s="1"/>
  <c r="AG16" i="12"/>
  <c r="BE18" i="12" s="1"/>
  <c r="AG31" i="10"/>
  <c r="BE32" i="10" s="1"/>
  <c r="AG18" i="10"/>
  <c r="AM8" i="37"/>
  <c r="AM18" i="10"/>
  <c r="AM38" i="10"/>
  <c r="AM16" i="12"/>
  <c r="AM31" i="10"/>
  <c r="BK32" i="10" s="1"/>
  <c r="BF8" i="37"/>
  <c r="BF38" i="10"/>
  <c r="BF16" i="12"/>
  <c r="BF31" i="10"/>
  <c r="BF18" i="10"/>
  <c r="N8" i="26"/>
  <c r="R8" i="39"/>
  <c r="Z8" i="38"/>
  <c r="S18" i="14"/>
  <c r="S19" i="14" s="1"/>
  <c r="T220" i="6"/>
  <c r="AT18" i="14"/>
  <c r="AT19" i="14" s="1"/>
  <c r="AU220" i="6"/>
  <c r="BF18" i="14"/>
  <c r="BF19" i="14" s="1"/>
  <c r="BG220" i="6"/>
  <c r="W8" i="37"/>
  <c r="W18" i="10"/>
  <c r="W38" i="10"/>
  <c r="W40" i="10" s="1"/>
  <c r="W25" i="14" s="1"/>
  <c r="W26" i="14" s="1"/>
  <c r="W16" i="12"/>
  <c r="AU18" i="12" s="1"/>
  <c r="W31" i="10"/>
  <c r="AU32" i="10" s="1"/>
  <c r="P8" i="37"/>
  <c r="P38" i="10"/>
  <c r="P40" i="10" s="1"/>
  <c r="P25" i="14" s="1"/>
  <c r="P26" i="14" s="1"/>
  <c r="P16" i="12"/>
  <c r="AN18" i="12" s="1"/>
  <c r="P31" i="10"/>
  <c r="AN32" i="10" s="1"/>
  <c r="P18" i="10"/>
  <c r="K8" i="39"/>
  <c r="Z8" i="37"/>
  <c r="Z38" i="10"/>
  <c r="Z40" i="10" s="1"/>
  <c r="Z25" i="14" s="1"/>
  <c r="Z26" i="14" s="1"/>
  <c r="Z16" i="12"/>
  <c r="AX18" i="12" s="1"/>
  <c r="Z31" i="10"/>
  <c r="AX32" i="10" s="1"/>
  <c r="Z18" i="10"/>
  <c r="O8" i="38"/>
  <c r="BB8" i="37"/>
  <c r="BB31" i="10"/>
  <c r="BB18" i="10"/>
  <c r="BB38" i="10"/>
  <c r="BB16" i="12"/>
  <c r="Q8" i="39"/>
  <c r="X8" i="38"/>
  <c r="AN8" i="37"/>
  <c r="AN38" i="10"/>
  <c r="AN16" i="12"/>
  <c r="AN31" i="10"/>
  <c r="BL32" i="10" s="1"/>
  <c r="AN18" i="10"/>
  <c r="O8" i="39"/>
  <c r="T8" i="38"/>
  <c r="AN18" i="14"/>
  <c r="AN19" i="14" s="1"/>
  <c r="AO220" i="6"/>
  <c r="AE18" i="14"/>
  <c r="AE19" i="14" s="1"/>
  <c r="AF220" i="6"/>
  <c r="AB8" i="37"/>
  <c r="AB16" i="12"/>
  <c r="AZ18" i="12" s="1"/>
  <c r="AB31" i="10"/>
  <c r="AZ32" i="10" s="1"/>
  <c r="AB38" i="10"/>
  <c r="AB40" i="10" s="1"/>
  <c r="AB25" i="14" s="1"/>
  <c r="AB26" i="14" s="1"/>
  <c r="AB18" i="10"/>
  <c r="P8" i="38"/>
  <c r="M8" i="39"/>
  <c r="BC18" i="14"/>
  <c r="BC19" i="14" s="1"/>
  <c r="BD220" i="6"/>
  <c r="AW8" i="37"/>
  <c r="AW38" i="10"/>
  <c r="AW16" i="12"/>
  <c r="AW18" i="10"/>
  <c r="AW31" i="10"/>
  <c r="W8" i="38"/>
  <c r="AS8" i="37"/>
  <c r="AS16" i="12"/>
  <c r="AS31" i="10"/>
  <c r="BQ32" i="10" s="1"/>
  <c r="AS18" i="10"/>
  <c r="AS38" i="10"/>
  <c r="K8" i="37"/>
  <c r="K16" i="12"/>
  <c r="AI18" i="12" s="1"/>
  <c r="K31" i="10"/>
  <c r="AI32" i="10" s="1"/>
  <c r="K38" i="10"/>
  <c r="K40" i="10" s="1"/>
  <c r="K25" i="14" s="1"/>
  <c r="K26" i="14" s="1"/>
  <c r="K18" i="10"/>
  <c r="AI48" i="15"/>
  <c r="AI11" i="14"/>
  <c r="AI20" i="14"/>
  <c r="AI10" i="28" s="1"/>
  <c r="AI33" i="15"/>
  <c r="BE8" i="37"/>
  <c r="BE38" i="10"/>
  <c r="BE16" i="12"/>
  <c r="BE18" i="10"/>
  <c r="BE31" i="10"/>
  <c r="AF8" i="37"/>
  <c r="AF38" i="10"/>
  <c r="AF40" i="10" s="1"/>
  <c r="AF25" i="14" s="1"/>
  <c r="AF26" i="14" s="1"/>
  <c r="AF16" i="12"/>
  <c r="BD18" i="12" s="1"/>
  <c r="AF31" i="10"/>
  <c r="BD32" i="10" s="1"/>
  <c r="AF18" i="10"/>
  <c r="J8" i="37"/>
  <c r="J38" i="10"/>
  <c r="J40" i="10" s="1"/>
  <c r="J16" i="12"/>
  <c r="AH18" i="12" s="1"/>
  <c r="J31" i="10"/>
  <c r="AH32" i="10" s="1"/>
  <c r="J18" i="10"/>
  <c r="J21" i="10" s="1"/>
  <c r="H11" i="10"/>
  <c r="J8" i="26"/>
  <c r="J8" i="38"/>
  <c r="J8" i="39"/>
  <c r="AS220" i="6"/>
  <c r="AS18" i="14" s="1"/>
  <c r="AS19" i="14" s="1"/>
  <c r="AP9" i="37"/>
  <c r="AP17" i="12"/>
  <c r="AP39" i="10"/>
  <c r="AP19" i="10"/>
  <c r="AL48" i="15"/>
  <c r="AL33" i="15"/>
  <c r="AL11" i="14"/>
  <c r="AL20" i="14"/>
  <c r="AL10" i="28" s="1"/>
  <c r="AR8" i="37"/>
  <c r="AR16" i="12"/>
  <c r="AR31" i="10"/>
  <c r="BP32" i="10" s="1"/>
  <c r="AR38" i="10"/>
  <c r="AR18" i="10"/>
  <c r="T8" i="37"/>
  <c r="T16" i="12"/>
  <c r="AR18" i="12" s="1"/>
  <c r="T31" i="10"/>
  <c r="AR32" i="10" s="1"/>
  <c r="T38" i="10"/>
  <c r="T40" i="10" s="1"/>
  <c r="T25" i="14" s="1"/>
  <c r="T26" i="14" s="1"/>
  <c r="T18" i="10"/>
  <c r="AC220" i="6"/>
  <c r="AC8" i="37"/>
  <c r="AC16" i="12"/>
  <c r="BA18" i="12" s="1"/>
  <c r="AC31" i="10"/>
  <c r="BA32" i="10" s="1"/>
  <c r="AC18" i="10"/>
  <c r="AC38" i="10"/>
  <c r="AC40" i="10" s="1"/>
  <c r="AC25" i="14" s="1"/>
  <c r="AC26" i="14" s="1"/>
  <c r="Y48" i="15"/>
  <c r="Y11" i="14"/>
  <c r="Y33" i="15"/>
  <c r="Y20" i="14"/>
  <c r="AB20" i="14"/>
  <c r="AB33" i="15"/>
  <c r="AB48" i="15"/>
  <c r="AB11" i="14"/>
  <c r="O49" i="15"/>
  <c r="O12" i="14"/>
  <c r="O27" i="14"/>
  <c r="O9" i="28" s="1"/>
  <c r="I5" i="47" s="1"/>
  <c r="O34" i="15"/>
  <c r="W33" i="15"/>
  <c r="W48" i="15"/>
  <c r="W20" i="14"/>
  <c r="W10" i="28" s="1"/>
  <c r="W11" i="14"/>
  <c r="AP14" i="37"/>
  <c r="AP63" i="12"/>
  <c r="AP54" i="12"/>
  <c r="AP67" i="12"/>
  <c r="AP68" i="12" s="1"/>
  <c r="BJ8" i="37"/>
  <c r="BJ31" i="10"/>
  <c r="BJ18" i="10"/>
  <c r="BJ38" i="10"/>
  <c r="BJ16" i="12"/>
  <c r="BO48" i="15"/>
  <c r="BO11" i="14"/>
  <c r="BO20" i="14"/>
  <c r="BO33" i="15"/>
  <c r="N48" i="15"/>
  <c r="N33" i="15"/>
  <c r="N11" i="14"/>
  <c r="N20" i="14"/>
  <c r="N10" i="28" s="1"/>
  <c r="AK48" i="15"/>
  <c r="AK20" i="14"/>
  <c r="AK33" i="15"/>
  <c r="AK11" i="14"/>
  <c r="BO8" i="37"/>
  <c r="BO16" i="12"/>
  <c r="BO31" i="10"/>
  <c r="BO38" i="10"/>
  <c r="BO18" i="10"/>
  <c r="AC8" i="38"/>
  <c r="BA8" i="37"/>
  <c r="BA16" i="12"/>
  <c r="BA31" i="10"/>
  <c r="BA18" i="10"/>
  <c r="BA38" i="10"/>
  <c r="BI8" i="37"/>
  <c r="BI16" i="12"/>
  <c r="BI31" i="10"/>
  <c r="BI18" i="10"/>
  <c r="BI38" i="10"/>
  <c r="AA8" i="38"/>
  <c r="BQ8" i="37"/>
  <c r="BQ16" i="12"/>
  <c r="BQ31" i="10"/>
  <c r="BQ18" i="10"/>
  <c r="BQ38" i="10"/>
  <c r="L8" i="38"/>
  <c r="M8" i="38"/>
  <c r="AK8" i="37"/>
  <c r="AK16" i="12"/>
  <c r="AK31" i="10"/>
  <c r="BI32" i="10" s="1"/>
  <c r="AK18" i="10"/>
  <c r="AK38" i="10"/>
  <c r="S8" i="38"/>
  <c r="AQ8" i="37"/>
  <c r="AQ16" i="12"/>
  <c r="AQ31" i="10"/>
  <c r="BO32" i="10" s="1"/>
  <c r="AQ38" i="10"/>
  <c r="AQ18" i="10"/>
  <c r="U8" i="38"/>
  <c r="AR20" i="14"/>
  <c r="AR10" i="28" s="1"/>
  <c r="AR33" i="15"/>
  <c r="AR48" i="15"/>
  <c r="AR11" i="14"/>
  <c r="BL8" i="37"/>
  <c r="BL38" i="10"/>
  <c r="BL16" i="12"/>
  <c r="BL31" i="10"/>
  <c r="BL18" i="10"/>
  <c r="S8" i="39"/>
  <c r="AB8" i="38"/>
  <c r="Z48" i="15"/>
  <c r="Z11" i="14"/>
  <c r="Z20" i="14"/>
  <c r="Z10" i="28" s="1"/>
  <c r="Z33" i="15"/>
  <c r="AT8" i="37"/>
  <c r="AT31" i="10"/>
  <c r="AT18" i="10"/>
  <c r="AT38" i="10"/>
  <c r="AT16" i="12"/>
  <c r="M8" i="26"/>
  <c r="P8" i="39"/>
  <c r="V8" i="38"/>
  <c r="AA8" i="37"/>
  <c r="AA16" i="12"/>
  <c r="AY18" i="12" s="1"/>
  <c r="AA31" i="10"/>
  <c r="AY32" i="10" s="1"/>
  <c r="W9" i="38" s="1"/>
  <c r="AA38" i="10"/>
  <c r="AA40" i="10" s="1"/>
  <c r="AA25" i="14" s="1"/>
  <c r="AA26" i="14" s="1"/>
  <c r="AA18" i="10"/>
  <c r="BM9" i="37"/>
  <c r="BM39" i="10"/>
  <c r="BM17" i="12"/>
  <c r="BM19" i="10"/>
  <c r="BI20" i="14"/>
  <c r="BI33" i="15"/>
  <c r="BI48" i="15"/>
  <c r="BI11" i="14"/>
  <c r="AA220" i="6"/>
  <c r="AA18" i="14" s="1"/>
  <c r="AA19" i="14" s="1"/>
  <c r="N8" i="39"/>
  <c r="U49" i="15"/>
  <c r="U34" i="15"/>
  <c r="U27" i="14"/>
  <c r="U9" i="28" s="1"/>
  <c r="O5" i="47" s="1"/>
  <c r="U12" i="14"/>
  <c r="P10" i="28"/>
  <c r="AZ20" i="14"/>
  <c r="AZ48" i="15"/>
  <c r="AZ33" i="15"/>
  <c r="AZ11" i="14"/>
  <c r="BP8" i="37"/>
  <c r="BP16" i="12"/>
  <c r="BP31" i="10"/>
  <c r="BP38" i="10"/>
  <c r="BP18" i="10"/>
  <c r="AW9" i="37"/>
  <c r="AW39" i="10"/>
  <c r="AW17" i="12"/>
  <c r="AW19" i="10"/>
  <c r="AV8" i="37"/>
  <c r="AV38" i="10"/>
  <c r="AV16" i="12"/>
  <c r="AV31" i="10"/>
  <c r="AV18" i="10"/>
  <c r="H156" i="6"/>
  <c r="H161" i="6" s="1"/>
  <c r="V8" i="37"/>
  <c r="V18" i="10"/>
  <c r="V38" i="10"/>
  <c r="V40" i="10" s="1"/>
  <c r="V25" i="14" s="1"/>
  <c r="V26" i="14" s="1"/>
  <c r="V16" i="12"/>
  <c r="AT18" i="12" s="1"/>
  <c r="V31" i="10"/>
  <c r="AT32" i="10" s="1"/>
  <c r="K8" i="26"/>
  <c r="L8" i="39"/>
  <c r="N8" i="38"/>
  <c r="AJ220" i="6"/>
  <c r="AJ18" i="14" s="1"/>
  <c r="AJ19" i="14" s="1"/>
  <c r="N8" i="37"/>
  <c r="N18" i="10"/>
  <c r="N38" i="10"/>
  <c r="N40" i="10" s="1"/>
  <c r="N25" i="14" s="1"/>
  <c r="N26" i="14" s="1"/>
  <c r="N16" i="12"/>
  <c r="AL18" i="12" s="1"/>
  <c r="N31" i="10"/>
  <c r="AL32" i="10" s="1"/>
  <c r="BH8" i="37"/>
  <c r="BH16" i="12"/>
  <c r="BH31" i="10"/>
  <c r="BH38" i="10"/>
  <c r="BH18" i="10"/>
  <c r="BC8" i="37"/>
  <c r="BC18" i="10"/>
  <c r="BC38" i="10"/>
  <c r="BC16" i="12"/>
  <c r="BC31" i="10"/>
  <c r="Y8" i="38"/>
  <c r="BP220" i="6"/>
  <c r="BA220" i="6"/>
  <c r="AL8" i="37"/>
  <c r="AL31" i="10"/>
  <c r="BJ32" i="10" s="1"/>
  <c r="AL18" i="10"/>
  <c r="AL38" i="10"/>
  <c r="AL16" i="12"/>
  <c r="S8" i="37"/>
  <c r="S16" i="12"/>
  <c r="AQ18" i="12" s="1"/>
  <c r="S31" i="10"/>
  <c r="AQ32" i="10" s="1"/>
  <c r="S38" i="10"/>
  <c r="S40" i="10" s="1"/>
  <c r="S25" i="14" s="1"/>
  <c r="S26" i="14" s="1"/>
  <c r="S18" i="10"/>
  <c r="J217" i="6"/>
  <c r="J220" i="6" s="1"/>
  <c r="H212" i="6"/>
  <c r="H217" i="6" s="1"/>
  <c r="AQ48" i="15"/>
  <c r="AQ11" i="14"/>
  <c r="AQ20" i="14"/>
  <c r="AQ33" i="15"/>
  <c r="AW14" i="37"/>
  <c r="AW63" i="12"/>
  <c r="AW54" i="12"/>
  <c r="AW67" i="12"/>
  <c r="AW68" i="12" s="1"/>
  <c r="M8" i="37"/>
  <c r="M16" i="12"/>
  <c r="AK18" i="12" s="1"/>
  <c r="M31" i="10"/>
  <c r="AK32" i="10" s="1"/>
  <c r="M18" i="10"/>
  <c r="M38" i="10"/>
  <c r="M40" i="10" s="1"/>
  <c r="M25" i="14" s="1"/>
  <c r="M26" i="14" s="1"/>
  <c r="K8" i="38"/>
  <c r="BD8" i="37"/>
  <c r="BD38" i="10"/>
  <c r="BD16" i="12"/>
  <c r="BD31" i="10"/>
  <c r="BD18" i="10"/>
  <c r="AP8" i="37"/>
  <c r="AP38" i="10"/>
  <c r="AP16" i="12"/>
  <c r="AP31" i="10"/>
  <c r="BN32" i="10" s="1"/>
  <c r="AP18" i="10"/>
  <c r="BL10" i="28"/>
  <c r="AJ8" i="37"/>
  <c r="AJ16" i="12"/>
  <c r="AJ31" i="10"/>
  <c r="BH32" i="10" s="1"/>
  <c r="AJ38" i="10"/>
  <c r="AJ18" i="10"/>
  <c r="R8" i="38"/>
  <c r="BM48" i="15"/>
  <c r="BM11" i="14"/>
  <c r="BM33" i="15"/>
  <c r="BM20" i="14"/>
  <c r="BM10" i="28" s="1"/>
  <c r="AS9" i="37"/>
  <c r="AS19" i="10"/>
  <c r="AS39" i="10"/>
  <c r="AS17" i="12"/>
  <c r="BK8" i="37"/>
  <c r="BK18" i="10"/>
  <c r="BK38" i="10"/>
  <c r="BK16" i="12"/>
  <c r="BK31" i="10"/>
  <c r="Y49" i="15"/>
  <c r="Y12" i="14"/>
  <c r="Y34" i="15"/>
  <c r="Y27" i="14"/>
  <c r="BN48" i="15"/>
  <c r="BN11" i="14"/>
  <c r="BN20" i="14"/>
  <c r="BN10" i="28" s="1"/>
  <c r="BN33" i="15"/>
  <c r="AM220" i="6"/>
  <c r="AM18" i="14" s="1"/>
  <c r="AM19" i="14" s="1"/>
  <c r="M48" i="15"/>
  <c r="M20" i="14"/>
  <c r="M33" i="15"/>
  <c r="M11" i="14"/>
  <c r="R48" i="15"/>
  <c r="R11" i="14"/>
  <c r="R20" i="14"/>
  <c r="R10" i="28" s="1"/>
  <c r="R33" i="15"/>
  <c r="AH10" i="28"/>
  <c r="AD8" i="37"/>
  <c r="AD31" i="10"/>
  <c r="BB32" i="10" s="1"/>
  <c r="AD18" i="10"/>
  <c r="AD38" i="10"/>
  <c r="AD40" i="10" s="1"/>
  <c r="AD25" i="14" s="1"/>
  <c r="AD26" i="14" s="1"/>
  <c r="AD16" i="12"/>
  <c r="BB18" i="12" s="1"/>
  <c r="L8" i="37"/>
  <c r="L16" i="12"/>
  <c r="AJ18" i="12" s="1"/>
  <c r="L31" i="10"/>
  <c r="AJ32" i="10" s="1"/>
  <c r="L38" i="10"/>
  <c r="L40" i="10" s="1"/>
  <c r="L25" i="14" s="1"/>
  <c r="L26" i="14" s="1"/>
  <c r="L18" i="10"/>
  <c r="AM9" i="37"/>
  <c r="AM39" i="10"/>
  <c r="AM17" i="12"/>
  <c r="AM19" i="10"/>
  <c r="AS14" i="37"/>
  <c r="AS63" i="12"/>
  <c r="AS54" i="12"/>
  <c r="AS67" i="12"/>
  <c r="AS68" i="12" s="1"/>
  <c r="AE8" i="37"/>
  <c r="AE18" i="10"/>
  <c r="AE38" i="10"/>
  <c r="AE40" i="10" s="1"/>
  <c r="AE25" i="14" s="1"/>
  <c r="AE26" i="14" s="1"/>
  <c r="AE16" i="12"/>
  <c r="BC18" i="12" s="1"/>
  <c r="AE31" i="10"/>
  <c r="BC32" i="10" s="1"/>
  <c r="Q8" i="38"/>
  <c r="BG9" i="37"/>
  <c r="BG17" i="12"/>
  <c r="BG39" i="10"/>
  <c r="BG40" i="10" s="1"/>
  <c r="BG25" i="14" s="1"/>
  <c r="BG26" i="14" s="1"/>
  <c r="BG19" i="10"/>
  <c r="R49" i="15"/>
  <c r="R12" i="14"/>
  <c r="R34" i="15"/>
  <c r="R27" i="14"/>
  <c r="R9" i="28" s="1"/>
  <c r="L5" i="47" s="1"/>
  <c r="V48" i="15"/>
  <c r="V33" i="15"/>
  <c r="V11" i="14"/>
  <c r="V20" i="14"/>
  <c r="X8" i="37"/>
  <c r="X38" i="10"/>
  <c r="X40" i="10" s="1"/>
  <c r="X25" i="14" s="1"/>
  <c r="X26" i="14" s="1"/>
  <c r="X16" i="12"/>
  <c r="AV18" i="12" s="1"/>
  <c r="X31" i="10"/>
  <c r="AV32" i="10" s="1"/>
  <c r="X18" i="10"/>
  <c r="BJ220" i="6"/>
  <c r="Q8" i="37"/>
  <c r="Q38" i="10"/>
  <c r="Q40" i="10" s="1"/>
  <c r="Q25" i="14" s="1"/>
  <c r="Q26" i="14" s="1"/>
  <c r="Q16" i="12"/>
  <c r="AO18" i="12" s="1"/>
  <c r="Q31" i="10"/>
  <c r="AO32" i="10" s="1"/>
  <c r="Q18" i="10"/>
  <c r="O48" i="15"/>
  <c r="O33" i="15"/>
  <c r="O20" i="14"/>
  <c r="O10" i="28" s="1"/>
  <c r="O11" i="14"/>
  <c r="BM8" i="37"/>
  <c r="BM38" i="10"/>
  <c r="BM16" i="12"/>
  <c r="BM31" i="10"/>
  <c r="BM18" i="10"/>
  <c r="AY8" i="37"/>
  <c r="AY16" i="12"/>
  <c r="AY31" i="10"/>
  <c r="AY18" i="10"/>
  <c r="AY38" i="10"/>
  <c r="X220" i="6"/>
  <c r="X18" i="14" s="1"/>
  <c r="X19" i="14" s="1"/>
  <c r="AU8" i="37"/>
  <c r="AU18" i="10"/>
  <c r="AU38" i="10"/>
  <c r="AU16" i="12"/>
  <c r="AU31" i="10"/>
  <c r="BF9" i="37"/>
  <c r="BF17" i="12"/>
  <c r="BF39" i="10"/>
  <c r="BF19" i="10"/>
  <c r="AM14" i="37"/>
  <c r="AM63" i="12"/>
  <c r="AM54" i="12"/>
  <c r="AM67" i="12"/>
  <c r="AM68" i="12" s="1"/>
  <c r="BM40" i="10" l="1"/>
  <c r="BM25" i="14" s="1"/>
  <c r="BM26" i="14" s="1"/>
  <c r="R9" i="39"/>
  <c r="W14" i="38"/>
  <c r="O13" i="14"/>
  <c r="O10" i="19" s="1"/>
  <c r="BK18" i="12"/>
  <c r="BK63" i="12" s="1"/>
  <c r="R13" i="14"/>
  <c r="R50" i="15" s="1"/>
  <c r="R51" i="15" s="1"/>
  <c r="AB10" i="29"/>
  <c r="BG34" i="15"/>
  <c r="BG27" i="14"/>
  <c r="BG9" i="28" s="1"/>
  <c r="BA5" i="47" s="1"/>
  <c r="BG49" i="15"/>
  <c r="BG12" i="14"/>
  <c r="AQ9" i="37"/>
  <c r="AQ17" i="12"/>
  <c r="BO18" i="12" s="1"/>
  <c r="AQ39" i="10"/>
  <c r="AQ40" i="10" s="1"/>
  <c r="AQ25" i="14" s="1"/>
  <c r="AQ26" i="14" s="1"/>
  <c r="AQ19" i="10"/>
  <c r="U9" i="38"/>
  <c r="BJ18" i="14"/>
  <c r="BJ19" i="14" s="1"/>
  <c r="BK220" i="6"/>
  <c r="BK18" i="14" s="1"/>
  <c r="BK19" i="14" s="1"/>
  <c r="AQ14" i="37"/>
  <c r="AQ67" i="12"/>
  <c r="AQ68" i="12" s="1"/>
  <c r="AQ54" i="12"/>
  <c r="AQ63" i="12"/>
  <c r="U14" i="38"/>
  <c r="BD14" i="37"/>
  <c r="BD63" i="12"/>
  <c r="BD54" i="12"/>
  <c r="BD67" i="12"/>
  <c r="BD68" i="12" s="1"/>
  <c r="AV9" i="37"/>
  <c r="AV39" i="10"/>
  <c r="AV40" i="10" s="1"/>
  <c r="AV25" i="14" s="1"/>
  <c r="AV26" i="14" s="1"/>
  <c r="AV17" i="12"/>
  <c r="AV19" i="10"/>
  <c r="AS18" i="37"/>
  <c r="AS20" i="13"/>
  <c r="AS28" i="13"/>
  <c r="AS55" i="12"/>
  <c r="BB9" i="37"/>
  <c r="BB19" i="10"/>
  <c r="BB39" i="10"/>
  <c r="BB40" i="10" s="1"/>
  <c r="BB25" i="14" s="1"/>
  <c r="BB26" i="14" s="1"/>
  <c r="BB17" i="12"/>
  <c r="BP18" i="14"/>
  <c r="BP19" i="14" s="1"/>
  <c r="BQ220" i="6"/>
  <c r="BQ18" i="14" s="1"/>
  <c r="BQ19" i="14" s="1"/>
  <c r="V34" i="15"/>
  <c r="V49" i="15"/>
  <c r="V27" i="14"/>
  <c r="V12" i="14"/>
  <c r="V13" i="14" s="1"/>
  <c r="AA49" i="15"/>
  <c r="AA34" i="15"/>
  <c r="AA27" i="14"/>
  <c r="AA9" i="28" s="1"/>
  <c r="U5" i="47" s="1"/>
  <c r="AA12" i="14"/>
  <c r="AB10" i="28"/>
  <c r="T34" i="15"/>
  <c r="T27" i="14"/>
  <c r="T9" i="28" s="1"/>
  <c r="N5" i="47" s="1"/>
  <c r="T49" i="15"/>
  <c r="T12" i="14"/>
  <c r="J10" i="37"/>
  <c r="J24" i="12"/>
  <c r="J26" i="12" s="1"/>
  <c r="K17" i="10"/>
  <c r="AF49" i="15"/>
  <c r="AF12" i="14"/>
  <c r="AF34" i="15"/>
  <c r="AF27" i="14"/>
  <c r="AF9" i="28" s="1"/>
  <c r="Z5" i="47" s="1"/>
  <c r="AS40" i="10"/>
  <c r="AS25" i="14" s="1"/>
  <c r="AS26" i="14" s="1"/>
  <c r="AB49" i="15"/>
  <c r="AB34" i="15"/>
  <c r="AB27" i="14"/>
  <c r="AB12" i="14"/>
  <c r="AB13" i="14" s="1"/>
  <c r="AX9" i="37"/>
  <c r="AX17" i="12"/>
  <c r="AX19" i="10"/>
  <c r="AX39" i="10"/>
  <c r="AX40" i="10" s="1"/>
  <c r="AX25" i="14" s="1"/>
  <c r="AX26" i="14" s="1"/>
  <c r="P49" i="15"/>
  <c r="P12" i="14"/>
  <c r="P13" i="14" s="1"/>
  <c r="P34" i="15"/>
  <c r="P27" i="14"/>
  <c r="BF48" i="15"/>
  <c r="BF11" i="14"/>
  <c r="BF20" i="14"/>
  <c r="BF33" i="15"/>
  <c r="AT9" i="37"/>
  <c r="AT19" i="10"/>
  <c r="AT39" i="10"/>
  <c r="AT40" i="10" s="1"/>
  <c r="AT25" i="14" s="1"/>
  <c r="AT26" i="14" s="1"/>
  <c r="AT17" i="12"/>
  <c r="V9" i="38"/>
  <c r="P9" i="39"/>
  <c r="M9" i="26"/>
  <c r="AZ10" i="28"/>
  <c r="BO9" i="37"/>
  <c r="BO17" i="12"/>
  <c r="BO19" i="10"/>
  <c r="BO39" i="10"/>
  <c r="BO40" i="10" s="1"/>
  <c r="BO25" i="14" s="1"/>
  <c r="BO26" i="14" s="1"/>
  <c r="AC9" i="38"/>
  <c r="BP9" i="37"/>
  <c r="BP17" i="12"/>
  <c r="BP19" i="10"/>
  <c r="BP39" i="10"/>
  <c r="BP40" i="10" s="1"/>
  <c r="BP25" i="14" s="1"/>
  <c r="BP26" i="14" s="1"/>
  <c r="AI14" i="37"/>
  <c r="AI67" i="12"/>
  <c r="AI68" i="12" s="1"/>
  <c r="AI54" i="12"/>
  <c r="AI63" i="12"/>
  <c r="AO18" i="14"/>
  <c r="AO19" i="14" s="1"/>
  <c r="AP220" i="6"/>
  <c r="AP18" i="14" s="1"/>
  <c r="AP19" i="14" s="1"/>
  <c r="H8" i="39"/>
  <c r="H8" i="38"/>
  <c r="H8" i="37"/>
  <c r="H8" i="26"/>
  <c r="H38" i="10"/>
  <c r="H16" i="12"/>
  <c r="H31" i="10"/>
  <c r="H18" i="10"/>
  <c r="AN48" i="15"/>
  <c r="AN11" i="14"/>
  <c r="AN20" i="14"/>
  <c r="AN33" i="15"/>
  <c r="AV14" i="37"/>
  <c r="AV63" i="12"/>
  <c r="AV54" i="12"/>
  <c r="AV67" i="12"/>
  <c r="AV68" i="12" s="1"/>
  <c r="BH9" i="37"/>
  <c r="BH17" i="12"/>
  <c r="BH19" i="10"/>
  <c r="BH39" i="10"/>
  <c r="BH40" i="10" s="1"/>
  <c r="BH25" i="14" s="1"/>
  <c r="BH26" i="14" s="1"/>
  <c r="AW18" i="37"/>
  <c r="AW55" i="12"/>
  <c r="AW28" i="13"/>
  <c r="AW20" i="13"/>
  <c r="AY9" i="37"/>
  <c r="AY17" i="12"/>
  <c r="AY39" i="10"/>
  <c r="AY40" i="10" s="1"/>
  <c r="AY25" i="14" s="1"/>
  <c r="AY26" i="14" s="1"/>
  <c r="AY19" i="10"/>
  <c r="AK10" i="28"/>
  <c r="BO10" i="28"/>
  <c r="AP18" i="37"/>
  <c r="AP20" i="13"/>
  <c r="AP28" i="13"/>
  <c r="AP55" i="12"/>
  <c r="BA9" i="37"/>
  <c r="BA19" i="10"/>
  <c r="BA39" i="10"/>
  <c r="BA40" i="10" s="1"/>
  <c r="BA25" i="14" s="1"/>
  <c r="BA26" i="14" s="1"/>
  <c r="BA17" i="12"/>
  <c r="AR9" i="37"/>
  <c r="AR17" i="12"/>
  <c r="BP18" i="12" s="1"/>
  <c r="AR19" i="10"/>
  <c r="AR39" i="10"/>
  <c r="AR40" i="10" s="1"/>
  <c r="AR25" i="14" s="1"/>
  <c r="AR26" i="14" s="1"/>
  <c r="AS20" i="14"/>
  <c r="AS10" i="28" s="1"/>
  <c r="AS33" i="15"/>
  <c r="AS48" i="15"/>
  <c r="AS11" i="14"/>
  <c r="AH9" i="37"/>
  <c r="AH17" i="12"/>
  <c r="BF18" i="12" s="1"/>
  <c r="AH19" i="10"/>
  <c r="AH39" i="10"/>
  <c r="AH40" i="10" s="1"/>
  <c r="AH25" i="14" s="1"/>
  <c r="AH26" i="14" s="1"/>
  <c r="L9" i="26"/>
  <c r="R9" i="38"/>
  <c r="N9" i="39"/>
  <c r="AW40" i="10"/>
  <c r="AW25" i="14" s="1"/>
  <c r="AW26" i="14" s="1"/>
  <c r="AZ9" i="37"/>
  <c r="AZ17" i="12"/>
  <c r="AZ19" i="10"/>
  <c r="AZ39" i="10"/>
  <c r="AZ40" i="10" s="1"/>
  <c r="AZ25" i="14" s="1"/>
  <c r="AZ26" i="14" s="1"/>
  <c r="X9" i="38"/>
  <c r="Q9" i="39"/>
  <c r="AX14" i="37"/>
  <c r="AX63" i="12"/>
  <c r="AX54" i="12"/>
  <c r="AX67" i="12"/>
  <c r="AX68" i="12" s="1"/>
  <c r="AU18" i="14"/>
  <c r="AU19" i="14" s="1"/>
  <c r="AV220" i="6"/>
  <c r="AV18" i="14" s="1"/>
  <c r="AV19" i="14" s="1"/>
  <c r="AM33" i="15"/>
  <c r="AM48" i="15"/>
  <c r="AM20" i="14"/>
  <c r="AM10" i="28" s="1"/>
  <c r="AM11" i="14"/>
  <c r="AK14" i="37"/>
  <c r="AK63" i="12"/>
  <c r="AK54" i="12"/>
  <c r="AK67" i="12"/>
  <c r="AK68" i="12" s="1"/>
  <c r="S14" i="38"/>
  <c r="BA18" i="14"/>
  <c r="BA19" i="14" s="1"/>
  <c r="BB220" i="6"/>
  <c r="BB18" i="14" s="1"/>
  <c r="BB19" i="14" s="1"/>
  <c r="AA48" i="15"/>
  <c r="AA11" i="14"/>
  <c r="AA20" i="14"/>
  <c r="AA10" i="28" s="1"/>
  <c r="AA33" i="15"/>
  <c r="AC18" i="14"/>
  <c r="AC19" i="14" s="1"/>
  <c r="AD220" i="6"/>
  <c r="AD18" i="14" s="1"/>
  <c r="AD19" i="14" s="1"/>
  <c r="BD9" i="37"/>
  <c r="BD39" i="10"/>
  <c r="BD40" i="10" s="1"/>
  <c r="BD25" i="14" s="1"/>
  <c r="BD26" i="14" s="1"/>
  <c r="BD17" i="12"/>
  <c r="BD19" i="10"/>
  <c r="BK14" i="37"/>
  <c r="AT14" i="37"/>
  <c r="AT67" i="12"/>
  <c r="AT68" i="12" s="1"/>
  <c r="AT63" i="12"/>
  <c r="AT54" i="12"/>
  <c r="M14" i="26"/>
  <c r="P14" i="39"/>
  <c r="V14" i="38"/>
  <c r="AC49" i="15"/>
  <c r="AC34" i="15"/>
  <c r="AC27" i="14"/>
  <c r="AC9" i="28" s="1"/>
  <c r="W5" i="47" s="1"/>
  <c r="AC12" i="14"/>
  <c r="BG18" i="14"/>
  <c r="BG19" i="14" s="1"/>
  <c r="BH220" i="6"/>
  <c r="BH18" i="14" s="1"/>
  <c r="BH19" i="14" s="1"/>
  <c r="AJ9" i="37"/>
  <c r="AJ17" i="12"/>
  <c r="BH18" i="12" s="1"/>
  <c r="AJ19" i="10"/>
  <c r="AJ39" i="10"/>
  <c r="AJ40" i="10" s="1"/>
  <c r="AJ25" i="14" s="1"/>
  <c r="AJ26" i="14" s="1"/>
  <c r="BN18" i="12"/>
  <c r="J18" i="14"/>
  <c r="J19" i="14" s="1"/>
  <c r="K220" i="6"/>
  <c r="AJ48" i="15"/>
  <c r="AJ20" i="14"/>
  <c r="AJ33" i="15"/>
  <c r="AJ11" i="14"/>
  <c r="BI10" i="28"/>
  <c r="AY14" i="37"/>
  <c r="AY67" i="12"/>
  <c r="AY68" i="12" s="1"/>
  <c r="AY63" i="12"/>
  <c r="AY54" i="12"/>
  <c r="O11" i="28"/>
  <c r="I7" i="47" s="1"/>
  <c r="BA14" i="37"/>
  <c r="BA63" i="12"/>
  <c r="BA54" i="12"/>
  <c r="BA67" i="12"/>
  <c r="BA68" i="12" s="1"/>
  <c r="AR14" i="37"/>
  <c r="AR67" i="12"/>
  <c r="AR68" i="12" s="1"/>
  <c r="AR63" i="12"/>
  <c r="AR54" i="12"/>
  <c r="AH14" i="37"/>
  <c r="AH63" i="12"/>
  <c r="AH54" i="12"/>
  <c r="AH67" i="12"/>
  <c r="AH68" i="12" s="1"/>
  <c r="N14" i="39"/>
  <c r="R14" i="38"/>
  <c r="L14" i="26"/>
  <c r="BQ9" i="37"/>
  <c r="BQ19" i="10"/>
  <c r="BQ39" i="10"/>
  <c r="BQ40" i="10" s="1"/>
  <c r="BQ25" i="14" s="1"/>
  <c r="BQ26" i="14" s="1"/>
  <c r="BQ17" i="12"/>
  <c r="H32" i="10"/>
  <c r="AZ14" i="37"/>
  <c r="AZ67" i="12"/>
  <c r="AZ68" i="12" s="1"/>
  <c r="AZ63" i="12"/>
  <c r="AZ54" i="12"/>
  <c r="Q14" i="39"/>
  <c r="X14" i="38"/>
  <c r="Z49" i="15"/>
  <c r="Z12" i="14"/>
  <c r="Z13" i="14" s="1"/>
  <c r="Z34" i="15"/>
  <c r="Z27" i="14"/>
  <c r="Z9" i="28" s="1"/>
  <c r="T5" i="47" s="1"/>
  <c r="AU9" i="37"/>
  <c r="AU39" i="10"/>
  <c r="AU40" i="10" s="1"/>
  <c r="AU25" i="14" s="1"/>
  <c r="AU26" i="14" s="1"/>
  <c r="AU17" i="12"/>
  <c r="AU19" i="10"/>
  <c r="AT48" i="15"/>
  <c r="AT33" i="15"/>
  <c r="AT11" i="14"/>
  <c r="AT20" i="14"/>
  <c r="AQ10" i="28"/>
  <c r="U10" i="29"/>
  <c r="AN14" i="37"/>
  <c r="AN63" i="12"/>
  <c r="AN54" i="12"/>
  <c r="AN67" i="12"/>
  <c r="AN68" i="12" s="1"/>
  <c r="T14" i="38"/>
  <c r="O14" i="39"/>
  <c r="L34" i="15"/>
  <c r="L27" i="14"/>
  <c r="L9" i="28" s="1"/>
  <c r="F5" i="47" s="1"/>
  <c r="L49" i="15"/>
  <c r="L12" i="14"/>
  <c r="X48" i="15"/>
  <c r="X11" i="14"/>
  <c r="X20" i="14"/>
  <c r="X10" i="28" s="1"/>
  <c r="X33" i="15"/>
  <c r="X49" i="15"/>
  <c r="X12" i="14"/>
  <c r="X34" i="15"/>
  <c r="X27" i="14"/>
  <c r="X9" i="28" s="1"/>
  <c r="R5" i="47" s="1"/>
  <c r="BM49" i="15"/>
  <c r="BM12" i="14"/>
  <c r="BM13" i="14" s="1"/>
  <c r="BM34" i="15"/>
  <c r="BM27" i="14"/>
  <c r="BM9" i="28" s="1"/>
  <c r="BG5" i="47" s="1"/>
  <c r="AO14" i="37"/>
  <c r="AO63" i="12"/>
  <c r="AO54" i="12"/>
  <c r="AO67" i="12"/>
  <c r="AO68" i="12" s="1"/>
  <c r="BC9" i="37"/>
  <c r="BC39" i="10"/>
  <c r="BC40" i="10" s="1"/>
  <c r="BC25" i="14" s="1"/>
  <c r="BC26" i="14" s="1"/>
  <c r="BC17" i="12"/>
  <c r="BC19" i="10"/>
  <c r="Y9" i="38"/>
  <c r="AJ14" i="37"/>
  <c r="AJ67" i="12"/>
  <c r="AJ68" i="12" s="1"/>
  <c r="AJ63" i="12"/>
  <c r="AJ54" i="12"/>
  <c r="AP40" i="10"/>
  <c r="AP25" i="14" s="1"/>
  <c r="AP26" i="14" s="1"/>
  <c r="M49" i="15"/>
  <c r="M34" i="15"/>
  <c r="M27" i="14"/>
  <c r="M12" i="14"/>
  <c r="M13" i="14" s="1"/>
  <c r="Y10" i="28"/>
  <c r="O10" i="29"/>
  <c r="J25" i="14"/>
  <c r="J26" i="14" s="1"/>
  <c r="BQ18" i="12"/>
  <c r="BD18" i="14"/>
  <c r="BD19" i="14" s="1"/>
  <c r="BE220" i="6"/>
  <c r="BE18" i="14" s="1"/>
  <c r="BE19" i="14" s="1"/>
  <c r="BL9" i="37"/>
  <c r="BL39" i="10"/>
  <c r="BL40" i="10" s="1"/>
  <c r="BL25" i="14" s="1"/>
  <c r="BL26" i="14" s="1"/>
  <c r="BL17" i="12"/>
  <c r="BL19" i="10"/>
  <c r="AB9" i="38"/>
  <c r="S9" i="39"/>
  <c r="AU14" i="37"/>
  <c r="AU63" i="12"/>
  <c r="AU54" i="12"/>
  <c r="AU67" i="12"/>
  <c r="AU68" i="12" s="1"/>
  <c r="T18" i="14"/>
  <c r="T19" i="14" s="1"/>
  <c r="U220" i="6"/>
  <c r="U18" i="14" s="1"/>
  <c r="U19" i="14" s="1"/>
  <c r="BF40" i="10"/>
  <c r="BF25" i="14" s="1"/>
  <c r="BF26" i="14" s="1"/>
  <c r="BE9" i="37"/>
  <c r="BE39" i="10"/>
  <c r="BE40" i="10" s="1"/>
  <c r="BE25" i="14" s="1"/>
  <c r="BE26" i="14" s="1"/>
  <c r="BE17" i="12"/>
  <c r="BE19" i="10"/>
  <c r="AD34" i="15"/>
  <c r="AD27" i="14"/>
  <c r="AD9" i="28" s="1"/>
  <c r="X5" i="47" s="1"/>
  <c r="AD49" i="15"/>
  <c r="AD12" i="14"/>
  <c r="N34" i="15"/>
  <c r="N49" i="15"/>
  <c r="N27" i="14"/>
  <c r="N9" i="28" s="1"/>
  <c r="H5" i="47" s="1"/>
  <c r="N12" i="14"/>
  <c r="N13" i="14" s="1"/>
  <c r="AM40" i="10"/>
  <c r="AM25" i="14" s="1"/>
  <c r="AM26" i="14" s="1"/>
  <c r="BN9" i="37"/>
  <c r="BN17" i="12"/>
  <c r="BN19" i="10"/>
  <c r="BN39" i="10"/>
  <c r="BN40" i="10" s="1"/>
  <c r="BN25" i="14" s="1"/>
  <c r="BN26" i="14" s="1"/>
  <c r="AO9" i="37"/>
  <c r="AO39" i="10"/>
  <c r="AO40" i="10" s="1"/>
  <c r="AO25" i="14" s="1"/>
  <c r="AO26" i="14" s="1"/>
  <c r="AO17" i="12"/>
  <c r="BM18" i="12" s="1"/>
  <c r="AO19" i="10"/>
  <c r="Z9" i="38"/>
  <c r="Q49" i="15"/>
  <c r="Q12" i="14"/>
  <c r="Q13" i="14" s="1"/>
  <c r="Q34" i="15"/>
  <c r="Q27" i="14"/>
  <c r="Q9" i="28" s="1"/>
  <c r="K5" i="47" s="1"/>
  <c r="V10" i="28"/>
  <c r="N10" i="29"/>
  <c r="L10" i="30"/>
  <c r="BC14" i="37"/>
  <c r="BC63" i="12"/>
  <c r="BC54" i="12"/>
  <c r="BC67" i="12"/>
  <c r="BC68" i="12" s="1"/>
  <c r="Y14" i="38"/>
  <c r="M10" i="28"/>
  <c r="K10" i="29"/>
  <c r="BJ9" i="37"/>
  <c r="BJ19" i="10"/>
  <c r="BJ39" i="10"/>
  <c r="BJ40" i="10" s="1"/>
  <c r="BJ25" i="14" s="1"/>
  <c r="BJ26" i="14" s="1"/>
  <c r="BJ17" i="12"/>
  <c r="BI9" i="37"/>
  <c r="BI19" i="10"/>
  <c r="BI39" i="10"/>
  <c r="BI40" i="10" s="1"/>
  <c r="BI25" i="14" s="1"/>
  <c r="BI26" i="14" s="1"/>
  <c r="BI17" i="12"/>
  <c r="AA9" i="38"/>
  <c r="K34" i="15"/>
  <c r="K27" i="14"/>
  <c r="K9" i="28" s="1"/>
  <c r="E5" i="47" s="1"/>
  <c r="K12" i="14"/>
  <c r="K49" i="15"/>
  <c r="BC33" i="15"/>
  <c r="BC48" i="15"/>
  <c r="BC20" i="14"/>
  <c r="BC11" i="14"/>
  <c r="AF18" i="14"/>
  <c r="AF19" i="14" s="1"/>
  <c r="AG220" i="6"/>
  <c r="AG18" i="14" s="1"/>
  <c r="AG19" i="14" s="1"/>
  <c r="W49" i="15"/>
  <c r="W12" i="14"/>
  <c r="W13" i="14" s="1"/>
  <c r="W34" i="15"/>
  <c r="W27" i="14"/>
  <c r="W9" i="28" s="1"/>
  <c r="Q5" i="47" s="1"/>
  <c r="S48" i="15"/>
  <c r="S11" i="14"/>
  <c r="S20" i="14"/>
  <c r="S33" i="15"/>
  <c r="BE14" i="37"/>
  <c r="BE63" i="12"/>
  <c r="BE54" i="12"/>
  <c r="BE67" i="12"/>
  <c r="BE68" i="12" s="1"/>
  <c r="AX18" i="14"/>
  <c r="AX19" i="14" s="1"/>
  <c r="AY220" i="6"/>
  <c r="AY18" i="14" s="1"/>
  <c r="AY19" i="14" s="1"/>
  <c r="AL14" i="37"/>
  <c r="AL67" i="12"/>
  <c r="AL68" i="12" s="1"/>
  <c r="AL54" i="12"/>
  <c r="AL63" i="12"/>
  <c r="AN9" i="37"/>
  <c r="AN39" i="10"/>
  <c r="AN40" i="10" s="1"/>
  <c r="AN25" i="14" s="1"/>
  <c r="AN26" i="14" s="1"/>
  <c r="AN17" i="12"/>
  <c r="BL18" i="12" s="1"/>
  <c r="AN19" i="10"/>
  <c r="T9" i="38"/>
  <c r="O9" i="39"/>
  <c r="AM18" i="37"/>
  <c r="AM28" i="13"/>
  <c r="AM55" i="12"/>
  <c r="AM20" i="13"/>
  <c r="N9" i="26"/>
  <c r="AE49" i="15"/>
  <c r="AE12" i="14"/>
  <c r="AE27" i="14"/>
  <c r="AE34" i="15"/>
  <c r="BB14" i="37"/>
  <c r="BB67" i="12"/>
  <c r="BB68" i="12" s="1"/>
  <c r="BB54" i="12"/>
  <c r="BB63" i="12"/>
  <c r="Y9" i="28"/>
  <c r="S5" i="47" s="1"/>
  <c r="AK9" i="37"/>
  <c r="AK19" i="10"/>
  <c r="AK39" i="10"/>
  <c r="AK40" i="10" s="1"/>
  <c r="AK25" i="14" s="1"/>
  <c r="AK26" i="14" s="1"/>
  <c r="AK17" i="12"/>
  <c r="BI18" i="12" s="1"/>
  <c r="S9" i="38"/>
  <c r="S34" i="15"/>
  <c r="S27" i="14"/>
  <c r="S49" i="15"/>
  <c r="S12" i="14"/>
  <c r="AL9" i="37"/>
  <c r="AL19" i="10"/>
  <c r="AL39" i="10"/>
  <c r="AL40" i="10" s="1"/>
  <c r="AL25" i="14" s="1"/>
  <c r="AL26" i="14" s="1"/>
  <c r="AL17" i="12"/>
  <c r="BJ18" i="12" s="1"/>
  <c r="Y13" i="14"/>
  <c r="AI9" i="37"/>
  <c r="AI17" i="12"/>
  <c r="BG18" i="12" s="1"/>
  <c r="AI39" i="10"/>
  <c r="AI40" i="10" s="1"/>
  <c r="AI25" i="14" s="1"/>
  <c r="AI26" i="14" s="1"/>
  <c r="AI19" i="10"/>
  <c r="AE33" i="15"/>
  <c r="AE48" i="15"/>
  <c r="AE20" i="14"/>
  <c r="AE11" i="14"/>
  <c r="BK9" i="37"/>
  <c r="BK39" i="10"/>
  <c r="BK40" i="10" s="1"/>
  <c r="BK25" i="14" s="1"/>
  <c r="BK26" i="14" s="1"/>
  <c r="BK17" i="12"/>
  <c r="BK19" i="10"/>
  <c r="AG49" i="15"/>
  <c r="AG12" i="14"/>
  <c r="AG34" i="15"/>
  <c r="AG27" i="14"/>
  <c r="AG9" i="28" s="1"/>
  <c r="AA5" i="47" s="1"/>
  <c r="AW48" i="15"/>
  <c r="AW11" i="14"/>
  <c r="AW33" i="15"/>
  <c r="AW20" i="14"/>
  <c r="O50" i="15" l="1"/>
  <c r="O51" i="15" s="1"/>
  <c r="O35" i="15"/>
  <c r="BK67" i="12"/>
  <c r="BK68" i="12" s="1"/>
  <c r="BK18" i="37" s="1"/>
  <c r="BK54" i="12"/>
  <c r="AA13" i="14"/>
  <c r="AA10" i="19" s="1"/>
  <c r="W18" i="38"/>
  <c r="O9" i="29"/>
  <c r="N11" i="28"/>
  <c r="H7" i="47" s="1"/>
  <c r="R10" i="19"/>
  <c r="AE13" i="14"/>
  <c r="AE10" i="19" s="1"/>
  <c r="R35" i="15"/>
  <c r="X13" i="14"/>
  <c r="X35" i="15" s="1"/>
  <c r="M10" i="19"/>
  <c r="M35" i="15"/>
  <c r="M50" i="15"/>
  <c r="M51" i="15" s="1"/>
  <c r="BH34" i="15"/>
  <c r="BH27" i="14"/>
  <c r="BH9" i="28" s="1"/>
  <c r="BB5" i="47" s="1"/>
  <c r="BH49" i="15"/>
  <c r="BH12" i="14"/>
  <c r="AT34" i="15"/>
  <c r="AT49" i="15"/>
  <c r="AT27" i="14"/>
  <c r="AT12" i="14"/>
  <c r="AT13" i="14" s="1"/>
  <c r="Z10" i="19"/>
  <c r="Z35" i="15"/>
  <c r="Z50" i="15"/>
  <c r="Z51" i="15" s="1"/>
  <c r="BQ49" i="15"/>
  <c r="BQ34" i="15"/>
  <c r="BQ27" i="14"/>
  <c r="BQ9" i="28" s="1"/>
  <c r="BK5" i="47" s="1"/>
  <c r="BQ12" i="14"/>
  <c r="BJ14" i="37"/>
  <c r="BJ67" i="12"/>
  <c r="BJ68" i="12" s="1"/>
  <c r="BJ54" i="12"/>
  <c r="BJ63" i="12"/>
  <c r="BJ34" i="15"/>
  <c r="BJ49" i="15"/>
  <c r="BJ12" i="14"/>
  <c r="BJ27" i="14"/>
  <c r="BJ9" i="28" s="1"/>
  <c r="BD5" i="47" s="1"/>
  <c r="V10" i="19"/>
  <c r="V50" i="15"/>
  <c r="V51" i="15" s="1"/>
  <c r="V35" i="15"/>
  <c r="BN49" i="15"/>
  <c r="BN12" i="14"/>
  <c r="BN13" i="14" s="1"/>
  <c r="BN34" i="15"/>
  <c r="BN27" i="14"/>
  <c r="BN9" i="28" s="1"/>
  <c r="BH5" i="47" s="1"/>
  <c r="BM10" i="19"/>
  <c r="BM50" i="15"/>
  <c r="BM51" i="15" s="1"/>
  <c r="BM35" i="15"/>
  <c r="N10" i="19"/>
  <c r="N50" i="15"/>
  <c r="N51" i="15" s="1"/>
  <c r="N35" i="15"/>
  <c r="AL34" i="15"/>
  <c r="AL49" i="15"/>
  <c r="AL27" i="14"/>
  <c r="AL9" i="28" s="1"/>
  <c r="AF5" i="47" s="1"/>
  <c r="AL12" i="14"/>
  <c r="AL13" i="14" s="1"/>
  <c r="BL49" i="15"/>
  <c r="BL12" i="14"/>
  <c r="BL13" i="14" s="1"/>
  <c r="BL34" i="15"/>
  <c r="BL27" i="14"/>
  <c r="BD49" i="15"/>
  <c r="BD12" i="14"/>
  <c r="BD34" i="15"/>
  <c r="BD27" i="14"/>
  <c r="BD9" i="28" s="1"/>
  <c r="AX5" i="47" s="1"/>
  <c r="AN49" i="15"/>
  <c r="AN12" i="14"/>
  <c r="AN13" i="14" s="1"/>
  <c r="AN34" i="15"/>
  <c r="AN27" i="14"/>
  <c r="O9" i="20"/>
  <c r="O10" i="20" s="1"/>
  <c r="AW49" i="15"/>
  <c r="AW12" i="14"/>
  <c r="AW13" i="14" s="1"/>
  <c r="AW34" i="15"/>
  <c r="AW27" i="14"/>
  <c r="AQ49" i="15"/>
  <c r="AQ34" i="15"/>
  <c r="AQ27" i="14"/>
  <c r="AQ12" i="14"/>
  <c r="AQ13" i="14" s="1"/>
  <c r="BM14" i="37"/>
  <c r="BM63" i="12"/>
  <c r="BM54" i="12"/>
  <c r="BM67" i="12"/>
  <c r="BM68" i="12" s="1"/>
  <c r="BK49" i="15"/>
  <c r="BK12" i="14"/>
  <c r="BK27" i="14"/>
  <c r="BK9" i="28" s="1"/>
  <c r="BE5" i="47" s="1"/>
  <c r="BK34" i="15"/>
  <c r="BN14" i="37"/>
  <c r="BN63" i="12"/>
  <c r="BN54" i="12"/>
  <c r="BN67" i="12"/>
  <c r="BN68" i="12" s="1"/>
  <c r="R52" i="15"/>
  <c r="R9" i="34" s="1"/>
  <c r="L48" i="47" s="1"/>
  <c r="R31" i="15"/>
  <c r="BO14" i="37"/>
  <c r="BO67" i="12"/>
  <c r="BO68" i="12" s="1"/>
  <c r="BO54" i="12"/>
  <c r="BO63" i="12"/>
  <c r="AC14" i="38"/>
  <c r="BB48" i="15"/>
  <c r="BB33" i="15"/>
  <c r="BB11" i="14"/>
  <c r="BB20" i="14"/>
  <c r="BB10" i="28" s="1"/>
  <c r="AO48" i="15"/>
  <c r="AO11" i="14"/>
  <c r="AO33" i="15"/>
  <c r="AO20" i="14"/>
  <c r="AO10" i="28" s="1"/>
  <c r="V9" i="28"/>
  <c r="P5" i="47" s="1"/>
  <c r="K9" i="23"/>
  <c r="E5" i="50" s="1"/>
  <c r="L9" i="30"/>
  <c r="N9" i="29"/>
  <c r="BD18" i="37"/>
  <c r="BD55" i="12"/>
  <c r="BD28" i="13"/>
  <c r="BD20" i="13"/>
  <c r="AP49" i="15"/>
  <c r="AP12" i="14"/>
  <c r="AP34" i="15"/>
  <c r="AP27" i="14"/>
  <c r="AP9" i="28" s="1"/>
  <c r="AJ5" i="47" s="1"/>
  <c r="BI49" i="15"/>
  <c r="BI34" i="15"/>
  <c r="BI27" i="14"/>
  <c r="BI12" i="14"/>
  <c r="BI13" i="14" s="1"/>
  <c r="BE49" i="15"/>
  <c r="BE12" i="14"/>
  <c r="BE34" i="15"/>
  <c r="BE27" i="14"/>
  <c r="BE9" i="28" s="1"/>
  <c r="AY5" i="47" s="1"/>
  <c r="AE10" i="28"/>
  <c r="AO49" i="15"/>
  <c r="AO12" i="14"/>
  <c r="AO34" i="15"/>
  <c r="AO27" i="14"/>
  <c r="AO9" i="28" s="1"/>
  <c r="AI5" i="47" s="1"/>
  <c r="BE48" i="15"/>
  <c r="BE11" i="14"/>
  <c r="BE33" i="15"/>
  <c r="BE20" i="14"/>
  <c r="BE10" i="28" s="1"/>
  <c r="BO49" i="15"/>
  <c r="BO34" i="15"/>
  <c r="BO27" i="14"/>
  <c r="BO12" i="14"/>
  <c r="BO13" i="14" s="1"/>
  <c r="AN18" i="37"/>
  <c r="AN28" i="13"/>
  <c r="AN55" i="12"/>
  <c r="AN20" i="13"/>
  <c r="T18" i="38"/>
  <c r="O18" i="39"/>
  <c r="AV49" i="15"/>
  <c r="AV12" i="14"/>
  <c r="AV34" i="15"/>
  <c r="AV27" i="14"/>
  <c r="AV9" i="28" s="1"/>
  <c r="AP5" i="47" s="1"/>
  <c r="H9" i="39"/>
  <c r="H9" i="38"/>
  <c r="H9" i="37"/>
  <c r="H9" i="26"/>
  <c r="H39" i="10"/>
  <c r="H17" i="12"/>
  <c r="H19" i="10"/>
  <c r="AR18" i="37"/>
  <c r="AR28" i="13"/>
  <c r="AR20" i="13"/>
  <c r="AR55" i="12"/>
  <c r="BH14" i="37"/>
  <c r="BH67" i="12"/>
  <c r="BH68" i="12" s="1"/>
  <c r="BH63" i="12"/>
  <c r="BH54" i="12"/>
  <c r="BH48" i="15"/>
  <c r="BH20" i="14"/>
  <c r="BH10" i="28" s="1"/>
  <c r="BH33" i="15"/>
  <c r="BH11" i="14"/>
  <c r="BP49" i="15"/>
  <c r="BP34" i="15"/>
  <c r="BP27" i="14"/>
  <c r="BP9" i="28" s="1"/>
  <c r="BJ5" i="47" s="1"/>
  <c r="BP12" i="14"/>
  <c r="AD48" i="15"/>
  <c r="AD33" i="15"/>
  <c r="AD11" i="14"/>
  <c r="AD13" i="14" s="1"/>
  <c r="AD20" i="14"/>
  <c r="AD10" i="28" s="1"/>
  <c r="BA20" i="14"/>
  <c r="BA48" i="15"/>
  <c r="BA33" i="15"/>
  <c r="BA11" i="14"/>
  <c r="AX49" i="15"/>
  <c r="AX12" i="14"/>
  <c r="AX34" i="15"/>
  <c r="AX27" i="14"/>
  <c r="AX9" i="28" s="1"/>
  <c r="AR5" i="47" s="1"/>
  <c r="AS49" i="15"/>
  <c r="AS34" i="15"/>
  <c r="AS27" i="14"/>
  <c r="AS9" i="28" s="1"/>
  <c r="AM5" i="47" s="1"/>
  <c r="AS12" i="14"/>
  <c r="AS13" i="14" s="1"/>
  <c r="AL18" i="37"/>
  <c r="AL20" i="13"/>
  <c r="AL28" i="13"/>
  <c r="AL55" i="12"/>
  <c r="AU18" i="37"/>
  <c r="AU55" i="12"/>
  <c r="AU28" i="13"/>
  <c r="AU20" i="13"/>
  <c r="AF48" i="15"/>
  <c r="AF11" i="14"/>
  <c r="AF13" i="14" s="1"/>
  <c r="AF20" i="14"/>
  <c r="AF10" i="28" s="1"/>
  <c r="AF33" i="15"/>
  <c r="BB34" i="15"/>
  <c r="BB49" i="15"/>
  <c r="BB27" i="14"/>
  <c r="BB9" i="28" s="1"/>
  <c r="AV5" i="47" s="1"/>
  <c r="BB12" i="14"/>
  <c r="AH18" i="37"/>
  <c r="AH20" i="13"/>
  <c r="AH28" i="13"/>
  <c r="AH55" i="12"/>
  <c r="L18" i="26"/>
  <c r="N18" i="39"/>
  <c r="R18" i="38"/>
  <c r="AK49" i="15"/>
  <c r="AK34" i="15"/>
  <c r="AK27" i="14"/>
  <c r="AK12" i="14"/>
  <c r="AK13" i="14" s="1"/>
  <c r="BG48" i="15"/>
  <c r="BG11" i="14"/>
  <c r="BG13" i="14" s="1"/>
  <c r="BG20" i="14"/>
  <c r="BG10" i="28" s="1"/>
  <c r="BG33" i="15"/>
  <c r="AC20" i="14"/>
  <c r="AC33" i="15"/>
  <c r="AC48" i="15"/>
  <c r="AC11" i="14"/>
  <c r="AC13" i="14" s="1"/>
  <c r="S10" i="29"/>
  <c r="AN10" i="28"/>
  <c r="BF10" i="28"/>
  <c r="AQ18" i="37"/>
  <c r="AQ28" i="13"/>
  <c r="AQ20" i="13"/>
  <c r="AQ55" i="12"/>
  <c r="U18" i="38"/>
  <c r="AZ18" i="37"/>
  <c r="AZ28" i="13"/>
  <c r="AZ20" i="13"/>
  <c r="AZ55" i="12"/>
  <c r="Q18" i="39"/>
  <c r="X18" i="38"/>
  <c r="J48" i="15"/>
  <c r="J11" i="14"/>
  <c r="J20" i="14"/>
  <c r="J33" i="15"/>
  <c r="AP48" i="15"/>
  <c r="AP11" i="14"/>
  <c r="AP20" i="14"/>
  <c r="AP10" i="28" s="1"/>
  <c r="AP33" i="15"/>
  <c r="AJ34" i="15"/>
  <c r="AJ27" i="14"/>
  <c r="AJ9" i="28" s="1"/>
  <c r="AD5" i="47" s="1"/>
  <c r="AJ49" i="15"/>
  <c r="AJ12" i="14"/>
  <c r="AJ13" i="14" s="1"/>
  <c r="AX48" i="15"/>
  <c r="AX11" i="14"/>
  <c r="AX20" i="14"/>
  <c r="AX10" i="28" s="1"/>
  <c r="AX33" i="15"/>
  <c r="AY49" i="15"/>
  <c r="AY34" i="15"/>
  <c r="AY27" i="14"/>
  <c r="AY9" i="28" s="1"/>
  <c r="AS5" i="47" s="1"/>
  <c r="AY12" i="14"/>
  <c r="BA49" i="15"/>
  <c r="BA34" i="15"/>
  <c r="BA27" i="14"/>
  <c r="BA9" i="28" s="1"/>
  <c r="AU5" i="47" s="1"/>
  <c r="BA12" i="14"/>
  <c r="BQ14" i="37"/>
  <c r="BQ63" i="12"/>
  <c r="BQ54" i="12"/>
  <c r="BQ67" i="12"/>
  <c r="BQ68" i="12" s="1"/>
  <c r="H18" i="12"/>
  <c r="BA18" i="37"/>
  <c r="BA20" i="13"/>
  <c r="BA55" i="12"/>
  <c r="BA28" i="13"/>
  <c r="AJ10" i="28"/>
  <c r="N10" i="30"/>
  <c r="R10" i="29"/>
  <c r="AK18" i="37"/>
  <c r="AK20" i="13"/>
  <c r="AK28" i="13"/>
  <c r="AK55" i="12"/>
  <c r="S18" i="38"/>
  <c r="AV48" i="15"/>
  <c r="AV11" i="14"/>
  <c r="AV20" i="14"/>
  <c r="AV10" i="28" s="1"/>
  <c r="AV33" i="15"/>
  <c r="AZ34" i="15"/>
  <c r="AZ27" i="14"/>
  <c r="AZ49" i="15"/>
  <c r="AZ12" i="14"/>
  <c r="AZ13" i="14" s="1"/>
  <c r="AI18" i="37"/>
  <c r="AI28" i="13"/>
  <c r="AI20" i="13"/>
  <c r="AI55" i="12"/>
  <c r="BQ20" i="14"/>
  <c r="BQ33" i="15"/>
  <c r="BQ48" i="15"/>
  <c r="BQ11" i="14"/>
  <c r="BI14" i="37"/>
  <c r="BI63" i="12"/>
  <c r="BI54" i="12"/>
  <c r="BI67" i="12"/>
  <c r="BI68" i="12" s="1"/>
  <c r="AA14" i="38"/>
  <c r="AM49" i="15"/>
  <c r="AM12" i="14"/>
  <c r="AM13" i="14" s="1"/>
  <c r="AM34" i="15"/>
  <c r="AM27" i="14"/>
  <c r="AM9" i="28" s="1"/>
  <c r="AG5" i="47" s="1"/>
  <c r="O52" i="15"/>
  <c r="O9" i="34" s="1"/>
  <c r="I48" i="47" s="1"/>
  <c r="O31" i="15"/>
  <c r="AU49" i="15"/>
  <c r="AU12" i="14"/>
  <c r="AU34" i="15"/>
  <c r="AU27" i="14"/>
  <c r="AU9" i="28" s="1"/>
  <c r="AO5" i="47" s="1"/>
  <c r="S10" i="28"/>
  <c r="AR49" i="15"/>
  <c r="AR34" i="15"/>
  <c r="AR27" i="14"/>
  <c r="AR9" i="28" s="1"/>
  <c r="AL5" i="47" s="1"/>
  <c r="AR12" i="14"/>
  <c r="AR13" i="14" s="1"/>
  <c r="AY48" i="15"/>
  <c r="AY11" i="14"/>
  <c r="AY20" i="14"/>
  <c r="AY10" i="28" s="1"/>
  <c r="AY33" i="15"/>
  <c r="BC18" i="37"/>
  <c r="BC55" i="12"/>
  <c r="BC28" i="13"/>
  <c r="BC20" i="13"/>
  <c r="Y18" i="38"/>
  <c r="AB10" i="19"/>
  <c r="AB50" i="15"/>
  <c r="AB51" i="15" s="1"/>
  <c r="AB35" i="15"/>
  <c r="AJ18" i="37"/>
  <c r="AJ20" i="13"/>
  <c r="AJ28" i="13"/>
  <c r="AJ55" i="12"/>
  <c r="W10" i="19"/>
  <c r="W50" i="15"/>
  <c r="W51" i="15" s="1"/>
  <c r="W35" i="15"/>
  <c r="Q10" i="19"/>
  <c r="Q50" i="15"/>
  <c r="Q51" i="15" s="1"/>
  <c r="Q35" i="15"/>
  <c r="H40" i="10"/>
  <c r="H25" i="14" s="1"/>
  <c r="M9" i="28"/>
  <c r="G5" i="47" s="1"/>
  <c r="K9" i="29"/>
  <c r="AU33" i="15"/>
  <c r="AU48" i="15"/>
  <c r="AU20" i="14"/>
  <c r="AU10" i="28" s="1"/>
  <c r="AU11" i="14"/>
  <c r="AH49" i="15"/>
  <c r="AH12" i="14"/>
  <c r="AH13" i="14" s="1"/>
  <c r="AH34" i="15"/>
  <c r="AH27" i="14"/>
  <c r="BP20" i="14"/>
  <c r="BP33" i="15"/>
  <c r="BP48" i="15"/>
  <c r="BP11" i="14"/>
  <c r="BK33" i="15"/>
  <c r="BK48" i="15"/>
  <c r="BK20" i="14"/>
  <c r="BK10" i="28" s="1"/>
  <c r="BK11" i="14"/>
  <c r="AT18" i="37"/>
  <c r="AT20" i="13"/>
  <c r="AT55" i="12"/>
  <c r="AT28" i="13"/>
  <c r="P18" i="39"/>
  <c r="V18" i="38"/>
  <c r="M18" i="26"/>
  <c r="P50" i="15"/>
  <c r="P51" i="15" s="1"/>
  <c r="P10" i="19"/>
  <c r="P35" i="15"/>
  <c r="AG48" i="15"/>
  <c r="AG11" i="14"/>
  <c r="AG13" i="14" s="1"/>
  <c r="AG33" i="15"/>
  <c r="AG20" i="14"/>
  <c r="AG10" i="28" s="1"/>
  <c r="AE9" i="28"/>
  <c r="Y5" i="47" s="1"/>
  <c r="Q9" i="29"/>
  <c r="S13" i="14"/>
  <c r="Y10" i="19"/>
  <c r="Y50" i="15"/>
  <c r="Y51" i="15" s="1"/>
  <c r="Y35" i="15"/>
  <c r="BD48" i="15"/>
  <c r="BD11" i="14"/>
  <c r="BD20" i="14"/>
  <c r="BD10" i="28" s="1"/>
  <c r="BD33" i="15"/>
  <c r="AO18" i="37"/>
  <c r="AO55" i="12"/>
  <c r="AO20" i="13"/>
  <c r="AO28" i="13"/>
  <c r="AW10" i="28"/>
  <c r="W10" i="29"/>
  <c r="BC10" i="28"/>
  <c r="Y10" i="29"/>
  <c r="BF49" i="15"/>
  <c r="BF12" i="14"/>
  <c r="BF13" i="14" s="1"/>
  <c r="BF34" i="15"/>
  <c r="BF27" i="14"/>
  <c r="AI34" i="15"/>
  <c r="AI27" i="14"/>
  <c r="AI9" i="28" s="1"/>
  <c r="AC5" i="47" s="1"/>
  <c r="AI49" i="15"/>
  <c r="AI12" i="14"/>
  <c r="AI13" i="14" s="1"/>
  <c r="U20" i="14"/>
  <c r="U10" i="28" s="1"/>
  <c r="U33" i="15"/>
  <c r="U48" i="15"/>
  <c r="U11" i="14"/>
  <c r="U13" i="14" s="1"/>
  <c r="J49" i="15"/>
  <c r="J12" i="14"/>
  <c r="J34" i="15"/>
  <c r="J27" i="14"/>
  <c r="H26" i="14"/>
  <c r="BP14" i="37"/>
  <c r="BP67" i="12"/>
  <c r="BP68" i="12" s="1"/>
  <c r="BP63" i="12"/>
  <c r="BP54" i="12"/>
  <c r="AY18" i="37"/>
  <c r="AY28" i="13"/>
  <c r="AY20" i="13"/>
  <c r="AY55" i="12"/>
  <c r="AX18" i="37"/>
  <c r="AX28" i="13"/>
  <c r="AX20" i="13"/>
  <c r="AX55" i="12"/>
  <c r="AV18" i="37"/>
  <c r="AV55" i="12"/>
  <c r="AV28" i="13"/>
  <c r="AV20" i="13"/>
  <c r="P9" i="28"/>
  <c r="J5" i="47" s="1"/>
  <c r="K9" i="30"/>
  <c r="L9" i="29"/>
  <c r="BJ48" i="15"/>
  <c r="BJ33" i="15"/>
  <c r="BJ11" i="14"/>
  <c r="BJ20" i="14"/>
  <c r="R10" i="30" s="1"/>
  <c r="BL14" i="37"/>
  <c r="BL63" i="12"/>
  <c r="BL54" i="12"/>
  <c r="BL67" i="12"/>
  <c r="BL68" i="12" s="1"/>
  <c r="S14" i="39"/>
  <c r="AB14" i="38"/>
  <c r="J11" i="37"/>
  <c r="J20" i="17"/>
  <c r="J22" i="17" s="1"/>
  <c r="J20" i="18"/>
  <c r="J22" i="18" s="1"/>
  <c r="J13" i="15"/>
  <c r="J14" i="15" s="1"/>
  <c r="J19" i="13"/>
  <c r="J21" i="13" s="1"/>
  <c r="J39" i="12"/>
  <c r="J41" i="12" s="1"/>
  <c r="J31" i="12"/>
  <c r="P32" i="12" s="1"/>
  <c r="J17" i="9"/>
  <c r="J18" i="9" s="1"/>
  <c r="S9" i="28"/>
  <c r="M5" i="47" s="1"/>
  <c r="M9" i="29"/>
  <c r="BC49" i="15"/>
  <c r="BC12" i="14"/>
  <c r="BC13" i="14" s="1"/>
  <c r="BC34" i="15"/>
  <c r="BC27" i="14"/>
  <c r="BE18" i="37"/>
  <c r="BE55" i="12"/>
  <c r="BE28" i="13"/>
  <c r="BE20" i="13"/>
  <c r="BG14" i="37"/>
  <c r="BG67" i="12"/>
  <c r="BG68" i="12" s="1"/>
  <c r="BG54" i="12"/>
  <c r="BG63" i="12"/>
  <c r="BB18" i="37"/>
  <c r="BB20" i="13"/>
  <c r="BB55" i="12"/>
  <c r="BB28" i="13"/>
  <c r="T20" i="14"/>
  <c r="T10" i="28" s="1"/>
  <c r="T33" i="15"/>
  <c r="T48" i="15"/>
  <c r="T11" i="14"/>
  <c r="T13" i="14" s="1"/>
  <c r="AT10" i="28"/>
  <c r="M10" i="23"/>
  <c r="K18" i="14"/>
  <c r="K19" i="14" s="1"/>
  <c r="L220" i="6"/>
  <c r="L18" i="14" s="1"/>
  <c r="L19" i="14" s="1"/>
  <c r="BF14" i="37"/>
  <c r="BF63" i="12"/>
  <c r="BF54" i="12"/>
  <c r="BF67" i="12"/>
  <c r="BF68" i="12" s="1"/>
  <c r="N14" i="26"/>
  <c r="R14" i="39"/>
  <c r="Z14" i="38"/>
  <c r="AB9" i="28"/>
  <c r="V5" i="47" s="1"/>
  <c r="P9" i="29"/>
  <c r="M9" i="30"/>
  <c r="K25" i="10"/>
  <c r="K21" i="10"/>
  <c r="K10" i="30"/>
  <c r="BK55" i="12" l="1"/>
  <c r="BJ13" i="14"/>
  <c r="BJ10" i="19" s="1"/>
  <c r="X50" i="15"/>
  <c r="X51" i="15" s="1"/>
  <c r="X31" i="15" s="1"/>
  <c r="X10" i="19"/>
  <c r="BK20" i="13"/>
  <c r="BK28" i="13"/>
  <c r="BD13" i="14"/>
  <c r="BD10" i="19" s="1"/>
  <c r="BQ13" i="14"/>
  <c r="BQ35" i="15" s="1"/>
  <c r="BP13" i="14"/>
  <c r="BP50" i="15" s="1"/>
  <c r="BP51" i="15" s="1"/>
  <c r="AA50" i="15"/>
  <c r="AA51" i="15" s="1"/>
  <c r="AA52" i="15" s="1"/>
  <c r="AA9" i="34" s="1"/>
  <c r="U48" i="47" s="1"/>
  <c r="AA35" i="15"/>
  <c r="BH13" i="14"/>
  <c r="BH10" i="19" s="1"/>
  <c r="AE35" i="15"/>
  <c r="AE50" i="15"/>
  <c r="AE51" i="15" s="1"/>
  <c r="AE52" i="15" s="1"/>
  <c r="AX13" i="14"/>
  <c r="AX35" i="15" s="1"/>
  <c r="BK13" i="14"/>
  <c r="BK10" i="19" s="1"/>
  <c r="N9" i="20"/>
  <c r="N10" i="20" s="1"/>
  <c r="N20" i="20" s="1"/>
  <c r="N21" i="20" s="1"/>
  <c r="N34" i="20" s="1"/>
  <c r="AP13" i="14"/>
  <c r="AP10" i="19" s="1"/>
  <c r="P11" i="28"/>
  <c r="J7" i="47" s="1"/>
  <c r="M11" i="28"/>
  <c r="G7" i="47" s="1"/>
  <c r="AU13" i="14"/>
  <c r="AU10" i="19" s="1"/>
  <c r="M10" i="29"/>
  <c r="N10" i="23"/>
  <c r="AY13" i="14"/>
  <c r="AY50" i="15" s="1"/>
  <c r="AY51" i="15" s="1"/>
  <c r="AO13" i="14"/>
  <c r="AO50" i="15" s="1"/>
  <c r="AO51" i="15" s="1"/>
  <c r="H19" i="14"/>
  <c r="H48" i="15" s="1"/>
  <c r="BE13" i="14"/>
  <c r="BE35" i="15" s="1"/>
  <c r="Z10" i="29"/>
  <c r="AJ10" i="19"/>
  <c r="AJ50" i="15"/>
  <c r="AJ51" i="15" s="1"/>
  <c r="AJ35" i="15"/>
  <c r="AN10" i="19"/>
  <c r="AN50" i="15"/>
  <c r="AN51" i="15" s="1"/>
  <c r="AN35" i="15"/>
  <c r="AM10" i="19"/>
  <c r="AM50" i="15"/>
  <c r="AM51" i="15" s="1"/>
  <c r="AM35" i="15"/>
  <c r="H33" i="15"/>
  <c r="W31" i="15"/>
  <c r="W52" i="15"/>
  <c r="W9" i="34" s="1"/>
  <c r="Q48" i="47" s="1"/>
  <c r="P52" i="15"/>
  <c r="P31" i="15"/>
  <c r="BF10" i="19"/>
  <c r="BF50" i="15"/>
  <c r="BF51" i="15" s="1"/>
  <c r="BF35" i="15"/>
  <c r="J12" i="37"/>
  <c r="K38" i="12"/>
  <c r="S10" i="19"/>
  <c r="S50" i="15"/>
  <c r="S51" i="15" s="1"/>
  <c r="S35" i="15"/>
  <c r="AH10" i="19"/>
  <c r="AH50" i="15"/>
  <c r="AH51" i="15" s="1"/>
  <c r="AH35" i="15"/>
  <c r="AV13" i="14"/>
  <c r="BQ18" i="37"/>
  <c r="BQ20" i="13"/>
  <c r="BQ28" i="13"/>
  <c r="BQ55" i="12"/>
  <c r="J18" i="26"/>
  <c r="J18" i="39"/>
  <c r="H68" i="12"/>
  <c r="L18" i="38"/>
  <c r="M18" i="38"/>
  <c r="X52" i="15"/>
  <c r="X9" i="34" s="1"/>
  <c r="R48" i="47" s="1"/>
  <c r="BA13" i="14"/>
  <c r="Q10" i="29"/>
  <c r="N52" i="15"/>
  <c r="N9" i="34" s="1"/>
  <c r="H48" i="47" s="1"/>
  <c r="N31" i="15"/>
  <c r="BM18" i="37"/>
  <c r="BM55" i="12"/>
  <c r="BM28" i="13"/>
  <c r="BM20" i="13"/>
  <c r="T10" i="19"/>
  <c r="T50" i="15"/>
  <c r="T51" i="15" s="1"/>
  <c r="T35" i="15"/>
  <c r="J8" i="31"/>
  <c r="D23" i="47" s="1"/>
  <c r="K18" i="13"/>
  <c r="BL18" i="37"/>
  <c r="BL55" i="12"/>
  <c r="BL28" i="13"/>
  <c r="BL20" i="13"/>
  <c r="S18" i="39"/>
  <c r="AB18" i="38"/>
  <c r="L10" i="23"/>
  <c r="AC10" i="19"/>
  <c r="AC35" i="15"/>
  <c r="AC50" i="15"/>
  <c r="AC51" i="15" s="1"/>
  <c r="AK10" i="19"/>
  <c r="AK35" i="15"/>
  <c r="AK50" i="15"/>
  <c r="AK51" i="15" s="1"/>
  <c r="AL10" i="19"/>
  <c r="AL50" i="15"/>
  <c r="AL51" i="15" s="1"/>
  <c r="AL35" i="15"/>
  <c r="BM31" i="15"/>
  <c r="BM52" i="15"/>
  <c r="BM9" i="34" s="1"/>
  <c r="BG48" i="47" s="1"/>
  <c r="V52" i="15"/>
  <c r="V31" i="15"/>
  <c r="BJ18" i="37"/>
  <c r="BJ28" i="13"/>
  <c r="BJ20" i="13"/>
  <c r="BJ55" i="12"/>
  <c r="AZ10" i="19"/>
  <c r="AZ50" i="15"/>
  <c r="AZ51" i="15" s="1"/>
  <c r="AZ35" i="15"/>
  <c r="AK9" i="28"/>
  <c r="AE5" i="47" s="1"/>
  <c r="S9" i="29"/>
  <c r="BO10" i="19"/>
  <c r="BO35" i="15"/>
  <c r="BO50" i="15"/>
  <c r="BO51" i="15" s="1"/>
  <c r="BG10" i="19"/>
  <c r="BG50" i="15"/>
  <c r="BG51" i="15" s="1"/>
  <c r="BG35" i="15"/>
  <c r="BI9" i="28"/>
  <c r="BC5" i="47" s="1"/>
  <c r="AA9" i="29"/>
  <c r="AW9" i="28"/>
  <c r="AQ5" i="47" s="1"/>
  <c r="W9" i="29"/>
  <c r="J21" i="34"/>
  <c r="D60" i="47" s="1"/>
  <c r="J12" i="18"/>
  <c r="J15" i="18" s="1"/>
  <c r="AW10" i="19"/>
  <c r="AW50" i="15"/>
  <c r="AW51" i="15" s="1"/>
  <c r="AW35" i="15"/>
  <c r="BP10" i="28"/>
  <c r="S10" i="30"/>
  <c r="AC10" i="29"/>
  <c r="AR10" i="19"/>
  <c r="AR50" i="15"/>
  <c r="AR51" i="15" s="1"/>
  <c r="AR35" i="15"/>
  <c r="BQ10" i="28"/>
  <c r="L10" i="29"/>
  <c r="J10" i="28"/>
  <c r="AF10" i="19"/>
  <c r="AF50" i="15"/>
  <c r="AF51" i="15" s="1"/>
  <c r="AF35" i="15"/>
  <c r="BA10" i="28"/>
  <c r="Q10" i="30"/>
  <c r="X10" i="29"/>
  <c r="BO9" i="28"/>
  <c r="BI5" i="47" s="1"/>
  <c r="AC9" i="29"/>
  <c r="AS10" i="19"/>
  <c r="AS35" i="15"/>
  <c r="AS50" i="15"/>
  <c r="AS51" i="15" s="1"/>
  <c r="BO18" i="37"/>
  <c r="BO28" i="13"/>
  <c r="BO20" i="13"/>
  <c r="BO55" i="12"/>
  <c r="AC18" i="38"/>
  <c r="AQ10" i="19"/>
  <c r="AQ35" i="15"/>
  <c r="AQ50" i="15"/>
  <c r="AQ51" i="15" s="1"/>
  <c r="O20" i="20"/>
  <c r="O21" i="20" s="1"/>
  <c r="O34" i="20" s="1"/>
  <c r="O14" i="20"/>
  <c r="O15" i="20" s="1"/>
  <c r="Z52" i="15"/>
  <c r="Z9" i="34" s="1"/>
  <c r="T48" i="47" s="1"/>
  <c r="Z31" i="15"/>
  <c r="BL10" i="19"/>
  <c r="BL50" i="15"/>
  <c r="BL51" i="15" s="1"/>
  <c r="BL35" i="15"/>
  <c r="J15" i="15"/>
  <c r="J32" i="15"/>
  <c r="BP18" i="37"/>
  <c r="BP28" i="13"/>
  <c r="BP20" i="13"/>
  <c r="BP55" i="12"/>
  <c r="K48" i="15"/>
  <c r="K11" i="14"/>
  <c r="K13" i="14" s="1"/>
  <c r="K20" i="14"/>
  <c r="K10" i="28" s="1"/>
  <c r="K11" i="28" s="1"/>
  <c r="E7" i="47" s="1"/>
  <c r="K33" i="15"/>
  <c r="J17" i="34"/>
  <c r="D56" i="47" s="1"/>
  <c r="J27" i="17"/>
  <c r="P28" i="17" s="1"/>
  <c r="J12" i="17"/>
  <c r="J15" i="17" s="1"/>
  <c r="BF9" i="28"/>
  <c r="AZ5" i="47" s="1"/>
  <c r="N9" i="23"/>
  <c r="H5" i="50" s="1"/>
  <c r="R9" i="30"/>
  <c r="Z9" i="29"/>
  <c r="BC10" i="19"/>
  <c r="BC50" i="15"/>
  <c r="BC51" i="15" s="1"/>
  <c r="BC35" i="15"/>
  <c r="BI18" i="37"/>
  <c r="BI28" i="13"/>
  <c r="BI20" i="13"/>
  <c r="BI55" i="12"/>
  <c r="AA18" i="38"/>
  <c r="AZ9" i="28"/>
  <c r="AT5" i="47" s="1"/>
  <c r="Q9" i="30"/>
  <c r="X9" i="29"/>
  <c r="J13" i="14"/>
  <c r="AC10" i="28"/>
  <c r="M10" i="30"/>
  <c r="P10" i="29"/>
  <c r="AQ9" i="28"/>
  <c r="AK5" i="47" s="1"/>
  <c r="U9" i="29"/>
  <c r="M52" i="15"/>
  <c r="M31" i="15"/>
  <c r="BN18" i="37"/>
  <c r="BN28" i="13"/>
  <c r="BN20" i="13"/>
  <c r="BN55" i="12"/>
  <c r="U10" i="19"/>
  <c r="U35" i="15"/>
  <c r="U50" i="15"/>
  <c r="U51" i="15" s="1"/>
  <c r="L48" i="15"/>
  <c r="L20" i="14"/>
  <c r="L10" i="28" s="1"/>
  <c r="L11" i="28" s="1"/>
  <c r="F7" i="47" s="1"/>
  <c r="L33" i="15"/>
  <c r="L11" i="14"/>
  <c r="L13" i="14" s="1"/>
  <c r="BC9" i="28"/>
  <c r="AW5" i="47" s="1"/>
  <c r="Y9" i="29"/>
  <c r="K10" i="37"/>
  <c r="K24" i="12"/>
  <c r="L17" i="10"/>
  <c r="BF18" i="37"/>
  <c r="BF28" i="13"/>
  <c r="BF20" i="13"/>
  <c r="BF55" i="12"/>
  <c r="R18" i="39"/>
  <c r="Z18" i="38"/>
  <c r="N18" i="26"/>
  <c r="BG18" i="37"/>
  <c r="BG28" i="13"/>
  <c r="BG20" i="13"/>
  <c r="BG55" i="12"/>
  <c r="V10" i="29"/>
  <c r="K10" i="23"/>
  <c r="J29" i="15"/>
  <c r="J10" i="12"/>
  <c r="J11" i="12" s="1"/>
  <c r="BJ10" i="28"/>
  <c r="AA10" i="29"/>
  <c r="H49" i="15"/>
  <c r="H12" i="14"/>
  <c r="H34" i="15"/>
  <c r="AG10" i="19"/>
  <c r="AG50" i="15"/>
  <c r="AG51" i="15" s="1"/>
  <c r="AG35" i="15"/>
  <c r="T10" i="29"/>
  <c r="AT10" i="19"/>
  <c r="AT50" i="15"/>
  <c r="AT51" i="15" s="1"/>
  <c r="AT35" i="15"/>
  <c r="AD10" i="19"/>
  <c r="AD50" i="15"/>
  <c r="AD51" i="15" s="1"/>
  <c r="AD35" i="15"/>
  <c r="BB13" i="14"/>
  <c r="AN9" i="28"/>
  <c r="AH5" i="47" s="1"/>
  <c r="T9" i="29"/>
  <c r="O9" i="30"/>
  <c r="BL9" i="28"/>
  <c r="BF5" i="47" s="1"/>
  <c r="AB9" i="29"/>
  <c r="S9" i="30"/>
  <c r="BN10" i="19"/>
  <c r="BN35" i="15"/>
  <c r="BN50" i="15"/>
  <c r="BN51" i="15" s="1"/>
  <c r="AT9" i="28"/>
  <c r="AN5" i="47" s="1"/>
  <c r="P9" i="30"/>
  <c r="M9" i="23"/>
  <c r="G5" i="50" s="1"/>
  <c r="V9" i="29"/>
  <c r="AI10" i="19"/>
  <c r="AI50" i="15"/>
  <c r="AI51" i="15" s="1"/>
  <c r="AI35" i="15"/>
  <c r="H14" i="39"/>
  <c r="H14" i="38"/>
  <c r="H14" i="37"/>
  <c r="H14" i="26"/>
  <c r="H63" i="12"/>
  <c r="H54" i="12"/>
  <c r="H67" i="12"/>
  <c r="P10" i="30"/>
  <c r="P13" i="37"/>
  <c r="P40" i="12"/>
  <c r="P52" i="12"/>
  <c r="P56" i="12" s="1"/>
  <c r="BJ50" i="15"/>
  <c r="BJ51" i="15" s="1"/>
  <c r="J9" i="28"/>
  <c r="H27" i="14"/>
  <c r="J9" i="29"/>
  <c r="J9" i="23"/>
  <c r="D5" i="50" s="1"/>
  <c r="J9" i="30"/>
  <c r="Q31" i="15"/>
  <c r="Q52" i="15"/>
  <c r="Q9" i="34" s="1"/>
  <c r="K48" i="47" s="1"/>
  <c r="Y31" i="15"/>
  <c r="Y52" i="15"/>
  <c r="AH9" i="28"/>
  <c r="AB5" i="47" s="1"/>
  <c r="R9" i="29"/>
  <c r="L9" i="23"/>
  <c r="F5" i="50" s="1"/>
  <c r="N9" i="30"/>
  <c r="AB52" i="15"/>
  <c r="AB31" i="15"/>
  <c r="O10" i="30"/>
  <c r="BH18" i="37"/>
  <c r="BH28" i="13"/>
  <c r="BH20" i="13"/>
  <c r="BH55" i="12"/>
  <c r="BI10" i="19"/>
  <c r="BI50" i="15"/>
  <c r="BI51" i="15" s="1"/>
  <c r="BI35" i="15"/>
  <c r="BJ35" i="15" l="1"/>
  <c r="D5" i="47"/>
  <c r="D85" i="49" a="1"/>
  <c r="D85" i="49" s="1"/>
  <c r="BD35" i="15"/>
  <c r="BD50" i="15"/>
  <c r="BD51" i="15" s="1"/>
  <c r="BD52" i="15" s="1"/>
  <c r="BD9" i="34" s="1"/>
  <c r="AX48" i="47" s="1"/>
  <c r="BP10" i="19"/>
  <c r="BQ10" i="19"/>
  <c r="BP35" i="15"/>
  <c r="AA31" i="15"/>
  <c r="BQ50" i="15"/>
  <c r="BQ51" i="15" s="1"/>
  <c r="BQ52" i="15" s="1"/>
  <c r="BK35" i="15"/>
  <c r="BK50" i="15"/>
  <c r="BK51" i="15" s="1"/>
  <c r="BK52" i="15" s="1"/>
  <c r="BK9" i="34" s="1"/>
  <c r="BE48" i="47" s="1"/>
  <c r="BH35" i="15"/>
  <c r="BH50" i="15"/>
  <c r="BH51" i="15" s="1"/>
  <c r="BH52" i="15" s="1"/>
  <c r="BH9" i="34" s="1"/>
  <c r="BB48" i="47" s="1"/>
  <c r="AE31" i="15"/>
  <c r="AX10" i="19"/>
  <c r="P9" i="20"/>
  <c r="P10" i="20" s="1"/>
  <c r="P14" i="20" s="1"/>
  <c r="P15" i="20" s="1"/>
  <c r="AU35" i="15"/>
  <c r="AX50" i="15"/>
  <c r="AX51" i="15" s="1"/>
  <c r="AX31" i="15" s="1"/>
  <c r="N14" i="20"/>
  <c r="N15" i="20" s="1"/>
  <c r="N25" i="20" s="1"/>
  <c r="BE50" i="15"/>
  <c r="BE51" i="15" s="1"/>
  <c r="BE31" i="15" s="1"/>
  <c r="AP50" i="15"/>
  <c r="AP51" i="15" s="1"/>
  <c r="AP31" i="15" s="1"/>
  <c r="AY35" i="15"/>
  <c r="K11" i="29"/>
  <c r="M9" i="20"/>
  <c r="M10" i="20" s="1"/>
  <c r="M14" i="20" s="1"/>
  <c r="M15" i="20" s="1"/>
  <c r="AP35" i="15"/>
  <c r="BE10" i="19"/>
  <c r="AO10" i="19"/>
  <c r="AY10" i="19"/>
  <c r="AO35" i="15"/>
  <c r="J11" i="28"/>
  <c r="AU50" i="15"/>
  <c r="AU51" i="15" s="1"/>
  <c r="AU31" i="15" s="1"/>
  <c r="H20" i="14"/>
  <c r="H11" i="14"/>
  <c r="BC31" i="15"/>
  <c r="BC52" i="15"/>
  <c r="AC52" i="15"/>
  <c r="AC9" i="34" s="1"/>
  <c r="W48" i="47" s="1"/>
  <c r="AC31" i="15"/>
  <c r="BF52" i="15"/>
  <c r="BF31" i="15"/>
  <c r="AD31" i="15"/>
  <c r="AD52" i="15"/>
  <c r="AD9" i="34" s="1"/>
  <c r="X48" i="47" s="1"/>
  <c r="AI52" i="15"/>
  <c r="AI9" i="34" s="1"/>
  <c r="AC48" i="47" s="1"/>
  <c r="AI31" i="15"/>
  <c r="BJ52" i="15"/>
  <c r="BJ9" i="34" s="1"/>
  <c r="BD48" i="47" s="1"/>
  <c r="BJ31" i="15"/>
  <c r="U52" i="15"/>
  <c r="U9" i="34" s="1"/>
  <c r="O48" i="47" s="1"/>
  <c r="U31" i="15"/>
  <c r="AS52" i="15"/>
  <c r="AS9" i="34" s="1"/>
  <c r="AM48" i="47" s="1"/>
  <c r="AS31" i="15"/>
  <c r="BI52" i="15"/>
  <c r="BI31" i="15"/>
  <c r="BL52" i="15"/>
  <c r="BL31" i="15"/>
  <c r="BG52" i="15"/>
  <c r="BG9" i="34" s="1"/>
  <c r="BA48" i="47" s="1"/>
  <c r="BG31" i="15"/>
  <c r="J9" i="19"/>
  <c r="J30" i="15"/>
  <c r="AF52" i="15"/>
  <c r="AF9" i="34" s="1"/>
  <c r="Z48" i="47" s="1"/>
  <c r="AF31" i="15"/>
  <c r="J10" i="30"/>
  <c r="AW31" i="15"/>
  <c r="AW52" i="15"/>
  <c r="AN52" i="15"/>
  <c r="AN31" i="15"/>
  <c r="BN52" i="15"/>
  <c r="BN9" i="34" s="1"/>
  <c r="BH48" i="47" s="1"/>
  <c r="BN31" i="15"/>
  <c r="AK52" i="15"/>
  <c r="AK31" i="15"/>
  <c r="K9" i="20"/>
  <c r="K10" i="20" s="1"/>
  <c r="AL52" i="15"/>
  <c r="AL9" i="34" s="1"/>
  <c r="AF48" i="47" s="1"/>
  <c r="AL31" i="15"/>
  <c r="J10" i="29"/>
  <c r="J18" i="31"/>
  <c r="D33" i="47" s="1"/>
  <c r="K11" i="18"/>
  <c r="AY52" i="15"/>
  <c r="AY9" i="34" s="1"/>
  <c r="AS48" i="47" s="1"/>
  <c r="AY31" i="15"/>
  <c r="AH52" i="15"/>
  <c r="AH31" i="15"/>
  <c r="K10" i="13"/>
  <c r="K11" i="13" s="1"/>
  <c r="AV50" i="15"/>
  <c r="AV51" i="15" s="1"/>
  <c r="AV10" i="19"/>
  <c r="AV35" i="15"/>
  <c r="K10" i="19"/>
  <c r="K35" i="15"/>
  <c r="K50" i="15"/>
  <c r="K51" i="15" s="1"/>
  <c r="J14" i="34"/>
  <c r="D53" i="47" s="1"/>
  <c r="O39" i="20"/>
  <c r="O25" i="20"/>
  <c r="J10" i="23"/>
  <c r="V9" i="34"/>
  <c r="P48" i="47" s="1"/>
  <c r="L9" i="36"/>
  <c r="N9" i="35"/>
  <c r="BP52" i="15"/>
  <c r="BP9" i="34" s="1"/>
  <c r="BJ48" i="47" s="1"/>
  <c r="BP31" i="15"/>
  <c r="H18" i="39"/>
  <c r="H18" i="38"/>
  <c r="H18" i="37"/>
  <c r="H18" i="26"/>
  <c r="H55" i="12"/>
  <c r="H20" i="13"/>
  <c r="H28" i="13"/>
  <c r="AE9" i="34"/>
  <c r="Y48" i="47" s="1"/>
  <c r="AQ52" i="15"/>
  <c r="AQ31" i="15"/>
  <c r="H10" i="30"/>
  <c r="H10" i="28"/>
  <c r="H10" i="29"/>
  <c r="H10" i="23"/>
  <c r="P9" i="34"/>
  <c r="J48" i="47" s="1"/>
  <c r="L9" i="35"/>
  <c r="AG31" i="15"/>
  <c r="AG52" i="15"/>
  <c r="AG9" i="34" s="1"/>
  <c r="AA48" i="47" s="1"/>
  <c r="Y9" i="34"/>
  <c r="S48" i="47" s="1"/>
  <c r="O9" i="35"/>
  <c r="L10" i="19"/>
  <c r="L50" i="15"/>
  <c r="L51" i="15" s="1"/>
  <c r="L35" i="15"/>
  <c r="T52" i="15"/>
  <c r="T9" i="34" s="1"/>
  <c r="N48" i="47" s="1"/>
  <c r="T31" i="15"/>
  <c r="AO52" i="15"/>
  <c r="AO9" i="34" s="1"/>
  <c r="AI48" i="47" s="1"/>
  <c r="AO31" i="15"/>
  <c r="BA10" i="19"/>
  <c r="BA35" i="15"/>
  <c r="BA50" i="15"/>
  <c r="BA51" i="15" s="1"/>
  <c r="K25" i="12"/>
  <c r="K26" i="12" s="1"/>
  <c r="AM52" i="15"/>
  <c r="AM9" i="34" s="1"/>
  <c r="AG48" i="47" s="1"/>
  <c r="AM31" i="15"/>
  <c r="P15" i="37"/>
  <c r="Q51" i="12"/>
  <c r="BB10" i="19"/>
  <c r="BB50" i="15"/>
  <c r="BB51" i="15" s="1"/>
  <c r="BB35" i="15"/>
  <c r="M9" i="34"/>
  <c r="G48" i="47" s="1"/>
  <c r="K9" i="35"/>
  <c r="J10" i="19"/>
  <c r="J35" i="15"/>
  <c r="J50" i="15"/>
  <c r="J51" i="15" s="1"/>
  <c r="H13" i="14"/>
  <c r="J16" i="31"/>
  <c r="K11" i="17"/>
  <c r="AZ52" i="15"/>
  <c r="AZ31" i="15"/>
  <c r="AJ52" i="15"/>
  <c r="AJ9" i="34" s="1"/>
  <c r="AD48" i="47" s="1"/>
  <c r="AJ31" i="15"/>
  <c r="AR52" i="15"/>
  <c r="AR9" i="34" s="1"/>
  <c r="AL48" i="47" s="1"/>
  <c r="AR31" i="15"/>
  <c r="H9" i="30"/>
  <c r="H9" i="29"/>
  <c r="H9" i="28"/>
  <c r="H9" i="23"/>
  <c r="AT31" i="15"/>
  <c r="AT52" i="15"/>
  <c r="BO52" i="15"/>
  <c r="BO31" i="15"/>
  <c r="L9" i="20"/>
  <c r="L10" i="20" s="1"/>
  <c r="P29" i="17"/>
  <c r="P18" i="34" s="1"/>
  <c r="J57" i="47" s="1"/>
  <c r="P14" i="17"/>
  <c r="AB9" i="34"/>
  <c r="V48" i="47" s="1"/>
  <c r="L25" i="10"/>
  <c r="L21" i="10"/>
  <c r="S52" i="15"/>
  <c r="S9" i="34" s="1"/>
  <c r="M48" i="47" s="1"/>
  <c r="S31" i="15"/>
  <c r="D7" i="47" l="1"/>
  <c r="D31" i="47"/>
  <c r="BH31" i="15"/>
  <c r="BD31" i="15"/>
  <c r="BQ31" i="15"/>
  <c r="AP52" i="15"/>
  <c r="AP9" i="34" s="1"/>
  <c r="AJ48" i="47" s="1"/>
  <c r="BK31" i="15"/>
  <c r="AX52" i="15"/>
  <c r="AX9" i="34" s="1"/>
  <c r="AR48" i="47" s="1"/>
  <c r="N39" i="20"/>
  <c r="P20" i="20"/>
  <c r="P21" i="20" s="1"/>
  <c r="P34" i="20" s="1"/>
  <c r="AU52" i="15"/>
  <c r="AU9" i="34" s="1"/>
  <c r="AO48" i="47" s="1"/>
  <c r="BE52" i="15"/>
  <c r="BE9" i="34" s="1"/>
  <c r="AY48" i="47" s="1"/>
  <c r="M20" i="20"/>
  <c r="M21" i="20" s="1"/>
  <c r="M34" i="20" s="1"/>
  <c r="J11" i="30"/>
  <c r="J11" i="29"/>
  <c r="J9" i="20"/>
  <c r="J10" i="20" s="1"/>
  <c r="J14" i="20" s="1"/>
  <c r="J15" i="20" s="1"/>
  <c r="J14" i="28"/>
  <c r="M9" i="36"/>
  <c r="P9" i="35"/>
  <c r="K9" i="25"/>
  <c r="E48" i="50" s="1"/>
  <c r="Q9" i="35"/>
  <c r="K11" i="37"/>
  <c r="K20" i="17"/>
  <c r="K22" i="17" s="1"/>
  <c r="K20" i="18"/>
  <c r="K22" i="18" s="1"/>
  <c r="K19" i="13"/>
  <c r="K21" i="13" s="1"/>
  <c r="K13" i="15"/>
  <c r="K14" i="15" s="1"/>
  <c r="K39" i="12"/>
  <c r="K41" i="12" s="1"/>
  <c r="K31" i="12"/>
  <c r="Q32" i="12" s="1"/>
  <c r="K17" i="9"/>
  <c r="K18" i="9" s="1"/>
  <c r="L52" i="15"/>
  <c r="L9" i="34" s="1"/>
  <c r="F48" i="47" s="1"/>
  <c r="L31" i="15"/>
  <c r="BB31" i="15"/>
  <c r="BB52" i="15"/>
  <c r="BB9" i="34" s="1"/>
  <c r="AV48" i="47" s="1"/>
  <c r="BA52" i="15"/>
  <c r="BA9" i="34" s="1"/>
  <c r="AU48" i="47" s="1"/>
  <c r="BA31" i="15"/>
  <c r="K9" i="36"/>
  <c r="K52" i="15"/>
  <c r="K9" i="34" s="1"/>
  <c r="E48" i="47" s="1"/>
  <c r="K31" i="15"/>
  <c r="K20" i="20"/>
  <c r="K21" i="20" s="1"/>
  <c r="K34" i="20" s="1"/>
  <c r="K14" i="20"/>
  <c r="K15" i="20" s="1"/>
  <c r="AN9" i="34"/>
  <c r="AH48" i="47" s="1"/>
  <c r="K40" i="18"/>
  <c r="K41" i="18" s="1"/>
  <c r="K27" i="18"/>
  <c r="K28" i="18" s="1"/>
  <c r="AW9" i="34"/>
  <c r="AQ48" i="47" s="1"/>
  <c r="J11" i="19"/>
  <c r="BF9" i="34"/>
  <c r="AZ48" i="47" s="1"/>
  <c r="N9" i="25"/>
  <c r="H48" i="50" s="1"/>
  <c r="R9" i="36"/>
  <c r="Z9" i="35"/>
  <c r="J52" i="15"/>
  <c r="H51" i="15"/>
  <c r="H31" i="15" s="1"/>
  <c r="J31" i="15"/>
  <c r="J36" i="15" s="1"/>
  <c r="Q24" i="10"/>
  <c r="P25" i="20"/>
  <c r="P39" i="20"/>
  <c r="AV52" i="15"/>
  <c r="AV9" i="34" s="1"/>
  <c r="AP48" i="47" s="1"/>
  <c r="AV31" i="15"/>
  <c r="AK9" i="34"/>
  <c r="AE48" i="47" s="1"/>
  <c r="S9" i="35"/>
  <c r="BL9" i="34"/>
  <c r="BF48" i="47" s="1"/>
  <c r="AB9" i="35"/>
  <c r="S9" i="36"/>
  <c r="AQ9" i="34"/>
  <c r="AK48" i="47" s="1"/>
  <c r="U9" i="35"/>
  <c r="K27" i="13"/>
  <c r="K29" i="13" s="1"/>
  <c r="K12" i="13"/>
  <c r="L10" i="37"/>
  <c r="L24" i="12"/>
  <c r="M17" i="10"/>
  <c r="J10" i="38"/>
  <c r="BI9" i="34"/>
  <c r="BC48" i="47" s="1"/>
  <c r="AA9" i="35"/>
  <c r="L14" i="20"/>
  <c r="L15" i="20" s="1"/>
  <c r="L20" i="20"/>
  <c r="L21" i="20" s="1"/>
  <c r="L34" i="20" s="1"/>
  <c r="BQ9" i="34"/>
  <c r="BK48" i="47" s="1"/>
  <c r="M9" i="35"/>
  <c r="AZ9" i="34"/>
  <c r="AT48" i="47" s="1"/>
  <c r="AH9" i="34"/>
  <c r="AB48" i="47" s="1"/>
  <c r="N9" i="36"/>
  <c r="L9" i="25"/>
  <c r="F48" i="50" s="1"/>
  <c r="R9" i="35"/>
  <c r="BC9" i="34"/>
  <c r="AW48" i="47" s="1"/>
  <c r="H10" i="19"/>
  <c r="H50" i="15"/>
  <c r="H35" i="15"/>
  <c r="BO9" i="34"/>
  <c r="BI48" i="47" s="1"/>
  <c r="AC9" i="35"/>
  <c r="M25" i="20"/>
  <c r="M39" i="20"/>
  <c r="AT9" i="34"/>
  <c r="AN48" i="47" s="1"/>
  <c r="K40" i="17"/>
  <c r="K41" i="17" s="1"/>
  <c r="D10" i="47" l="1"/>
  <c r="T9" i="35"/>
  <c r="O9" i="36"/>
  <c r="W9" i="35"/>
  <c r="Y9" i="35"/>
  <c r="J20" i="20"/>
  <c r="J21" i="20" s="1"/>
  <c r="J34" i="20" s="1"/>
  <c r="V9" i="35"/>
  <c r="J19" i="28"/>
  <c r="X9" i="35"/>
  <c r="Q9" i="36"/>
  <c r="P9" i="36"/>
  <c r="M9" i="25"/>
  <c r="G48" i="50" s="1"/>
  <c r="J15" i="31"/>
  <c r="K28" i="15"/>
  <c r="Q13" i="37"/>
  <c r="Q52" i="12"/>
  <c r="Q40" i="12"/>
  <c r="K30" i="13"/>
  <c r="K9" i="31" s="1"/>
  <c r="E24" i="47" s="1"/>
  <c r="L26" i="13"/>
  <c r="K12" i="37"/>
  <c r="L38" i="12"/>
  <c r="K13" i="28"/>
  <c r="K39" i="20"/>
  <c r="K25" i="20"/>
  <c r="K27" i="20" s="1"/>
  <c r="J39" i="20"/>
  <c r="J25" i="20"/>
  <c r="J27" i="20" s="1"/>
  <c r="K15" i="15"/>
  <c r="K32" i="15"/>
  <c r="K33" i="17"/>
  <c r="K46" i="17"/>
  <c r="K47" i="17" s="1"/>
  <c r="K42" i="17"/>
  <c r="K14" i="18"/>
  <c r="K29" i="18"/>
  <c r="K8" i="31"/>
  <c r="E23" i="47" s="1"/>
  <c r="L18" i="13"/>
  <c r="K46" i="18"/>
  <c r="K47" i="18" s="1"/>
  <c r="K42" i="18"/>
  <c r="K33" i="18"/>
  <c r="K21" i="34"/>
  <c r="E60" i="47" s="1"/>
  <c r="K12" i="18"/>
  <c r="K17" i="34"/>
  <c r="E56" i="47" s="1"/>
  <c r="K27" i="17"/>
  <c r="Q28" i="17" s="1"/>
  <c r="K12" i="17"/>
  <c r="L25" i="20"/>
  <c r="L39" i="20"/>
  <c r="M25" i="10"/>
  <c r="M21" i="10"/>
  <c r="J9" i="34"/>
  <c r="D48" i="47" s="1"/>
  <c r="H52" i="15"/>
  <c r="J9" i="35"/>
  <c r="J9" i="36"/>
  <c r="J9" i="25"/>
  <c r="D48" i="50" s="1"/>
  <c r="J22" i="19"/>
  <c r="J23" i="19" s="1"/>
  <c r="K29" i="15"/>
  <c r="K10" i="12"/>
  <c r="K11" i="12" s="1"/>
  <c r="E9" i="47" l="1"/>
  <c r="D30" i="47"/>
  <c r="J82" i="20"/>
  <c r="D15" i="47"/>
  <c r="J12" i="34"/>
  <c r="D51" i="47" s="1"/>
  <c r="K14" i="28"/>
  <c r="K9" i="19"/>
  <c r="K11" i="19" s="1"/>
  <c r="K30" i="15"/>
  <c r="K36" i="15" s="1"/>
  <c r="K22" i="34"/>
  <c r="E61" i="47" s="1"/>
  <c r="K14" i="34"/>
  <c r="E53" i="47" s="1"/>
  <c r="M10" i="37"/>
  <c r="M24" i="12"/>
  <c r="N17" i="10"/>
  <c r="K18" i="28"/>
  <c r="J49" i="19"/>
  <c r="J51" i="19" s="1"/>
  <c r="J30" i="19"/>
  <c r="J32" i="19" s="1"/>
  <c r="K48" i="18"/>
  <c r="K34" i="18"/>
  <c r="K35" i="18" s="1"/>
  <c r="K40" i="20"/>
  <c r="K41" i="20" s="1"/>
  <c r="K46" i="20" s="1"/>
  <c r="K47" i="20" s="1"/>
  <c r="K35" i="20"/>
  <c r="K36" i="20" s="1"/>
  <c r="L33" i="20" s="1"/>
  <c r="K16" i="28"/>
  <c r="J35" i="20"/>
  <c r="J40" i="20"/>
  <c r="J41" i="20" s="1"/>
  <c r="L25" i="12"/>
  <c r="L26" i="12" s="1"/>
  <c r="L10" i="13"/>
  <c r="L11" i="13" s="1"/>
  <c r="K34" i="17"/>
  <c r="K35" i="17" s="1"/>
  <c r="K48" i="17"/>
  <c r="Q29" i="17"/>
  <c r="Q18" i="34" s="1"/>
  <c r="K57" i="47" s="1"/>
  <c r="Q14" i="17"/>
  <c r="H9" i="36"/>
  <c r="H9" i="34"/>
  <c r="H9" i="35"/>
  <c r="H9" i="25"/>
  <c r="E12" i="47" l="1"/>
  <c r="E14" i="47"/>
  <c r="E10" i="47"/>
  <c r="J15" i="34"/>
  <c r="D54" i="47" s="1"/>
  <c r="K19" i="28"/>
  <c r="K76" i="20"/>
  <c r="K81" i="20"/>
  <c r="K48" i="20"/>
  <c r="K21" i="28" s="1"/>
  <c r="E17" i="47" s="1"/>
  <c r="J46" i="20"/>
  <c r="J47" i="20" s="1"/>
  <c r="K15" i="31"/>
  <c r="L28" i="15"/>
  <c r="K13" i="17"/>
  <c r="K15" i="17" s="1"/>
  <c r="J36" i="19"/>
  <c r="K37" i="19" s="1"/>
  <c r="L27" i="13"/>
  <c r="L29" i="13" s="1"/>
  <c r="L12" i="13"/>
  <c r="K13" i="18"/>
  <c r="K15" i="18" s="1"/>
  <c r="K25" i="34"/>
  <c r="E64" i="47" s="1"/>
  <c r="K22" i="19"/>
  <c r="K23" i="19" s="1"/>
  <c r="L26" i="20"/>
  <c r="L27" i="20" s="1"/>
  <c r="K23" i="34"/>
  <c r="E62" i="47" s="1"/>
  <c r="L11" i="37"/>
  <c r="L20" i="18"/>
  <c r="L22" i="18" s="1"/>
  <c r="L20" i="17"/>
  <c r="L22" i="17" s="1"/>
  <c r="L13" i="15"/>
  <c r="L14" i="15" s="1"/>
  <c r="L19" i="13"/>
  <c r="L21" i="13" s="1"/>
  <c r="L39" i="12"/>
  <c r="L41" i="12" s="1"/>
  <c r="L31" i="12"/>
  <c r="R32" i="12" s="1"/>
  <c r="L17" i="9"/>
  <c r="L18" i="9" s="1"/>
  <c r="J11" i="38"/>
  <c r="N25" i="10"/>
  <c r="N21" i="10"/>
  <c r="J19" i="31"/>
  <c r="D34" i="47" s="1"/>
  <c r="K29" i="19"/>
  <c r="E30" i="47" l="1"/>
  <c r="K82" i="20"/>
  <c r="E15" i="47"/>
  <c r="J26" i="34"/>
  <c r="D65" i="47" s="1"/>
  <c r="K22" i="28"/>
  <c r="N10" i="37"/>
  <c r="N24" i="12"/>
  <c r="O17" i="10"/>
  <c r="L12" i="37"/>
  <c r="M38" i="12"/>
  <c r="J12" i="38"/>
  <c r="L35" i="20"/>
  <c r="L36" i="20" s="1"/>
  <c r="M33" i="20" s="1"/>
  <c r="L40" i="20"/>
  <c r="L41" i="20" s="1"/>
  <c r="K16" i="31"/>
  <c r="L11" i="17"/>
  <c r="L15" i="15"/>
  <c r="L32" i="15"/>
  <c r="K18" i="31"/>
  <c r="E33" i="47" s="1"/>
  <c r="L11" i="18"/>
  <c r="K31" i="19"/>
  <c r="K38" i="19"/>
  <c r="K30" i="19"/>
  <c r="K49" i="19"/>
  <c r="L21" i="34"/>
  <c r="F60" i="47" s="1"/>
  <c r="L12" i="18"/>
  <c r="J21" i="35"/>
  <c r="L13" i="28"/>
  <c r="J13" i="29"/>
  <c r="J76" i="20"/>
  <c r="J78" i="20" s="1"/>
  <c r="J48" i="20"/>
  <c r="J81" i="20"/>
  <c r="R13" i="37"/>
  <c r="R52" i="12"/>
  <c r="R40" i="12"/>
  <c r="L30" i="13"/>
  <c r="M26" i="13"/>
  <c r="L8" i="31"/>
  <c r="F23" i="47" s="1"/>
  <c r="M18" i="13"/>
  <c r="J8" i="32"/>
  <c r="L17" i="34"/>
  <c r="F56" i="47" s="1"/>
  <c r="L27" i="17"/>
  <c r="R28" i="17" s="1"/>
  <c r="L12" i="17"/>
  <c r="J17" i="35"/>
  <c r="K48" i="19"/>
  <c r="L29" i="15"/>
  <c r="L10" i="12"/>
  <c r="L11" i="12" s="1"/>
  <c r="F9" i="47" l="1"/>
  <c r="E31" i="47"/>
  <c r="J29" i="34"/>
  <c r="D68" i="47" s="1"/>
  <c r="K37" i="9"/>
  <c r="E18" i="47"/>
  <c r="K32" i="19"/>
  <c r="K19" i="31" s="1"/>
  <c r="E34" i="47" s="1"/>
  <c r="K51" i="19"/>
  <c r="K36" i="19" s="1"/>
  <c r="L37" i="19" s="1"/>
  <c r="L14" i="28"/>
  <c r="M26" i="20"/>
  <c r="M27" i="20" s="1"/>
  <c r="M10" i="13"/>
  <c r="M11" i="13" s="1"/>
  <c r="J21" i="28"/>
  <c r="M25" i="12"/>
  <c r="M26" i="12" s="1"/>
  <c r="L14" i="34"/>
  <c r="F53" i="47" s="1"/>
  <c r="J14" i="35"/>
  <c r="K10" i="34"/>
  <c r="E49" i="47" s="1"/>
  <c r="L40" i="17"/>
  <c r="L41" i="17" s="1"/>
  <c r="O25" i="10"/>
  <c r="O21" i="10"/>
  <c r="L27" i="18"/>
  <c r="L28" i="18" s="1"/>
  <c r="L40" i="18"/>
  <c r="L41" i="18" s="1"/>
  <c r="L9" i="19"/>
  <c r="L11" i="19" s="1"/>
  <c r="L30" i="15"/>
  <c r="L36" i="15" s="1"/>
  <c r="L9" i="31"/>
  <c r="F24" i="47" s="1"/>
  <c r="J9" i="32"/>
  <c r="L46" i="20"/>
  <c r="L47" i="20" s="1"/>
  <c r="J20" i="31"/>
  <c r="K75" i="20"/>
  <c r="R29" i="17"/>
  <c r="R18" i="34" s="1"/>
  <c r="L57" i="47" s="1"/>
  <c r="R14" i="17"/>
  <c r="F10" i="47" l="1"/>
  <c r="J12" i="9"/>
  <c r="J13" i="9" s="1"/>
  <c r="K11" i="9" s="1"/>
  <c r="J21" i="31"/>
  <c r="D36" i="47" s="1"/>
  <c r="D35" i="47"/>
  <c r="J22" i="28"/>
  <c r="D18" i="47" s="1"/>
  <c r="D17" i="47"/>
  <c r="L29" i="19"/>
  <c r="L48" i="19" s="1"/>
  <c r="J14" i="29"/>
  <c r="L15" i="31"/>
  <c r="M28" i="15"/>
  <c r="J15" i="32"/>
  <c r="M35" i="20"/>
  <c r="M36" i="20" s="1"/>
  <c r="N33" i="20" s="1"/>
  <c r="M40" i="20"/>
  <c r="M41" i="20" s="1"/>
  <c r="L81" i="20"/>
  <c r="L76" i="20"/>
  <c r="L48" i="20"/>
  <c r="L42" i="18"/>
  <c r="L33" i="18"/>
  <c r="L46" i="18"/>
  <c r="L47" i="18" s="1"/>
  <c r="L33" i="17"/>
  <c r="L46" i="17"/>
  <c r="L47" i="17" s="1"/>
  <c r="L42" i="17"/>
  <c r="L14" i="18"/>
  <c r="L29" i="18"/>
  <c r="M11" i="37"/>
  <c r="M20" i="18"/>
  <c r="M22" i="18" s="1"/>
  <c r="M13" i="15"/>
  <c r="M14" i="15" s="1"/>
  <c r="M20" i="17"/>
  <c r="M22" i="17" s="1"/>
  <c r="M19" i="13"/>
  <c r="M21" i="13" s="1"/>
  <c r="M39" i="12"/>
  <c r="M41" i="12" s="1"/>
  <c r="M31" i="12"/>
  <c r="S32" i="12" s="1"/>
  <c r="M17" i="9"/>
  <c r="M18" i="9" s="1"/>
  <c r="M27" i="13"/>
  <c r="M29" i="13" s="1"/>
  <c r="M12" i="13"/>
  <c r="K66" i="20"/>
  <c r="K68" i="20" s="1"/>
  <c r="O10" i="37"/>
  <c r="O24" i="12"/>
  <c r="P17" i="10"/>
  <c r="K10" i="38"/>
  <c r="J11" i="31"/>
  <c r="D26" i="47" s="1"/>
  <c r="L38" i="19"/>
  <c r="L31" i="19"/>
  <c r="L22" i="19"/>
  <c r="L23" i="19" s="1"/>
  <c r="J9" i="8" l="1"/>
  <c r="F30" i="47"/>
  <c r="J23" i="9"/>
  <c r="J37" i="9"/>
  <c r="J38" i="9" s="1"/>
  <c r="J25" i="31" s="1"/>
  <c r="D40" i="47" s="1"/>
  <c r="J12" i="31"/>
  <c r="M30" i="13"/>
  <c r="M9" i="31" s="1"/>
  <c r="G24" i="47" s="1"/>
  <c r="N26" i="13"/>
  <c r="M15" i="15"/>
  <c r="M32" i="15"/>
  <c r="L34" i="17"/>
  <c r="L35" i="17" s="1"/>
  <c r="L48" i="17"/>
  <c r="M13" i="28"/>
  <c r="P25" i="10"/>
  <c r="P21" i="10"/>
  <c r="M21" i="34"/>
  <c r="G60" i="47" s="1"/>
  <c r="M12" i="18"/>
  <c r="L34" i="18"/>
  <c r="L35" i="18" s="1"/>
  <c r="L48" i="18"/>
  <c r="M46" i="20"/>
  <c r="M47" i="20" s="1"/>
  <c r="N26" i="20"/>
  <c r="N27" i="20" s="1"/>
  <c r="L10" i="34"/>
  <c r="F49" i="47" s="1"/>
  <c r="J10" i="35"/>
  <c r="M29" i="15"/>
  <c r="M10" i="12"/>
  <c r="M11" i="12" s="1"/>
  <c r="L18" i="28"/>
  <c r="J18" i="29"/>
  <c r="L16" i="28"/>
  <c r="J16" i="29"/>
  <c r="L22" i="34"/>
  <c r="F61" i="47" s="1"/>
  <c r="J22" i="35"/>
  <c r="L30" i="19"/>
  <c r="L32" i="19" s="1"/>
  <c r="L49" i="19"/>
  <c r="L51" i="19" s="1"/>
  <c r="K69" i="20"/>
  <c r="K77" i="20"/>
  <c r="K78" i="20" s="1"/>
  <c r="M12" i="37"/>
  <c r="N38" i="12"/>
  <c r="L21" i="28"/>
  <c r="F17" i="47" s="1"/>
  <c r="J21" i="29"/>
  <c r="M17" i="34"/>
  <c r="G56" i="47" s="1"/>
  <c r="M12" i="17"/>
  <c r="M27" i="17"/>
  <c r="S28" i="17" s="1"/>
  <c r="S13" i="37"/>
  <c r="S52" i="12"/>
  <c r="S40" i="12"/>
  <c r="M8" i="31"/>
  <c r="G23" i="47" s="1"/>
  <c r="N18" i="13"/>
  <c r="F12" i="47" l="1"/>
  <c r="G9" i="47"/>
  <c r="F14" i="47"/>
  <c r="K36" i="9"/>
  <c r="K38" i="9" s="1"/>
  <c r="L36" i="9" s="1"/>
  <c r="J28" i="9"/>
  <c r="J30" i="9" s="1"/>
  <c r="J27" i="31" s="1"/>
  <c r="D42" i="47" s="1"/>
  <c r="J22" i="9"/>
  <c r="J24" i="9" s="1"/>
  <c r="J23" i="31" s="1"/>
  <c r="D38" i="47" s="1"/>
  <c r="D27" i="47"/>
  <c r="M14" i="28"/>
  <c r="L13" i="17"/>
  <c r="L15" i="17" s="1"/>
  <c r="L13" i="18"/>
  <c r="L15" i="18" s="1"/>
  <c r="S29" i="17"/>
  <c r="S18" i="34" s="1"/>
  <c r="M57" i="47" s="1"/>
  <c r="S14" i="17"/>
  <c r="L19" i="31"/>
  <c r="F34" i="47" s="1"/>
  <c r="M29" i="19"/>
  <c r="J19" i="32"/>
  <c r="L23" i="34"/>
  <c r="F62" i="47" s="1"/>
  <c r="J23" i="35"/>
  <c r="M76" i="20"/>
  <c r="M81" i="20"/>
  <c r="M48" i="20"/>
  <c r="P10" i="37"/>
  <c r="P24" i="12"/>
  <c r="Q17" i="10"/>
  <c r="L25" i="34"/>
  <c r="F64" i="47" s="1"/>
  <c r="J25" i="35"/>
  <c r="N25" i="12"/>
  <c r="N26" i="12" s="1"/>
  <c r="K20" i="31"/>
  <c r="L75" i="20"/>
  <c r="M9" i="19"/>
  <c r="M11" i="19" s="1"/>
  <c r="M30" i="15"/>
  <c r="M36" i="15" s="1"/>
  <c r="M14" i="34"/>
  <c r="G53" i="47" s="1"/>
  <c r="N10" i="13"/>
  <c r="N11" i="13" s="1"/>
  <c r="K11" i="34"/>
  <c r="L19" i="28"/>
  <c r="F15" i="47" s="1"/>
  <c r="N35" i="20"/>
  <c r="N36" i="20" s="1"/>
  <c r="O33" i="20" s="1"/>
  <c r="N40" i="20"/>
  <c r="N41" i="20" s="1"/>
  <c r="L36" i="19"/>
  <c r="M37" i="19" s="1"/>
  <c r="G10" i="47" l="1"/>
  <c r="K28" i="9"/>
  <c r="K30" i="9" s="1"/>
  <c r="K27" i="31" s="1"/>
  <c r="E42" i="47" s="1"/>
  <c r="K25" i="31"/>
  <c r="E40" i="47" s="1"/>
  <c r="K12" i="34"/>
  <c r="E51" i="47" s="1"/>
  <c r="E50" i="47"/>
  <c r="J16" i="22"/>
  <c r="J15" i="22"/>
  <c r="K21" i="31"/>
  <c r="E36" i="47" s="1"/>
  <c r="E35" i="47"/>
  <c r="M48" i="19"/>
  <c r="Q25" i="10"/>
  <c r="Q26" i="10" s="1"/>
  <c r="M15" i="31"/>
  <c r="N28" i="15"/>
  <c r="N46" i="20"/>
  <c r="N47" i="20" s="1"/>
  <c r="L66" i="20"/>
  <c r="L68" i="20" s="1"/>
  <c r="M38" i="19"/>
  <c r="M31" i="19"/>
  <c r="M22" i="19"/>
  <c r="M23" i="19" s="1"/>
  <c r="O26" i="20"/>
  <c r="O27" i="20" s="1"/>
  <c r="N27" i="13"/>
  <c r="N29" i="13" s="1"/>
  <c r="N12" i="13"/>
  <c r="L18" i="31"/>
  <c r="F33" i="47" s="1"/>
  <c r="M11" i="18"/>
  <c r="J18" i="32"/>
  <c r="L22" i="28"/>
  <c r="F18" i="47" s="1"/>
  <c r="L82" i="20"/>
  <c r="J19" i="29"/>
  <c r="N11" i="37"/>
  <c r="N20" i="17"/>
  <c r="N22" i="17" s="1"/>
  <c r="N20" i="18"/>
  <c r="N22" i="18" s="1"/>
  <c r="N13" i="15"/>
  <c r="N14" i="15" s="1"/>
  <c r="N19" i="13"/>
  <c r="N21" i="13" s="1"/>
  <c r="N39" i="12"/>
  <c r="N41" i="12" s="1"/>
  <c r="N31" i="12"/>
  <c r="T32" i="12" s="1"/>
  <c r="N17" i="9"/>
  <c r="N18" i="9" s="1"/>
  <c r="M21" i="28"/>
  <c r="G17" i="47" s="1"/>
  <c r="L16" i="31"/>
  <c r="M11" i="17"/>
  <c r="J16" i="32"/>
  <c r="G30" i="47" l="1"/>
  <c r="F31" i="47"/>
  <c r="K16" i="22"/>
  <c r="K15" i="34"/>
  <c r="E54" i="47" s="1"/>
  <c r="J17" i="22"/>
  <c r="J21" i="22" s="1"/>
  <c r="K23" i="9"/>
  <c r="T13" i="37"/>
  <c r="T52" i="12"/>
  <c r="T40" i="12"/>
  <c r="N13" i="28"/>
  <c r="M10" i="34"/>
  <c r="G49" i="47" s="1"/>
  <c r="N12" i="37"/>
  <c r="O38" i="12"/>
  <c r="N30" i="13"/>
  <c r="N9" i="31" s="1"/>
  <c r="H24" i="47" s="1"/>
  <c r="O26" i="13"/>
  <c r="Q44" i="12"/>
  <c r="Q45" i="12" s="1"/>
  <c r="Q11" i="11"/>
  <c r="Q12" i="11" s="1"/>
  <c r="Q20" i="10"/>
  <c r="Q21" i="10" s="1"/>
  <c r="N15" i="15"/>
  <c r="N32" i="15"/>
  <c r="O40" i="20"/>
  <c r="O41" i="20" s="1"/>
  <c r="O35" i="20"/>
  <c r="O36" i="20" s="1"/>
  <c r="P33" i="20" s="1"/>
  <c r="L69" i="20"/>
  <c r="L77" i="20"/>
  <c r="L78" i="20" s="1"/>
  <c r="M40" i="17"/>
  <c r="M41" i="17" s="1"/>
  <c r="N21" i="34"/>
  <c r="H60" i="47" s="1"/>
  <c r="N12" i="18"/>
  <c r="N29" i="15"/>
  <c r="N10" i="12"/>
  <c r="N11" i="12" s="1"/>
  <c r="N8" i="31"/>
  <c r="H23" i="47" s="1"/>
  <c r="O18" i="13"/>
  <c r="L37" i="9"/>
  <c r="L38" i="9" s="1"/>
  <c r="J22" i="29"/>
  <c r="N17" i="34"/>
  <c r="H56" i="47" s="1"/>
  <c r="N27" i="17"/>
  <c r="T28" i="17" s="1"/>
  <c r="N12" i="17"/>
  <c r="M27" i="18"/>
  <c r="M28" i="18" s="1"/>
  <c r="M40" i="18"/>
  <c r="M41" i="18" s="1"/>
  <c r="M49" i="19"/>
  <c r="M51" i="19" s="1"/>
  <c r="M30" i="19"/>
  <c r="M32" i="19" s="1"/>
  <c r="N76" i="20"/>
  <c r="N81" i="20"/>
  <c r="N48" i="20"/>
  <c r="H9" i="47" l="1"/>
  <c r="K26" i="34"/>
  <c r="E65" i="47" s="1"/>
  <c r="N14" i="28"/>
  <c r="M36" i="19"/>
  <c r="N37" i="19" s="1"/>
  <c r="L20" i="31"/>
  <c r="M75" i="20"/>
  <c r="J20" i="32"/>
  <c r="Q10" i="37"/>
  <c r="Q24" i="12"/>
  <c r="R17" i="10"/>
  <c r="Q16" i="19"/>
  <c r="Q17" i="19" s="1"/>
  <c r="Q42" i="15"/>
  <c r="Q20" i="15"/>
  <c r="Q25" i="11"/>
  <c r="K29" i="34"/>
  <c r="E68" i="47" s="1"/>
  <c r="L11" i="34"/>
  <c r="J11" i="35"/>
  <c r="P26" i="20"/>
  <c r="P27" i="20" s="1"/>
  <c r="Q16" i="37"/>
  <c r="Q62" i="12"/>
  <c r="Q64" i="12" s="1"/>
  <c r="Q53" i="12"/>
  <c r="Q56" i="12" s="1"/>
  <c r="O25" i="12"/>
  <c r="O26" i="12" s="1"/>
  <c r="O46" i="20"/>
  <c r="O47" i="20" s="1"/>
  <c r="M29" i="18"/>
  <c r="M14" i="18"/>
  <c r="T29" i="17"/>
  <c r="T18" i="34" s="1"/>
  <c r="N57" i="47" s="1"/>
  <c r="T14" i="17"/>
  <c r="M33" i="17"/>
  <c r="M46" i="17"/>
  <c r="M47" i="17" s="1"/>
  <c r="M42" i="17"/>
  <c r="N21" i="28"/>
  <c r="H17" i="47" s="1"/>
  <c r="L25" i="31"/>
  <c r="F40" i="47" s="1"/>
  <c r="L28" i="9"/>
  <c r="L30" i="9" s="1"/>
  <c r="M36" i="9"/>
  <c r="J25" i="32"/>
  <c r="O10" i="13"/>
  <c r="O11" i="13" s="1"/>
  <c r="M19" i="31"/>
  <c r="G34" i="47" s="1"/>
  <c r="N29" i="19"/>
  <c r="N9" i="19"/>
  <c r="N11" i="19" s="1"/>
  <c r="N30" i="15"/>
  <c r="N36" i="15" s="1"/>
  <c r="M33" i="18"/>
  <c r="M46" i="18"/>
  <c r="M47" i="18" s="1"/>
  <c r="M42" i="18"/>
  <c r="N14" i="34"/>
  <c r="H53" i="47" s="1"/>
  <c r="H10" i="47" l="1"/>
  <c r="L12" i="34"/>
  <c r="F51" i="47" s="1"/>
  <c r="F50" i="47"/>
  <c r="L21" i="31"/>
  <c r="F36" i="47" s="1"/>
  <c r="F35" i="47"/>
  <c r="N48" i="19"/>
  <c r="R25" i="10"/>
  <c r="O11" i="37"/>
  <c r="O20" i="18"/>
  <c r="O22" i="18" s="1"/>
  <c r="O20" i="17"/>
  <c r="O22" i="17" s="1"/>
  <c r="O13" i="15"/>
  <c r="O14" i="15" s="1"/>
  <c r="O19" i="13"/>
  <c r="O21" i="13" s="1"/>
  <c r="O39" i="12"/>
  <c r="O41" i="12" s="1"/>
  <c r="O17" i="9"/>
  <c r="O18" i="9" s="1"/>
  <c r="O31" i="12"/>
  <c r="U32" i="12" s="1"/>
  <c r="K12" i="9"/>
  <c r="K13" i="9" s="1"/>
  <c r="Q15" i="37"/>
  <c r="R51" i="12"/>
  <c r="M66" i="20"/>
  <c r="M68" i="20" s="1"/>
  <c r="M18" i="28"/>
  <c r="O27" i="13"/>
  <c r="O29" i="13" s="1"/>
  <c r="O12" i="13"/>
  <c r="O13" i="28" s="1"/>
  <c r="M48" i="17"/>
  <c r="M34" i="17"/>
  <c r="M35" i="17" s="1"/>
  <c r="Q17" i="37"/>
  <c r="R61" i="12"/>
  <c r="Q17" i="11"/>
  <c r="Q18" i="11" s="1"/>
  <c r="O81" i="20"/>
  <c r="O48" i="20"/>
  <c r="O76" i="20"/>
  <c r="N15" i="31"/>
  <c r="O28" i="15"/>
  <c r="Q21" i="19"/>
  <c r="Q43" i="15"/>
  <c r="Q45" i="15" s="1"/>
  <c r="Q21" i="15"/>
  <c r="S22" i="15" s="1"/>
  <c r="P35" i="20"/>
  <c r="P36" i="20" s="1"/>
  <c r="Q33" i="20" s="1"/>
  <c r="P40" i="20"/>
  <c r="P41" i="20" s="1"/>
  <c r="P46" i="20" s="1"/>
  <c r="P47" i="20" s="1"/>
  <c r="M48" i="18"/>
  <c r="M34" i="18"/>
  <c r="M35" i="18" s="1"/>
  <c r="M22" i="34"/>
  <c r="G61" i="47" s="1"/>
  <c r="M16" i="28"/>
  <c r="N22" i="19"/>
  <c r="N23" i="19" s="1"/>
  <c r="L27" i="31"/>
  <c r="F42" i="47" s="1"/>
  <c r="L16" i="22"/>
  <c r="J27" i="32"/>
  <c r="N38" i="19"/>
  <c r="N31" i="19"/>
  <c r="G12" i="47" l="1"/>
  <c r="I9" i="47"/>
  <c r="G14" i="47"/>
  <c r="H30" i="47"/>
  <c r="J12" i="35"/>
  <c r="J21" i="32"/>
  <c r="L15" i="34"/>
  <c r="F54" i="47" s="1"/>
  <c r="L23" i="9"/>
  <c r="O14" i="28"/>
  <c r="I10" i="47" s="1"/>
  <c r="M19" i="28"/>
  <c r="M22" i="28" s="1"/>
  <c r="G18" i="47" s="1"/>
  <c r="M13" i="18"/>
  <c r="M15" i="18" s="1"/>
  <c r="S8" i="34"/>
  <c r="M47" i="47" s="1"/>
  <c r="S44" i="15"/>
  <c r="M13" i="17"/>
  <c r="M15" i="17" s="1"/>
  <c r="Q10" i="31"/>
  <c r="K25" i="47" s="1"/>
  <c r="R41" i="15"/>
  <c r="N10" i="34"/>
  <c r="H49" i="47" s="1"/>
  <c r="M23" i="34"/>
  <c r="G62" i="47" s="1"/>
  <c r="O21" i="34"/>
  <c r="I60" i="47" s="1"/>
  <c r="O12" i="18"/>
  <c r="R24" i="10"/>
  <c r="R26" i="10" s="1"/>
  <c r="K11" i="31"/>
  <c r="E26" i="47" s="1"/>
  <c r="L11" i="9"/>
  <c r="K9" i="8"/>
  <c r="O30" i="13"/>
  <c r="O9" i="31" s="1"/>
  <c r="I24" i="47" s="1"/>
  <c r="P26" i="13"/>
  <c r="U13" i="37"/>
  <c r="U40" i="12"/>
  <c r="U52" i="12"/>
  <c r="Q26" i="20"/>
  <c r="O17" i="34"/>
  <c r="I56" i="47" s="1"/>
  <c r="O27" i="17"/>
  <c r="U28" i="17" s="1"/>
  <c r="O12" i="17"/>
  <c r="Q8" i="28"/>
  <c r="Q19" i="16"/>
  <c r="Q21" i="16" s="1"/>
  <c r="Q26" i="11"/>
  <c r="Q27" i="11" s="1"/>
  <c r="O29" i="15"/>
  <c r="O10" i="12"/>
  <c r="O11" i="12" s="1"/>
  <c r="O21" i="28"/>
  <c r="I17" i="47" s="1"/>
  <c r="N49" i="19"/>
  <c r="N51" i="19" s="1"/>
  <c r="N30" i="19"/>
  <c r="N32" i="19" s="1"/>
  <c r="O12" i="37"/>
  <c r="P38" i="12"/>
  <c r="K12" i="38"/>
  <c r="M25" i="34"/>
  <c r="G64" i="47" s="1"/>
  <c r="O8" i="31"/>
  <c r="I23" i="47" s="1"/>
  <c r="P18" i="13"/>
  <c r="K8" i="32"/>
  <c r="M77" i="20"/>
  <c r="M78" i="20" s="1"/>
  <c r="M69" i="20"/>
  <c r="P76" i="20"/>
  <c r="P81" i="20"/>
  <c r="P48" i="20"/>
  <c r="O32" i="15"/>
  <c r="O15" i="15"/>
  <c r="O14" i="34" s="1"/>
  <c r="I53" i="47" s="1"/>
  <c r="J15" i="35" l="1"/>
  <c r="L26" i="34"/>
  <c r="F65" i="47" s="1"/>
  <c r="M82" i="20"/>
  <c r="G15" i="47"/>
  <c r="K12" i="31"/>
  <c r="Q11" i="28"/>
  <c r="K4" i="47"/>
  <c r="P21" i="28"/>
  <c r="J17" i="47" s="1"/>
  <c r="P10" i="13"/>
  <c r="P11" i="13" s="1"/>
  <c r="N19" i="31"/>
  <c r="H34" i="47" s="1"/>
  <c r="O29" i="19"/>
  <c r="M16" i="31"/>
  <c r="N11" i="17"/>
  <c r="M37" i="9"/>
  <c r="M38" i="9" s="1"/>
  <c r="P25" i="12"/>
  <c r="P26" i="12" s="1"/>
  <c r="O9" i="19"/>
  <c r="O11" i="19" s="1"/>
  <c r="O22" i="19" s="1"/>
  <c r="O23" i="19" s="1"/>
  <c r="O30" i="15"/>
  <c r="O36" i="15" s="1"/>
  <c r="R44" i="12"/>
  <c r="R45" i="12" s="1"/>
  <c r="R11" i="11"/>
  <c r="R12" i="11" s="1"/>
  <c r="R20" i="10"/>
  <c r="R21" i="10" s="1"/>
  <c r="Q19" i="34"/>
  <c r="K58" i="47" s="1"/>
  <c r="Q26" i="16"/>
  <c r="S27" i="16" s="1"/>
  <c r="Q12" i="16"/>
  <c r="Q15" i="16" s="1"/>
  <c r="M20" i="31"/>
  <c r="G35" i="47" s="1"/>
  <c r="N75" i="20"/>
  <c r="L29" i="34"/>
  <c r="F68" i="47" s="1"/>
  <c r="J26" i="35"/>
  <c r="U29" i="17"/>
  <c r="U18" i="34" s="1"/>
  <c r="O57" i="47" s="1"/>
  <c r="U14" i="17"/>
  <c r="M11" i="34"/>
  <c r="N36" i="19"/>
  <c r="O37" i="19" s="1"/>
  <c r="Q14" i="31"/>
  <c r="K29" i="47" s="1"/>
  <c r="R24" i="11"/>
  <c r="M18" i="31"/>
  <c r="G33" i="47" s="1"/>
  <c r="N11" i="18"/>
  <c r="K7" i="47" l="1"/>
  <c r="G31" i="47"/>
  <c r="M12" i="34"/>
  <c r="G51" i="47" s="1"/>
  <c r="G50" i="47"/>
  <c r="K22" i="9"/>
  <c r="K24" i="9" s="1"/>
  <c r="K23" i="31" s="1"/>
  <c r="E38" i="47" s="1"/>
  <c r="E27" i="47"/>
  <c r="Q9" i="20"/>
  <c r="Q10" i="20" s="1"/>
  <c r="Q14" i="20" s="1"/>
  <c r="Q15" i="20" s="1"/>
  <c r="L12" i="9"/>
  <c r="L13" i="9" s="1"/>
  <c r="J29" i="35"/>
  <c r="R10" i="37"/>
  <c r="R24" i="12"/>
  <c r="S17" i="10"/>
  <c r="L10" i="38"/>
  <c r="R16" i="19"/>
  <c r="R17" i="19" s="1"/>
  <c r="R42" i="15"/>
  <c r="R20" i="15"/>
  <c r="R25" i="11"/>
  <c r="R16" i="37"/>
  <c r="R62" i="12"/>
  <c r="R64" i="12" s="1"/>
  <c r="R53" i="12"/>
  <c r="R56" i="12" s="1"/>
  <c r="O15" i="31"/>
  <c r="I30" i="47" s="1"/>
  <c r="P28" i="15"/>
  <c r="M25" i="31"/>
  <c r="G40" i="47" s="1"/>
  <c r="M28" i="9"/>
  <c r="M30" i="9" s="1"/>
  <c r="N36" i="9"/>
  <c r="O48" i="19"/>
  <c r="Q17" i="31"/>
  <c r="K32" i="47" s="1"/>
  <c r="R11" i="16"/>
  <c r="O49" i="19"/>
  <c r="O30" i="19"/>
  <c r="N40" i="17"/>
  <c r="N41" i="17" s="1"/>
  <c r="N40" i="18"/>
  <c r="N41" i="18" s="1"/>
  <c r="N27" i="18"/>
  <c r="N28" i="18" s="1"/>
  <c r="N66" i="20"/>
  <c r="N68" i="20" s="1"/>
  <c r="S14" i="16"/>
  <c r="S28" i="16"/>
  <c r="M21" i="31"/>
  <c r="G36" i="47" s="1"/>
  <c r="O31" i="19"/>
  <c r="O38" i="19"/>
  <c r="O10" i="34" s="1"/>
  <c r="I49" i="47" s="1"/>
  <c r="P11" i="37"/>
  <c r="P20" i="18"/>
  <c r="P22" i="18" s="1"/>
  <c r="P20" i="17"/>
  <c r="P22" i="17" s="1"/>
  <c r="P13" i="15"/>
  <c r="P14" i="15" s="1"/>
  <c r="P19" i="13"/>
  <c r="P21" i="13" s="1"/>
  <c r="P39" i="12"/>
  <c r="P41" i="12" s="1"/>
  <c r="P31" i="12"/>
  <c r="V32" i="12" s="1"/>
  <c r="P17" i="9"/>
  <c r="P18" i="9" s="1"/>
  <c r="P27" i="13"/>
  <c r="P29" i="13" s="1"/>
  <c r="P12" i="13"/>
  <c r="P13" i="28" s="1"/>
  <c r="J9" i="47" s="1"/>
  <c r="M15" i="34" l="1"/>
  <c r="G54" i="47" s="1"/>
  <c r="K15" i="22"/>
  <c r="K17" i="22" s="1"/>
  <c r="K21" i="22" s="1"/>
  <c r="Q20" i="20"/>
  <c r="Q21" i="20" s="1"/>
  <c r="Q34" i="20" s="1"/>
  <c r="O32" i="19"/>
  <c r="P29" i="19" s="1"/>
  <c r="M23" i="9"/>
  <c r="P14" i="28"/>
  <c r="J10" i="47" s="1"/>
  <c r="V13" i="37"/>
  <c r="V40" i="12"/>
  <c r="V52" i="12"/>
  <c r="O51" i="19"/>
  <c r="O36" i="19" s="1"/>
  <c r="P37" i="19" s="1"/>
  <c r="R17" i="37"/>
  <c r="S61" i="12"/>
  <c r="R17" i="11"/>
  <c r="R18" i="11" s="1"/>
  <c r="L17" i="38"/>
  <c r="S25" i="10"/>
  <c r="P8" i="31"/>
  <c r="J23" i="47" s="1"/>
  <c r="Q18" i="13"/>
  <c r="N69" i="20"/>
  <c r="N77" i="20"/>
  <c r="N78" i="20" s="1"/>
  <c r="R39" i="16"/>
  <c r="R40" i="16" s="1"/>
  <c r="M27" i="31"/>
  <c r="G42" i="47" s="1"/>
  <c r="M16" i="22"/>
  <c r="P32" i="15"/>
  <c r="P15" i="15"/>
  <c r="Q39" i="20"/>
  <c r="Q25" i="20"/>
  <c r="Q27" i="20" s="1"/>
  <c r="N29" i="18"/>
  <c r="N14" i="18"/>
  <c r="P17" i="34"/>
  <c r="J56" i="47" s="1"/>
  <c r="P27" i="17"/>
  <c r="V28" i="17" s="1"/>
  <c r="P12" i="17"/>
  <c r="S20" i="34"/>
  <c r="M59" i="47" s="1"/>
  <c r="N46" i="18"/>
  <c r="N47" i="18" s="1"/>
  <c r="N42" i="18"/>
  <c r="N33" i="18"/>
  <c r="R21" i="19"/>
  <c r="R43" i="15"/>
  <c r="R45" i="15" s="1"/>
  <c r="R21" i="15"/>
  <c r="T22" i="15" s="1"/>
  <c r="P12" i="37"/>
  <c r="Q38" i="12"/>
  <c r="P30" i="13"/>
  <c r="P9" i="31" s="1"/>
  <c r="J24" i="47" s="1"/>
  <c r="Q26" i="13"/>
  <c r="P21" i="34"/>
  <c r="J60" i="47" s="1"/>
  <c r="P12" i="18"/>
  <c r="P29" i="15"/>
  <c r="P10" i="12"/>
  <c r="P11" i="12" s="1"/>
  <c r="N46" i="17"/>
  <c r="N47" i="17" s="1"/>
  <c r="N42" i="17"/>
  <c r="N33" i="17"/>
  <c r="R15" i="37"/>
  <c r="S51" i="12"/>
  <c r="L15" i="38"/>
  <c r="L11" i="31"/>
  <c r="F26" i="47" s="1"/>
  <c r="L9" i="8"/>
  <c r="M11" i="9"/>
  <c r="J11" i="32"/>
  <c r="M26" i="34" l="1"/>
  <c r="G65" i="47" s="1"/>
  <c r="O19" i="31"/>
  <c r="I34" i="47" s="1"/>
  <c r="K19" i="32"/>
  <c r="L12" i="31"/>
  <c r="R10" i="31"/>
  <c r="L25" i="47" s="1"/>
  <c r="S41" i="15"/>
  <c r="L10" i="32"/>
  <c r="M29" i="34"/>
  <c r="G68" i="47" s="1"/>
  <c r="P14" i="34"/>
  <c r="J53" i="47" s="1"/>
  <c r="N11" i="34"/>
  <c r="Q25" i="12"/>
  <c r="Q26" i="12" s="1"/>
  <c r="N20" i="31"/>
  <c r="H35" i="47" s="1"/>
  <c r="O75" i="20"/>
  <c r="N16" i="28"/>
  <c r="V29" i="17"/>
  <c r="V14" i="17"/>
  <c r="R8" i="28"/>
  <c r="R19" i="16"/>
  <c r="R21" i="16" s="1"/>
  <c r="R26" i="11"/>
  <c r="R27" i="11" s="1"/>
  <c r="P9" i="19"/>
  <c r="P11" i="19" s="1"/>
  <c r="P22" i="19" s="1"/>
  <c r="P23" i="19" s="1"/>
  <c r="P30" i="15"/>
  <c r="P36" i="15" s="1"/>
  <c r="N18" i="28"/>
  <c r="N22" i="34"/>
  <c r="H61" i="47" s="1"/>
  <c r="Q10" i="13"/>
  <c r="Q11" i="13" s="1"/>
  <c r="N48" i="17"/>
  <c r="N34" i="17"/>
  <c r="N35" i="17" s="1"/>
  <c r="T8" i="34"/>
  <c r="N47" i="47" s="1"/>
  <c r="T44" i="15"/>
  <c r="N48" i="18"/>
  <c r="N34" i="18"/>
  <c r="N35" i="18" s="1"/>
  <c r="R45" i="16"/>
  <c r="R46" i="16" s="1"/>
  <c r="R32" i="16"/>
  <c r="R41" i="16"/>
  <c r="P31" i="19"/>
  <c r="P38" i="19"/>
  <c r="P48" i="19"/>
  <c r="S24" i="10"/>
  <c r="S26" i="10" s="1"/>
  <c r="Q40" i="20"/>
  <c r="Q41" i="20" s="1"/>
  <c r="Q46" i="20" s="1"/>
  <c r="Q47" i="20" s="1"/>
  <c r="Q35" i="20"/>
  <c r="Q36" i="20" s="1"/>
  <c r="R33" i="20" s="1"/>
  <c r="H12" i="47" l="1"/>
  <c r="H14" i="47"/>
  <c r="N12" i="34"/>
  <c r="H51" i="47" s="1"/>
  <c r="H50" i="47"/>
  <c r="L22" i="9"/>
  <c r="L24" i="9" s="1"/>
  <c r="L23" i="31" s="1"/>
  <c r="F38" i="47" s="1"/>
  <c r="F27" i="47"/>
  <c r="J12" i="32"/>
  <c r="R11" i="28"/>
  <c r="L4" i="47"/>
  <c r="N19" i="28"/>
  <c r="R26" i="20"/>
  <c r="P49" i="19"/>
  <c r="P51" i="19" s="1"/>
  <c r="P36" i="19" s="1"/>
  <c r="Q37" i="19" s="1"/>
  <c r="P30" i="19"/>
  <c r="P32" i="19" s="1"/>
  <c r="V18" i="34"/>
  <c r="P57" i="47" s="1"/>
  <c r="N25" i="34"/>
  <c r="H64" i="47" s="1"/>
  <c r="N13" i="18"/>
  <c r="N15" i="18" s="1"/>
  <c r="Q11" i="37"/>
  <c r="Q20" i="18"/>
  <c r="Q22" i="18" s="1"/>
  <c r="Q20" i="17"/>
  <c r="Q22" i="17" s="1"/>
  <c r="Q13" i="15"/>
  <c r="Q14" i="15" s="1"/>
  <c r="Q39" i="12"/>
  <c r="Q41" i="12" s="1"/>
  <c r="Q19" i="13"/>
  <c r="Q21" i="13" s="1"/>
  <c r="Q31" i="12"/>
  <c r="W32" i="12" s="1"/>
  <c r="Q17" i="9"/>
  <c r="Q18" i="9" s="1"/>
  <c r="Q81" i="20"/>
  <c r="Q48" i="20"/>
  <c r="Q76" i="20"/>
  <c r="M12" i="9"/>
  <c r="M13" i="9" s="1"/>
  <c r="P10" i="34"/>
  <c r="J49" i="47" s="1"/>
  <c r="R33" i="16"/>
  <c r="R34" i="16" s="1"/>
  <c r="R13" i="16" s="1"/>
  <c r="R47" i="16"/>
  <c r="R14" i="31"/>
  <c r="L29" i="47" s="1"/>
  <c r="S24" i="11"/>
  <c r="N13" i="17"/>
  <c r="N15" i="17" s="1"/>
  <c r="R17" i="28"/>
  <c r="L13" i="47" s="1"/>
  <c r="Q12" i="13"/>
  <c r="Q13" i="28" s="1"/>
  <c r="K9" i="47" s="1"/>
  <c r="Q27" i="13"/>
  <c r="Q29" i="13" s="1"/>
  <c r="P15" i="31"/>
  <c r="J30" i="47" s="1"/>
  <c r="Q28" i="15"/>
  <c r="R19" i="34"/>
  <c r="L58" i="47" s="1"/>
  <c r="R12" i="16"/>
  <c r="R26" i="16"/>
  <c r="T27" i="16" s="1"/>
  <c r="O66" i="20"/>
  <c r="O68" i="20" s="1"/>
  <c r="S11" i="11"/>
  <c r="S12" i="11" s="1"/>
  <c r="S20" i="10"/>
  <c r="S21" i="10" s="1"/>
  <c r="S44" i="12"/>
  <c r="S45" i="12" s="1"/>
  <c r="N23" i="34"/>
  <c r="H62" i="47" s="1"/>
  <c r="L7" i="47" l="1"/>
  <c r="N15" i="34"/>
  <c r="H54" i="47" s="1"/>
  <c r="L15" i="22"/>
  <c r="L17" i="22" s="1"/>
  <c r="L21" i="22" s="1"/>
  <c r="N22" i="28"/>
  <c r="H18" i="47" s="1"/>
  <c r="H15" i="47"/>
  <c r="N82" i="20"/>
  <c r="R9" i="20"/>
  <c r="R10" i="20" s="1"/>
  <c r="R14" i="20" s="1"/>
  <c r="R15" i="20" s="1"/>
  <c r="Q14" i="28"/>
  <c r="K10" i="47" s="1"/>
  <c r="R15" i="16"/>
  <c r="S11" i="16" s="1"/>
  <c r="Q21" i="28"/>
  <c r="K17" i="47" s="1"/>
  <c r="Q17" i="34"/>
  <c r="K56" i="47" s="1"/>
  <c r="Q27" i="17"/>
  <c r="W28" i="17" s="1"/>
  <c r="Q12" i="17"/>
  <c r="Q21" i="34"/>
  <c r="K60" i="47" s="1"/>
  <c r="Q12" i="18"/>
  <c r="M11" i="31"/>
  <c r="G26" i="47" s="1"/>
  <c r="N11" i="9"/>
  <c r="M9" i="8"/>
  <c r="Q29" i="15"/>
  <c r="Q10" i="12"/>
  <c r="Q11" i="12" s="1"/>
  <c r="S16" i="37"/>
  <c r="S62" i="12"/>
  <c r="S64" i="12" s="1"/>
  <c r="S53" i="12"/>
  <c r="S56" i="12" s="1"/>
  <c r="N16" i="31"/>
  <c r="O11" i="17"/>
  <c r="W13" i="37"/>
  <c r="W52" i="12"/>
  <c r="W40" i="12"/>
  <c r="N18" i="31"/>
  <c r="H33" i="47" s="1"/>
  <c r="O11" i="18"/>
  <c r="P19" i="31"/>
  <c r="J34" i="47" s="1"/>
  <c r="Q29" i="19"/>
  <c r="O77" i="20"/>
  <c r="O78" i="20" s="1"/>
  <c r="O69" i="20"/>
  <c r="O11" i="34" s="1"/>
  <c r="S10" i="37"/>
  <c r="S24" i="12"/>
  <c r="T17" i="10"/>
  <c r="R24" i="34"/>
  <c r="L63" i="47" s="1"/>
  <c r="Q8" i="31"/>
  <c r="K23" i="47" s="1"/>
  <c r="R18" i="13"/>
  <c r="S16" i="19"/>
  <c r="S17" i="19" s="1"/>
  <c r="S42" i="15"/>
  <c r="S20" i="15"/>
  <c r="S25" i="11"/>
  <c r="Q30" i="13"/>
  <c r="Q9" i="31" s="1"/>
  <c r="K24" i="47" s="1"/>
  <c r="R26" i="13"/>
  <c r="Q31" i="19"/>
  <c r="Q38" i="19"/>
  <c r="Q10" i="34" s="1"/>
  <c r="K49" i="47" s="1"/>
  <c r="Q12" i="37"/>
  <c r="R38" i="12"/>
  <c r="T28" i="16"/>
  <c r="T14" i="16"/>
  <c r="Q15" i="15"/>
  <c r="Q32" i="15"/>
  <c r="H31" i="47" l="1"/>
  <c r="N26" i="34"/>
  <c r="H65" i="47" s="1"/>
  <c r="R20" i="20"/>
  <c r="R21" i="20" s="1"/>
  <c r="R34" i="20" s="1"/>
  <c r="N37" i="9"/>
  <c r="N38" i="9" s="1"/>
  <c r="O36" i="9" s="1"/>
  <c r="O12" i="34"/>
  <c r="I51" i="47" s="1"/>
  <c r="I50" i="47"/>
  <c r="L17" i="32"/>
  <c r="R17" i="31"/>
  <c r="L32" i="47" s="1"/>
  <c r="M12" i="31"/>
  <c r="N21" i="31"/>
  <c r="H36" i="47" s="1"/>
  <c r="S15" i="37"/>
  <c r="T51" i="12"/>
  <c r="O20" i="31"/>
  <c r="I35" i="47" s="1"/>
  <c r="P75" i="20"/>
  <c r="W14" i="17"/>
  <c r="W29" i="17"/>
  <c r="Q48" i="19"/>
  <c r="Q9" i="19"/>
  <c r="Q11" i="19" s="1"/>
  <c r="Q22" i="19" s="1"/>
  <c r="Q23" i="19" s="1"/>
  <c r="Q30" i="15"/>
  <c r="Q36" i="15" s="1"/>
  <c r="Q14" i="34"/>
  <c r="K53" i="47" s="1"/>
  <c r="R39" i="20"/>
  <c r="R25" i="20"/>
  <c r="R27" i="20" s="1"/>
  <c r="S21" i="19"/>
  <c r="S21" i="15"/>
  <c r="U22" i="15" s="1"/>
  <c r="S43" i="15"/>
  <c r="S45" i="15" s="1"/>
  <c r="S17" i="37"/>
  <c r="T61" i="12"/>
  <c r="S17" i="11"/>
  <c r="S18" i="11" s="1"/>
  <c r="T20" i="34"/>
  <c r="N59" i="47" s="1"/>
  <c r="O27" i="18"/>
  <c r="O28" i="18" s="1"/>
  <c r="O40" i="18"/>
  <c r="O41" i="18" s="1"/>
  <c r="R25" i="12"/>
  <c r="R26" i="12" s="1"/>
  <c r="R10" i="13"/>
  <c r="R11" i="13" s="1"/>
  <c r="T25" i="10"/>
  <c r="O40" i="17"/>
  <c r="O41" i="17" s="1"/>
  <c r="S39" i="16"/>
  <c r="S40" i="16" s="1"/>
  <c r="N29" i="34" l="1"/>
  <c r="H68" i="47" s="1"/>
  <c r="N28" i="9"/>
  <c r="N30" i="9" s="1"/>
  <c r="N27" i="31" s="1"/>
  <c r="H42" i="47" s="1"/>
  <c r="N25" i="31"/>
  <c r="H40" i="47" s="1"/>
  <c r="O15" i="34"/>
  <c r="I54" i="47" s="1"/>
  <c r="M22" i="9"/>
  <c r="M24" i="9" s="1"/>
  <c r="M23" i="31" s="1"/>
  <c r="G38" i="47" s="1"/>
  <c r="G27" i="47"/>
  <c r="N23" i="9"/>
  <c r="U8" i="34"/>
  <c r="O47" i="47" s="1"/>
  <c r="U44" i="15"/>
  <c r="N12" i="9"/>
  <c r="N13" i="9" s="1"/>
  <c r="Q15" i="31"/>
  <c r="K30" i="47" s="1"/>
  <c r="R28" i="15"/>
  <c r="T24" i="10"/>
  <c r="T26" i="10" s="1"/>
  <c r="Q49" i="19"/>
  <c r="Q51" i="19" s="1"/>
  <c r="Q36" i="19" s="1"/>
  <c r="R37" i="19" s="1"/>
  <c r="Q30" i="19"/>
  <c r="Q32" i="19" s="1"/>
  <c r="R27" i="13"/>
  <c r="R29" i="13" s="1"/>
  <c r="R12" i="13"/>
  <c r="R13" i="28" s="1"/>
  <c r="L9" i="47" s="1"/>
  <c r="O42" i="17"/>
  <c r="O16" i="28" s="1"/>
  <c r="O33" i="17"/>
  <c r="O46" i="17"/>
  <c r="O47" i="17" s="1"/>
  <c r="R35" i="20"/>
  <c r="R36" i="20" s="1"/>
  <c r="S33" i="20" s="1"/>
  <c r="R40" i="20"/>
  <c r="R41" i="20" s="1"/>
  <c r="R46" i="20" s="1"/>
  <c r="R47" i="20" s="1"/>
  <c r="S10" i="31"/>
  <c r="M25" i="47" s="1"/>
  <c r="T41" i="15"/>
  <c r="S32" i="16"/>
  <c r="S41" i="16"/>
  <c r="S45" i="16"/>
  <c r="S46" i="16" s="1"/>
  <c r="S8" i="28"/>
  <c r="S19" i="16"/>
  <c r="S21" i="16" s="1"/>
  <c r="S26" i="11"/>
  <c r="S27" i="11" s="1"/>
  <c r="O29" i="18"/>
  <c r="O22" i="34" s="1"/>
  <c r="I61" i="47" s="1"/>
  <c r="O14" i="18"/>
  <c r="W18" i="34"/>
  <c r="Q57" i="47" s="1"/>
  <c r="R11" i="37"/>
  <c r="R20" i="17"/>
  <c r="R22" i="17" s="1"/>
  <c r="R20" i="18"/>
  <c r="R22" i="18" s="1"/>
  <c r="R13" i="15"/>
  <c r="R14" i="15" s="1"/>
  <c r="R19" i="13"/>
  <c r="R21" i="13" s="1"/>
  <c r="R31" i="12"/>
  <c r="X32" i="12" s="1"/>
  <c r="R17" i="9"/>
  <c r="R18" i="9" s="1"/>
  <c r="R39" i="12"/>
  <c r="R41" i="12" s="1"/>
  <c r="O42" i="18"/>
  <c r="O18" i="28" s="1"/>
  <c r="O33" i="18"/>
  <c r="O46" i="18"/>
  <c r="O47" i="18" s="1"/>
  <c r="P66" i="20"/>
  <c r="P68" i="20" s="1"/>
  <c r="I12" i="47" l="1"/>
  <c r="I14" i="47"/>
  <c r="N16" i="22"/>
  <c r="M15" i="22"/>
  <c r="M17" i="22" s="1"/>
  <c r="M21" i="22" s="1"/>
  <c r="R14" i="28"/>
  <c r="L10" i="47" s="1"/>
  <c r="S11" i="28"/>
  <c r="M4" i="47"/>
  <c r="O19" i="28"/>
  <c r="R31" i="19"/>
  <c r="R38" i="19"/>
  <c r="R10" i="34" s="1"/>
  <c r="L49" i="47" s="1"/>
  <c r="X13" i="37"/>
  <c r="X40" i="12"/>
  <c r="X52" i="12"/>
  <c r="N13" i="38"/>
  <c r="S26" i="13"/>
  <c r="R30" i="13"/>
  <c r="R9" i="31" s="1"/>
  <c r="L24" i="47" s="1"/>
  <c r="S26" i="20"/>
  <c r="S19" i="34"/>
  <c r="M58" i="47" s="1"/>
  <c r="S12" i="16"/>
  <c r="S26" i="16"/>
  <c r="U27" i="16" s="1"/>
  <c r="R15" i="15"/>
  <c r="R32" i="15"/>
  <c r="R21" i="34"/>
  <c r="L60" i="47" s="1"/>
  <c r="R12" i="18"/>
  <c r="R76" i="20"/>
  <c r="R81" i="20"/>
  <c r="R48" i="20"/>
  <c r="N11" i="31"/>
  <c r="H26" i="47" s="1"/>
  <c r="O11" i="9"/>
  <c r="N9" i="8"/>
  <c r="R17" i="34"/>
  <c r="L56" i="47" s="1"/>
  <c r="R12" i="17"/>
  <c r="R27" i="17"/>
  <c r="X28" i="17" s="1"/>
  <c r="S33" i="16"/>
  <c r="S34" i="16" s="1"/>
  <c r="S13" i="16" s="1"/>
  <c r="S47" i="16"/>
  <c r="R12" i="37"/>
  <c r="S38" i="12"/>
  <c r="L12" i="38"/>
  <c r="R29" i="15"/>
  <c r="R10" i="12"/>
  <c r="R11" i="12" s="1"/>
  <c r="P77" i="20"/>
  <c r="P78" i="20" s="1"/>
  <c r="P69" i="20"/>
  <c r="P11" i="34" s="1"/>
  <c r="R8" i="31"/>
  <c r="L23" i="47" s="1"/>
  <c r="S18" i="13"/>
  <c r="L8" i="32"/>
  <c r="S14" i="31"/>
  <c r="M29" i="47" s="1"/>
  <c r="T24" i="11"/>
  <c r="O34" i="18"/>
  <c r="O35" i="18" s="1"/>
  <c r="O13" i="18" s="1"/>
  <c r="O15" i="18" s="1"/>
  <c r="O48" i="18"/>
  <c r="O25" i="34" s="1"/>
  <c r="I64" i="47" s="1"/>
  <c r="Q19" i="31"/>
  <c r="K34" i="47" s="1"/>
  <c r="R29" i="19"/>
  <c r="S17" i="28"/>
  <c r="M13" i="47" s="1"/>
  <c r="O48" i="17"/>
  <c r="O23" i="34" s="1"/>
  <c r="I62" i="47" s="1"/>
  <c r="O34" i="17"/>
  <c r="O35" i="17" s="1"/>
  <c r="O13" i="17" s="1"/>
  <c r="O15" i="17" s="1"/>
  <c r="T44" i="12"/>
  <c r="T45" i="12" s="1"/>
  <c r="T11" i="11"/>
  <c r="T12" i="11" s="1"/>
  <c r="T20" i="10"/>
  <c r="T21" i="10" s="1"/>
  <c r="M7" i="47" l="1"/>
  <c r="P12" i="34"/>
  <c r="J51" i="47" s="1"/>
  <c r="J50" i="47"/>
  <c r="O22" i="28"/>
  <c r="I18" i="47" s="1"/>
  <c r="I15" i="47"/>
  <c r="S9" i="20"/>
  <c r="S10" i="20" s="1"/>
  <c r="S14" i="20" s="1"/>
  <c r="S15" i="20" s="1"/>
  <c r="N12" i="31"/>
  <c r="O82" i="20"/>
  <c r="O26" i="34"/>
  <c r="O16" i="31"/>
  <c r="I31" i="47" s="1"/>
  <c r="P11" i="17"/>
  <c r="R14" i="34"/>
  <c r="L53" i="47" s="1"/>
  <c r="O18" i="31"/>
  <c r="I33" i="47" s="1"/>
  <c r="P11" i="18"/>
  <c r="S10" i="13"/>
  <c r="S11" i="13" s="1"/>
  <c r="S25" i="12"/>
  <c r="S26" i="12" s="1"/>
  <c r="R21" i="28"/>
  <c r="L17" i="47" s="1"/>
  <c r="U28" i="16"/>
  <c r="U14" i="16"/>
  <c r="T10" i="37"/>
  <c r="T24" i="12"/>
  <c r="U17" i="10"/>
  <c r="R48" i="19"/>
  <c r="T16" i="37"/>
  <c r="T53" i="12"/>
  <c r="T56" i="12" s="1"/>
  <c r="T62" i="12"/>
  <c r="T64" i="12" s="1"/>
  <c r="R9" i="19"/>
  <c r="R11" i="19" s="1"/>
  <c r="R22" i="19" s="1"/>
  <c r="R23" i="19" s="1"/>
  <c r="R30" i="15"/>
  <c r="R36" i="15" s="1"/>
  <c r="T16" i="19"/>
  <c r="T17" i="19" s="1"/>
  <c r="T42" i="15"/>
  <c r="T20" i="15"/>
  <c r="T25" i="11"/>
  <c r="S24" i="34"/>
  <c r="M63" i="47" s="1"/>
  <c r="P20" i="31"/>
  <c r="J35" i="47" s="1"/>
  <c r="Q75" i="20"/>
  <c r="X29" i="17"/>
  <c r="X14" i="17"/>
  <c r="S15" i="16"/>
  <c r="P15" i="34" l="1"/>
  <c r="J54" i="47" s="1"/>
  <c r="O29" i="34"/>
  <c r="I65" i="47"/>
  <c r="O37" i="9"/>
  <c r="O38" i="9" s="1"/>
  <c r="K25" i="32" s="1"/>
  <c r="N22" i="9"/>
  <c r="N24" i="9" s="1"/>
  <c r="N23" i="31" s="1"/>
  <c r="H38" i="47" s="1"/>
  <c r="H27" i="47"/>
  <c r="S20" i="20"/>
  <c r="S21" i="20" s="1"/>
  <c r="S34" i="20" s="1"/>
  <c r="R49" i="19"/>
  <c r="R51" i="19" s="1"/>
  <c r="R36" i="19" s="1"/>
  <c r="S37" i="19" s="1"/>
  <c r="R30" i="19"/>
  <c r="R32" i="19" s="1"/>
  <c r="U25" i="10"/>
  <c r="X18" i="34"/>
  <c r="R57" i="47" s="1"/>
  <c r="N18" i="35"/>
  <c r="S11" i="37"/>
  <c r="S20" i="17"/>
  <c r="S22" i="17" s="1"/>
  <c r="S20" i="18"/>
  <c r="S22" i="18" s="1"/>
  <c r="S13" i="15"/>
  <c r="S14" i="15" s="1"/>
  <c r="S19" i="13"/>
  <c r="S21" i="13" s="1"/>
  <c r="S39" i="12"/>
  <c r="S41" i="12" s="1"/>
  <c r="S31" i="12"/>
  <c r="Y32" i="12" s="1"/>
  <c r="S17" i="9"/>
  <c r="S18" i="9" s="1"/>
  <c r="S39" i="20"/>
  <c r="S25" i="20"/>
  <c r="S27" i="20" s="1"/>
  <c r="T17" i="37"/>
  <c r="T17" i="11"/>
  <c r="T18" i="11" s="1"/>
  <c r="U61" i="12"/>
  <c r="R15" i="31"/>
  <c r="L30" i="47" s="1"/>
  <c r="S28" i="15"/>
  <c r="L15" i="32"/>
  <c r="T21" i="19"/>
  <c r="T21" i="15"/>
  <c r="V22" i="15" s="1"/>
  <c r="T43" i="15"/>
  <c r="T45" i="15" s="1"/>
  <c r="T15" i="37"/>
  <c r="U51" i="12"/>
  <c r="U20" i="34"/>
  <c r="O59" i="47" s="1"/>
  <c r="M20" i="35"/>
  <c r="K20" i="36"/>
  <c r="S27" i="13"/>
  <c r="S29" i="13" s="1"/>
  <c r="S12" i="13"/>
  <c r="S13" i="28" s="1"/>
  <c r="M9" i="47" s="1"/>
  <c r="P40" i="17"/>
  <c r="P41" i="17" s="1"/>
  <c r="S17" i="31"/>
  <c r="M32" i="47" s="1"/>
  <c r="T11" i="16"/>
  <c r="Q66" i="20"/>
  <c r="Q68" i="20" s="1"/>
  <c r="P40" i="18"/>
  <c r="P41" i="18" s="1"/>
  <c r="P27" i="18"/>
  <c r="P28" i="18" s="1"/>
  <c r="O21" i="31"/>
  <c r="I36" i="47" s="1"/>
  <c r="P36" i="9" l="1"/>
  <c r="O25" i="31"/>
  <c r="I40" i="47" s="1"/>
  <c r="O28" i="9"/>
  <c r="O30" i="9" s="1"/>
  <c r="J27" i="33" s="1"/>
  <c r="O12" i="9"/>
  <c r="O13" i="9" s="1"/>
  <c r="I68" i="47"/>
  <c r="N15" i="22"/>
  <c r="N17" i="22" s="1"/>
  <c r="N21" i="22" s="1"/>
  <c r="S14" i="28"/>
  <c r="M10" i="47" s="1"/>
  <c r="V8" i="34"/>
  <c r="P47" i="47" s="1"/>
  <c r="V44" i="15"/>
  <c r="T26" i="13"/>
  <c r="S30" i="13"/>
  <c r="S9" i="31" s="1"/>
  <c r="M24" i="47" s="1"/>
  <c r="S8" i="31"/>
  <c r="M23" i="47" s="1"/>
  <c r="T18" i="13"/>
  <c r="S15" i="15"/>
  <c r="S32" i="15"/>
  <c r="R19" i="31"/>
  <c r="L34" i="47" s="1"/>
  <c r="S29" i="19"/>
  <c r="L19" i="32"/>
  <c r="T8" i="28"/>
  <c r="T19" i="16"/>
  <c r="T21" i="16" s="1"/>
  <c r="T26" i="11"/>
  <c r="T27" i="11" s="1"/>
  <c r="Q77" i="20"/>
  <c r="Q78" i="20" s="1"/>
  <c r="Q69" i="20"/>
  <c r="Q11" i="34" s="1"/>
  <c r="T39" i="16"/>
  <c r="T40" i="16" s="1"/>
  <c r="S40" i="20"/>
  <c r="S41" i="20" s="1"/>
  <c r="S46" i="20" s="1"/>
  <c r="S47" i="20" s="1"/>
  <c r="S35" i="20"/>
  <c r="S36" i="20" s="1"/>
  <c r="T33" i="20" s="1"/>
  <c r="S21" i="34"/>
  <c r="M60" i="47" s="1"/>
  <c r="S12" i="18"/>
  <c r="S17" i="34"/>
  <c r="M56" i="47" s="1"/>
  <c r="S27" i="17"/>
  <c r="Y28" i="17" s="1"/>
  <c r="S12" i="17"/>
  <c r="U24" i="10"/>
  <c r="U26" i="10" s="1"/>
  <c r="S12" i="37"/>
  <c r="T38" i="12"/>
  <c r="T10" i="31"/>
  <c r="N25" i="47" s="1"/>
  <c r="U41" i="15"/>
  <c r="S31" i="19"/>
  <c r="S38" i="19"/>
  <c r="S10" i="34" s="1"/>
  <c r="M49" i="47" s="1"/>
  <c r="S29" i="15"/>
  <c r="S10" i="12"/>
  <c r="S11" i="12" s="1"/>
  <c r="O23" i="9"/>
  <c r="J21" i="33"/>
  <c r="K21" i="32"/>
  <c r="P29" i="18"/>
  <c r="P14" i="18"/>
  <c r="P33" i="18"/>
  <c r="P42" i="18"/>
  <c r="P18" i="28" s="1"/>
  <c r="J14" i="47" s="1"/>
  <c r="P46" i="18"/>
  <c r="P47" i="18" s="1"/>
  <c r="P33" i="17"/>
  <c r="P46" i="17"/>
  <c r="P47" i="17" s="1"/>
  <c r="P42" i="17"/>
  <c r="Y13" i="37"/>
  <c r="Y52" i="12"/>
  <c r="Y40" i="12"/>
  <c r="K27" i="32" l="1"/>
  <c r="O16" i="22"/>
  <c r="O27" i="31"/>
  <c r="I42" i="47" s="1"/>
  <c r="Q12" i="34"/>
  <c r="K51" i="47" s="1"/>
  <c r="K50" i="47"/>
  <c r="O9" i="8"/>
  <c r="K11" i="32"/>
  <c r="O11" i="31"/>
  <c r="P11" i="9"/>
  <c r="T11" i="28"/>
  <c r="N4" i="47"/>
  <c r="S76" i="20"/>
  <c r="S81" i="20"/>
  <c r="S48" i="20"/>
  <c r="T32" i="16"/>
  <c r="T41" i="16"/>
  <c r="T45" i="16"/>
  <c r="T46" i="16" s="1"/>
  <c r="S48" i="19"/>
  <c r="T25" i="12"/>
  <c r="T26" i="12" s="1"/>
  <c r="Q20" i="31"/>
  <c r="K35" i="47" s="1"/>
  <c r="R75" i="20"/>
  <c r="T26" i="20"/>
  <c r="P16" i="28"/>
  <c r="J12" i="47" s="1"/>
  <c r="P22" i="34"/>
  <c r="J61" i="47" s="1"/>
  <c r="Y29" i="17"/>
  <c r="Y14" i="17"/>
  <c r="P48" i="17"/>
  <c r="P34" i="17"/>
  <c r="P35" i="17" s="1"/>
  <c r="P13" i="17" s="1"/>
  <c r="P15" i="17" s="1"/>
  <c r="T14" i="31"/>
  <c r="N29" i="47" s="1"/>
  <c r="U24" i="11"/>
  <c r="S14" i="34"/>
  <c r="M53" i="47" s="1"/>
  <c r="S9" i="19"/>
  <c r="S11" i="19" s="1"/>
  <c r="S22" i="19" s="1"/>
  <c r="S23" i="19" s="1"/>
  <c r="S30" i="15"/>
  <c r="S36" i="15" s="1"/>
  <c r="T19" i="34"/>
  <c r="N58" i="47" s="1"/>
  <c r="T12" i="16"/>
  <c r="T26" i="16"/>
  <c r="V27" i="16" s="1"/>
  <c r="T10" i="13"/>
  <c r="T11" i="13" s="1"/>
  <c r="U44" i="12"/>
  <c r="U45" i="12" s="1"/>
  <c r="U11" i="11"/>
  <c r="U12" i="11" s="1"/>
  <c r="U20" i="10"/>
  <c r="U21" i="10" s="1"/>
  <c r="P34" i="18"/>
  <c r="P35" i="18" s="1"/>
  <c r="P13" i="18" s="1"/>
  <c r="P15" i="18" s="1"/>
  <c r="P48" i="18"/>
  <c r="P25" i="34" s="1"/>
  <c r="J64" i="47" s="1"/>
  <c r="N7" i="47" l="1"/>
  <c r="Q15" i="34"/>
  <c r="K54" i="47" s="1"/>
  <c r="I26" i="47"/>
  <c r="O12" i="31"/>
  <c r="T9" i="20"/>
  <c r="T10" i="20" s="1"/>
  <c r="T14" i="20" s="1"/>
  <c r="T15" i="20" s="1"/>
  <c r="P19" i="28"/>
  <c r="P18" i="31"/>
  <c r="J33" i="47" s="1"/>
  <c r="Q11" i="18"/>
  <c r="S15" i="31"/>
  <c r="M30" i="47" s="1"/>
  <c r="T28" i="15"/>
  <c r="T47" i="16"/>
  <c r="T33" i="16"/>
  <c r="T34" i="16" s="1"/>
  <c r="T13" i="16" s="1"/>
  <c r="T15" i="16" s="1"/>
  <c r="T11" i="37"/>
  <c r="T20" i="18"/>
  <c r="T22" i="18" s="1"/>
  <c r="T20" i="17"/>
  <c r="T22" i="17" s="1"/>
  <c r="T13" i="15"/>
  <c r="T14" i="15" s="1"/>
  <c r="T19" i="13"/>
  <c r="T21" i="13" s="1"/>
  <c r="T39" i="12"/>
  <c r="T41" i="12" s="1"/>
  <c r="T31" i="12"/>
  <c r="Z32" i="12" s="1"/>
  <c r="T17" i="9"/>
  <c r="T18" i="9" s="1"/>
  <c r="T17" i="28"/>
  <c r="N13" i="47" s="1"/>
  <c r="V14" i="16"/>
  <c r="V28" i="16"/>
  <c r="P16" i="31"/>
  <c r="J31" i="47" s="1"/>
  <c r="Q11" i="17"/>
  <c r="T27" i="13"/>
  <c r="T29" i="13" s="1"/>
  <c r="T12" i="13"/>
  <c r="T13" i="28" s="1"/>
  <c r="N9" i="47" s="1"/>
  <c r="S49" i="19"/>
  <c r="S51" i="19" s="1"/>
  <c r="S36" i="19" s="1"/>
  <c r="T37" i="19" s="1"/>
  <c r="S30" i="19"/>
  <c r="S32" i="19" s="1"/>
  <c r="P23" i="34"/>
  <c r="J62" i="47" s="1"/>
  <c r="S21" i="28"/>
  <c r="M17" i="47" s="1"/>
  <c r="U10" i="37"/>
  <c r="U24" i="12"/>
  <c r="V17" i="10"/>
  <c r="M10" i="38"/>
  <c r="K10" i="39"/>
  <c r="J10" i="26"/>
  <c r="U16" i="19"/>
  <c r="U17" i="19" s="1"/>
  <c r="U42" i="15"/>
  <c r="U20" i="15"/>
  <c r="U25" i="11"/>
  <c r="U16" i="37"/>
  <c r="U62" i="12"/>
  <c r="U64" i="12" s="1"/>
  <c r="U53" i="12"/>
  <c r="U56" i="12" s="1"/>
  <c r="Y18" i="34"/>
  <c r="S57" i="47" s="1"/>
  <c r="R66" i="20"/>
  <c r="R68" i="20" s="1"/>
  <c r="K12" i="32" l="1"/>
  <c r="O22" i="9"/>
  <c r="O24" i="9" s="1"/>
  <c r="J12" i="33"/>
  <c r="I27" i="47"/>
  <c r="P22" i="28"/>
  <c r="J18" i="47" s="1"/>
  <c r="J15" i="47"/>
  <c r="T20" i="20"/>
  <c r="T21" i="20" s="1"/>
  <c r="T34" i="20" s="1"/>
  <c r="P82" i="20"/>
  <c r="T14" i="28"/>
  <c r="N10" i="47" s="1"/>
  <c r="P21" i="31"/>
  <c r="J36" i="47" s="1"/>
  <c r="P26" i="34"/>
  <c r="T38" i="19"/>
  <c r="T10" i="34" s="1"/>
  <c r="N49" i="47" s="1"/>
  <c r="T31" i="19"/>
  <c r="T17" i="31"/>
  <c r="N32" i="47" s="1"/>
  <c r="U11" i="16"/>
  <c r="S19" i="31"/>
  <c r="M34" i="47" s="1"/>
  <c r="T29" i="19"/>
  <c r="T12" i="37"/>
  <c r="U38" i="12"/>
  <c r="T24" i="34"/>
  <c r="N63" i="47" s="1"/>
  <c r="T8" i="31"/>
  <c r="N23" i="47" s="1"/>
  <c r="U18" i="13"/>
  <c r="R77" i="20"/>
  <c r="R78" i="20" s="1"/>
  <c r="R69" i="20"/>
  <c r="R11" i="34" s="1"/>
  <c r="T15" i="15"/>
  <c r="T32" i="15"/>
  <c r="U17" i="37"/>
  <c r="V61" i="12"/>
  <c r="U17" i="11"/>
  <c r="U18" i="11" s="1"/>
  <c r="J17" i="26"/>
  <c r="K17" i="39"/>
  <c r="M17" i="38"/>
  <c r="T30" i="13"/>
  <c r="T9" i="31" s="1"/>
  <c r="N24" i="47" s="1"/>
  <c r="U26" i="13"/>
  <c r="T25" i="20"/>
  <c r="T27" i="20" s="1"/>
  <c r="T39" i="20"/>
  <c r="T17" i="34"/>
  <c r="N56" i="47" s="1"/>
  <c r="T27" i="17"/>
  <c r="Z28" i="17" s="1"/>
  <c r="T12" i="17"/>
  <c r="U15" i="37"/>
  <c r="V51" i="12"/>
  <c r="M15" i="38"/>
  <c r="K15" i="39"/>
  <c r="J15" i="26"/>
  <c r="Q40" i="17"/>
  <c r="Q41" i="17" s="1"/>
  <c r="T21" i="34"/>
  <c r="N60" i="47" s="1"/>
  <c r="T12" i="18"/>
  <c r="V20" i="34"/>
  <c r="P59" i="47" s="1"/>
  <c r="T10" i="12"/>
  <c r="T11" i="12" s="1"/>
  <c r="T29" i="15"/>
  <c r="Q40" i="18"/>
  <c r="Q41" i="18" s="1"/>
  <c r="Q27" i="18"/>
  <c r="Q28" i="18" s="1"/>
  <c r="U21" i="19"/>
  <c r="U43" i="15"/>
  <c r="U45" i="15" s="1"/>
  <c r="U21" i="15"/>
  <c r="W22" i="15" s="1"/>
  <c r="V25" i="10"/>
  <c r="Z13" i="37"/>
  <c r="Z52" i="12"/>
  <c r="Z40" i="12"/>
  <c r="R12" i="34" l="1"/>
  <c r="L51" i="47" s="1"/>
  <c r="L50" i="47"/>
  <c r="P29" i="34"/>
  <c r="J65" i="47"/>
  <c r="K23" i="32"/>
  <c r="O23" i="31"/>
  <c r="I38" i="47" s="1"/>
  <c r="O15" i="22"/>
  <c r="O17" i="22" s="1"/>
  <c r="O21" i="22" s="1"/>
  <c r="J23" i="33"/>
  <c r="P37" i="9"/>
  <c r="P38" i="9" s="1"/>
  <c r="P25" i="31" s="1"/>
  <c r="J40" i="47" s="1"/>
  <c r="P23" i="9"/>
  <c r="U10" i="31"/>
  <c r="O25" i="47" s="1"/>
  <c r="V41" i="15"/>
  <c r="K10" i="33"/>
  <c r="M10" i="32"/>
  <c r="J10" i="24"/>
  <c r="D25" i="50" s="1"/>
  <c r="W8" i="34"/>
  <c r="Q47" i="47" s="1"/>
  <c r="W44" i="15"/>
  <c r="V24" i="10"/>
  <c r="V26" i="10" s="1"/>
  <c r="T35" i="20"/>
  <c r="T36" i="20" s="1"/>
  <c r="U33" i="20" s="1"/>
  <c r="T40" i="20"/>
  <c r="T41" i="20" s="1"/>
  <c r="T46" i="20" s="1"/>
  <c r="T47" i="20" s="1"/>
  <c r="U10" i="13"/>
  <c r="U11" i="13" s="1"/>
  <c r="T14" i="34"/>
  <c r="N53" i="47" s="1"/>
  <c r="U39" i="16"/>
  <c r="U40" i="16" s="1"/>
  <c r="Q29" i="18"/>
  <c r="Q14" i="18"/>
  <c r="Q33" i="17"/>
  <c r="Q46" i="17"/>
  <c r="Q47" i="17" s="1"/>
  <c r="Q42" i="17"/>
  <c r="T48" i="19"/>
  <c r="Z29" i="17"/>
  <c r="Z14" i="17"/>
  <c r="U25" i="12"/>
  <c r="U26" i="12" s="1"/>
  <c r="Q46" i="18"/>
  <c r="Q47" i="18" s="1"/>
  <c r="Q33" i="18"/>
  <c r="Q42" i="18"/>
  <c r="Q18" i="28" s="1"/>
  <c r="K14" i="47" s="1"/>
  <c r="T9" i="19"/>
  <c r="T11" i="19" s="1"/>
  <c r="T22" i="19" s="1"/>
  <c r="T23" i="19" s="1"/>
  <c r="T30" i="15"/>
  <c r="T36" i="15" s="1"/>
  <c r="U8" i="28"/>
  <c r="U19" i="16"/>
  <c r="U21" i="16" s="1"/>
  <c r="U26" i="11"/>
  <c r="U27" i="11" s="1"/>
  <c r="M8" i="29"/>
  <c r="R20" i="31"/>
  <c r="L35" i="47" s="1"/>
  <c r="S75" i="20"/>
  <c r="L20" i="32"/>
  <c r="R15" i="34" l="1"/>
  <c r="L54" i="47" s="1"/>
  <c r="P12" i="9"/>
  <c r="P13" i="9" s="1"/>
  <c r="J68" i="47"/>
  <c r="P28" i="9"/>
  <c r="P30" i="9" s="1"/>
  <c r="P27" i="31" s="1"/>
  <c r="J42" i="47" s="1"/>
  <c r="Q36" i="9"/>
  <c r="U11" i="28"/>
  <c r="O7" i="47" s="1"/>
  <c r="O4" i="47"/>
  <c r="T15" i="31"/>
  <c r="N30" i="47" s="1"/>
  <c r="U28" i="15"/>
  <c r="U26" i="20"/>
  <c r="U19" i="34"/>
  <c r="O58" i="47" s="1"/>
  <c r="U12" i="16"/>
  <c r="U26" i="16"/>
  <c r="W27" i="16" s="1"/>
  <c r="M19" i="35"/>
  <c r="Z18" i="34"/>
  <c r="T57" i="47" s="1"/>
  <c r="V11" i="11"/>
  <c r="V12" i="11" s="1"/>
  <c r="V44" i="12"/>
  <c r="V45" i="12" s="1"/>
  <c r="V20" i="10"/>
  <c r="V21" i="10" s="1"/>
  <c r="Q48" i="17"/>
  <c r="Q34" i="17"/>
  <c r="Q35" i="17" s="1"/>
  <c r="Q13" i="17" s="1"/>
  <c r="Q15" i="17" s="1"/>
  <c r="U14" i="31"/>
  <c r="O29" i="47" s="1"/>
  <c r="V24" i="11"/>
  <c r="K14" i="33"/>
  <c r="J14" i="24"/>
  <c r="D29" i="50" s="1"/>
  <c r="M14" i="32"/>
  <c r="U27" i="13"/>
  <c r="U29" i="13" s="1"/>
  <c r="U12" i="13"/>
  <c r="U13" i="28" s="1"/>
  <c r="O9" i="47" s="1"/>
  <c r="Q34" i="18"/>
  <c r="Q35" i="18" s="1"/>
  <c r="Q13" i="18" s="1"/>
  <c r="Q15" i="18" s="1"/>
  <c r="Q48" i="18"/>
  <c r="Q25" i="34" s="1"/>
  <c r="K64" i="47" s="1"/>
  <c r="Q22" i="34"/>
  <c r="K61" i="47" s="1"/>
  <c r="T30" i="19"/>
  <c r="T32" i="19" s="1"/>
  <c r="T49" i="19"/>
  <c r="T51" i="19" s="1"/>
  <c r="T36" i="19" s="1"/>
  <c r="U37" i="19" s="1"/>
  <c r="U45" i="16"/>
  <c r="U46" i="16" s="1"/>
  <c r="U41" i="16"/>
  <c r="U32" i="16"/>
  <c r="T81" i="20"/>
  <c r="T48" i="20"/>
  <c r="T76" i="20"/>
  <c r="S66" i="20"/>
  <c r="S68" i="20" s="1"/>
  <c r="U11" i="37"/>
  <c r="U20" i="18"/>
  <c r="U22" i="18" s="1"/>
  <c r="U20" i="17"/>
  <c r="U22" i="17" s="1"/>
  <c r="U13" i="15"/>
  <c r="U14" i="15" s="1"/>
  <c r="U19" i="13"/>
  <c r="U21" i="13" s="1"/>
  <c r="U31" i="12"/>
  <c r="AA32" i="12" s="1"/>
  <c r="U39" i="12"/>
  <c r="U41" i="12" s="1"/>
  <c r="U17" i="9"/>
  <c r="U18" i="9" s="1"/>
  <c r="Q16" i="28"/>
  <c r="K12" i="47" s="1"/>
  <c r="P11" i="31" l="1"/>
  <c r="Q11" i="9"/>
  <c r="P9" i="8"/>
  <c r="P16" i="22"/>
  <c r="U14" i="28"/>
  <c r="O10" i="47" s="1"/>
  <c r="M11" i="29"/>
  <c r="Q19" i="28"/>
  <c r="U9" i="20"/>
  <c r="U10" i="20" s="1"/>
  <c r="U14" i="20" s="1"/>
  <c r="U15" i="20" s="1"/>
  <c r="Q16" i="31"/>
  <c r="K31" i="47" s="1"/>
  <c r="R11" i="17"/>
  <c r="Q18" i="31"/>
  <c r="K33" i="47" s="1"/>
  <c r="R11" i="18"/>
  <c r="U38" i="19"/>
  <c r="U10" i="34" s="1"/>
  <c r="O49" i="47" s="1"/>
  <c r="U31" i="19"/>
  <c r="V16" i="19"/>
  <c r="V17" i="19" s="1"/>
  <c r="V42" i="15"/>
  <c r="V20" i="15"/>
  <c r="V25" i="11"/>
  <c r="AA13" i="37"/>
  <c r="AA52" i="12"/>
  <c r="AA40" i="12"/>
  <c r="O13" i="38"/>
  <c r="U8" i="31"/>
  <c r="O23" i="47" s="1"/>
  <c r="V18" i="13"/>
  <c r="K8" i="33"/>
  <c r="J8" i="24"/>
  <c r="D23" i="50" s="1"/>
  <c r="M8" i="32"/>
  <c r="S69" i="20"/>
  <c r="S11" i="34" s="1"/>
  <c r="S77" i="20"/>
  <c r="S78" i="20" s="1"/>
  <c r="U15" i="15"/>
  <c r="U32" i="15"/>
  <c r="U17" i="28"/>
  <c r="O13" i="47" s="1"/>
  <c r="K17" i="30"/>
  <c r="U17" i="34"/>
  <c r="O56" i="47" s="1"/>
  <c r="U27" i="17"/>
  <c r="AA28" i="17" s="1"/>
  <c r="U12" i="17"/>
  <c r="M17" i="35"/>
  <c r="T21" i="28"/>
  <c r="N17" i="47" s="1"/>
  <c r="U33" i="16"/>
  <c r="U34" i="16" s="1"/>
  <c r="U13" i="16" s="1"/>
  <c r="U15" i="16" s="1"/>
  <c r="U47" i="16"/>
  <c r="Q23" i="34"/>
  <c r="K62" i="47" s="1"/>
  <c r="U21" i="34"/>
  <c r="O60" i="47" s="1"/>
  <c r="U12" i="18"/>
  <c r="M21" i="35"/>
  <c r="V26" i="13"/>
  <c r="U30" i="13"/>
  <c r="W14" i="16"/>
  <c r="W28" i="16"/>
  <c r="U12" i="37"/>
  <c r="V38" i="12"/>
  <c r="J12" i="26"/>
  <c r="M12" i="38"/>
  <c r="K12" i="39"/>
  <c r="V10" i="37"/>
  <c r="V24" i="12"/>
  <c r="W17" i="10"/>
  <c r="Q26" i="34"/>
  <c r="K65" i="47" s="1"/>
  <c r="U29" i="15"/>
  <c r="U10" i="12"/>
  <c r="U11" i="12" s="1"/>
  <c r="T19" i="31"/>
  <c r="N34" i="47" s="1"/>
  <c r="U29" i="19"/>
  <c r="V16" i="37"/>
  <c r="V62" i="12"/>
  <c r="V64" i="12" s="1"/>
  <c r="V53" i="12"/>
  <c r="V56" i="12" s="1"/>
  <c r="S12" i="34" l="1"/>
  <c r="M51" i="47" s="1"/>
  <c r="M50" i="47"/>
  <c r="J26" i="47"/>
  <c r="P12" i="31"/>
  <c r="Q22" i="28"/>
  <c r="K18" i="47" s="1"/>
  <c r="K15" i="47"/>
  <c r="Q82" i="20"/>
  <c r="U20" i="20"/>
  <c r="U21" i="20" s="1"/>
  <c r="U34" i="20" s="1"/>
  <c r="U17" i="31"/>
  <c r="O32" i="47" s="1"/>
  <c r="V11" i="16"/>
  <c r="K17" i="33"/>
  <c r="J17" i="24"/>
  <c r="D32" i="50" s="1"/>
  <c r="M17" i="32"/>
  <c r="AA29" i="17"/>
  <c r="AA14" i="17"/>
  <c r="U25" i="20"/>
  <c r="U27" i="20" s="1"/>
  <c r="U39" i="20"/>
  <c r="W25" i="10"/>
  <c r="W20" i="34"/>
  <c r="Q59" i="47" s="1"/>
  <c r="V21" i="19"/>
  <c r="V21" i="15"/>
  <c r="X22" i="15" s="1"/>
  <c r="V43" i="15"/>
  <c r="V45" i="15" s="1"/>
  <c r="U24" i="34"/>
  <c r="O63" i="47" s="1"/>
  <c r="K24" i="36"/>
  <c r="S20" i="31"/>
  <c r="M35" i="47" s="1"/>
  <c r="T75" i="20"/>
  <c r="U9" i="19"/>
  <c r="U11" i="19" s="1"/>
  <c r="U22" i="19" s="1"/>
  <c r="U23" i="19" s="1"/>
  <c r="U30" i="15"/>
  <c r="U36" i="15" s="1"/>
  <c r="V15" i="37"/>
  <c r="W51" i="12"/>
  <c r="U9" i="31"/>
  <c r="O24" i="47" s="1"/>
  <c r="M9" i="32"/>
  <c r="J9" i="24"/>
  <c r="D24" i="50" s="1"/>
  <c r="K9" i="33"/>
  <c r="S15" i="34"/>
  <c r="M54" i="47" s="1"/>
  <c r="R27" i="18"/>
  <c r="R28" i="18" s="1"/>
  <c r="R40" i="18"/>
  <c r="R41" i="18" s="1"/>
  <c r="U48" i="19"/>
  <c r="Q29" i="34"/>
  <c r="R40" i="17"/>
  <c r="R41" i="17" s="1"/>
  <c r="V17" i="37"/>
  <c r="W61" i="12"/>
  <c r="V17" i="11"/>
  <c r="V18" i="11" s="1"/>
  <c r="V25" i="12"/>
  <c r="V26" i="12" s="1"/>
  <c r="U14" i="34"/>
  <c r="O53" i="47" s="1"/>
  <c r="M14" i="35"/>
  <c r="V10" i="13"/>
  <c r="V11" i="13" s="1"/>
  <c r="Q21" i="31"/>
  <c r="K36" i="47" s="1"/>
  <c r="J27" i="47" l="1"/>
  <c r="P22" i="9"/>
  <c r="P24" i="9" s="1"/>
  <c r="Q37" i="9"/>
  <c r="Q38" i="9" s="1"/>
  <c r="Q25" i="31" s="1"/>
  <c r="K40" i="47" s="1"/>
  <c r="Q12" i="9"/>
  <c r="Q13" i="9" s="1"/>
  <c r="Q11" i="31" s="1"/>
  <c r="K26" i="47" s="1"/>
  <c r="K68" i="47"/>
  <c r="Q23" i="9"/>
  <c r="V11" i="37"/>
  <c r="V20" i="18"/>
  <c r="V22" i="18" s="1"/>
  <c r="V20" i="17"/>
  <c r="V22" i="17" s="1"/>
  <c r="V13" i="15"/>
  <c r="V14" i="15" s="1"/>
  <c r="V19" i="13"/>
  <c r="V21" i="13" s="1"/>
  <c r="V39" i="12"/>
  <c r="V41" i="12" s="1"/>
  <c r="V31" i="12"/>
  <c r="AB32" i="12" s="1"/>
  <c r="V17" i="9"/>
  <c r="V18" i="9" s="1"/>
  <c r="R33" i="17"/>
  <c r="R46" i="17"/>
  <c r="R47" i="17" s="1"/>
  <c r="R42" i="17"/>
  <c r="T66" i="20"/>
  <c r="T68" i="20" s="1"/>
  <c r="AA18" i="34"/>
  <c r="U57" i="47" s="1"/>
  <c r="O18" i="35"/>
  <c r="U15" i="31"/>
  <c r="O30" i="47" s="1"/>
  <c r="V28" i="15"/>
  <c r="J15" i="24"/>
  <c r="D30" i="50" s="1"/>
  <c r="M15" i="32"/>
  <c r="K15" i="33"/>
  <c r="R29" i="18"/>
  <c r="R14" i="18"/>
  <c r="X8" i="34"/>
  <c r="R47" i="47" s="1"/>
  <c r="X44" i="15"/>
  <c r="N8" i="35"/>
  <c r="W24" i="10"/>
  <c r="W26" i="10" s="1"/>
  <c r="V8" i="28"/>
  <c r="V19" i="16"/>
  <c r="V21" i="16" s="1"/>
  <c r="V26" i="11"/>
  <c r="V27" i="11" s="1"/>
  <c r="R42" i="18"/>
  <c r="R18" i="28" s="1"/>
  <c r="L14" i="47" s="1"/>
  <c r="R33" i="18"/>
  <c r="R46" i="18"/>
  <c r="R47" i="18" s="1"/>
  <c r="V27" i="13"/>
  <c r="V29" i="13" s="1"/>
  <c r="V12" i="13"/>
  <c r="V10" i="31"/>
  <c r="P25" i="47" s="1"/>
  <c r="W41" i="15"/>
  <c r="V39" i="16"/>
  <c r="V40" i="16" s="1"/>
  <c r="U49" i="19"/>
  <c r="U51" i="19" s="1"/>
  <c r="U36" i="19" s="1"/>
  <c r="V37" i="19" s="1"/>
  <c r="U30" i="19"/>
  <c r="U32" i="19" s="1"/>
  <c r="U35" i="20"/>
  <c r="U36" i="20" s="1"/>
  <c r="V33" i="20" s="1"/>
  <c r="U40" i="20"/>
  <c r="U41" i="20" s="1"/>
  <c r="U46" i="20" s="1"/>
  <c r="U47" i="20" s="1"/>
  <c r="Q28" i="9" l="1"/>
  <c r="Q30" i="9" s="1"/>
  <c r="Q16" i="22" s="1"/>
  <c r="Q9" i="8"/>
  <c r="R11" i="9"/>
  <c r="R36" i="9"/>
  <c r="P23" i="31"/>
  <c r="J38" i="47" s="1"/>
  <c r="P15" i="22"/>
  <c r="P17" i="22" s="1"/>
  <c r="P21" i="22" s="1"/>
  <c r="V11" i="28"/>
  <c r="P7" i="47" s="1"/>
  <c r="P4" i="47"/>
  <c r="Q12" i="31"/>
  <c r="U76" i="20"/>
  <c r="U81" i="20"/>
  <c r="U48" i="20"/>
  <c r="V41" i="16"/>
  <c r="V45" i="16"/>
  <c r="V46" i="16" s="1"/>
  <c r="V32" i="16"/>
  <c r="W44" i="12"/>
  <c r="W45" i="12" s="1"/>
  <c r="W11" i="11"/>
  <c r="W12" i="11" s="1"/>
  <c r="W20" i="10"/>
  <c r="W21" i="10" s="1"/>
  <c r="T69" i="20"/>
  <c r="T11" i="34" s="1"/>
  <c r="T77" i="20"/>
  <c r="T78" i="20" s="1"/>
  <c r="AB13" i="37"/>
  <c r="AB52" i="12"/>
  <c r="AB40" i="12"/>
  <c r="R16" i="28"/>
  <c r="L12" i="47" s="1"/>
  <c r="V12" i="37"/>
  <c r="W38" i="12"/>
  <c r="R48" i="17"/>
  <c r="R34" i="17"/>
  <c r="R35" i="17" s="1"/>
  <c r="R13" i="17" s="1"/>
  <c r="R15" i="17" s="1"/>
  <c r="V8" i="31"/>
  <c r="P23" i="47" s="1"/>
  <c r="W18" i="13"/>
  <c r="V15" i="15"/>
  <c r="V32" i="15"/>
  <c r="V26" i="20"/>
  <c r="V19" i="34"/>
  <c r="P58" i="47" s="1"/>
  <c r="V26" i="16"/>
  <c r="X27" i="16" s="1"/>
  <c r="V12" i="16"/>
  <c r="V17" i="34"/>
  <c r="P56" i="47" s="1"/>
  <c r="V27" i="17"/>
  <c r="AB28" i="17" s="1"/>
  <c r="V12" i="17"/>
  <c r="W26" i="13"/>
  <c r="V30" i="13"/>
  <c r="V9" i="31" s="1"/>
  <c r="P24" i="47" s="1"/>
  <c r="V21" i="34"/>
  <c r="P60" i="47" s="1"/>
  <c r="V12" i="18"/>
  <c r="V38" i="19"/>
  <c r="V31" i="19"/>
  <c r="U19" i="31"/>
  <c r="O34" i="47" s="1"/>
  <c r="V29" i="19"/>
  <c r="K19" i="33"/>
  <c r="M19" i="32"/>
  <c r="J19" i="24"/>
  <c r="D34" i="50" s="1"/>
  <c r="V14" i="31"/>
  <c r="P29" i="47" s="1"/>
  <c r="W24" i="11"/>
  <c r="R48" i="18"/>
  <c r="R25" i="34" s="1"/>
  <c r="L64" i="47" s="1"/>
  <c r="R34" i="18"/>
  <c r="R35" i="18" s="1"/>
  <c r="R13" i="18" s="1"/>
  <c r="R15" i="18" s="1"/>
  <c r="Q27" i="31"/>
  <c r="K42" i="47" s="1"/>
  <c r="V13" i="28"/>
  <c r="P9" i="47" s="1"/>
  <c r="R22" i="34"/>
  <c r="L61" i="47" s="1"/>
  <c r="V29" i="15"/>
  <c r="V10" i="12"/>
  <c r="V11" i="12" s="1"/>
  <c r="T12" i="34" l="1"/>
  <c r="N51" i="47" s="1"/>
  <c r="N50" i="47"/>
  <c r="Q22" i="9"/>
  <c r="Q24" i="9" s="1"/>
  <c r="Q15" i="22" s="1"/>
  <c r="Q17" i="22" s="1"/>
  <c r="Q21" i="22" s="1"/>
  <c r="K27" i="47"/>
  <c r="V9" i="20"/>
  <c r="V10" i="20" s="1"/>
  <c r="V20" i="20" s="1"/>
  <c r="V21" i="20" s="1"/>
  <c r="V34" i="20" s="1"/>
  <c r="V14" i="28"/>
  <c r="P10" i="47" s="1"/>
  <c r="R19" i="28"/>
  <c r="R18" i="31"/>
  <c r="L33" i="47" s="1"/>
  <c r="S11" i="18"/>
  <c r="L18" i="32"/>
  <c r="V14" i="34"/>
  <c r="P53" i="47" s="1"/>
  <c r="W16" i="37"/>
  <c r="W53" i="12"/>
  <c r="W56" i="12" s="1"/>
  <c r="W62" i="12"/>
  <c r="W64" i="12" s="1"/>
  <c r="R16" i="31"/>
  <c r="L31" i="47" s="1"/>
  <c r="S11" i="17"/>
  <c r="L16" i="32"/>
  <c r="R23" i="34"/>
  <c r="L62" i="47" s="1"/>
  <c r="V47" i="16"/>
  <c r="V33" i="16"/>
  <c r="V34" i="16" s="1"/>
  <c r="V13" i="16" s="1"/>
  <c r="V15" i="16" s="1"/>
  <c r="AB29" i="17"/>
  <c r="AB14" i="17"/>
  <c r="X14" i="16"/>
  <c r="X28" i="16"/>
  <c r="W25" i="12"/>
  <c r="V17" i="28"/>
  <c r="P13" i="47" s="1"/>
  <c r="W10" i="13"/>
  <c r="W11" i="13" s="1"/>
  <c r="T20" i="31"/>
  <c r="N35" i="47" s="1"/>
  <c r="U75" i="20"/>
  <c r="U21" i="28"/>
  <c r="O17" i="47" s="1"/>
  <c r="M21" i="29"/>
  <c r="V10" i="34"/>
  <c r="P49" i="47" s="1"/>
  <c r="V48" i="19"/>
  <c r="W16" i="19"/>
  <c r="W17" i="19" s="1"/>
  <c r="W20" i="15"/>
  <c r="W42" i="15"/>
  <c r="W25" i="11"/>
  <c r="V9" i="19"/>
  <c r="V11" i="19" s="1"/>
  <c r="V22" i="19" s="1"/>
  <c r="V23" i="19" s="1"/>
  <c r="V30" i="15"/>
  <c r="V36" i="15" s="1"/>
  <c r="W10" i="37"/>
  <c r="W24" i="12"/>
  <c r="X17" i="10"/>
  <c r="T15" i="34" l="1"/>
  <c r="N54" i="47" s="1"/>
  <c r="Q23" i="31"/>
  <c r="K38" i="47" s="1"/>
  <c r="R82" i="20"/>
  <c r="L15" i="47"/>
  <c r="R22" i="28"/>
  <c r="V14" i="20"/>
  <c r="V15" i="20" s="1"/>
  <c r="V39" i="20" s="1"/>
  <c r="R21" i="31"/>
  <c r="L36" i="47" s="1"/>
  <c r="R26" i="34"/>
  <c r="W26" i="12"/>
  <c r="W39" i="12" s="1"/>
  <c r="W41" i="12" s="1"/>
  <c r="V15" i="31"/>
  <c r="P30" i="47" s="1"/>
  <c r="W28" i="15"/>
  <c r="V17" i="31"/>
  <c r="P32" i="47" s="1"/>
  <c r="W11" i="16"/>
  <c r="W17" i="37"/>
  <c r="X61" i="12"/>
  <c r="W17" i="11"/>
  <c r="W18" i="11" s="1"/>
  <c r="X20" i="34"/>
  <c r="R59" i="47" s="1"/>
  <c r="N20" i="35"/>
  <c r="W27" i="13"/>
  <c r="W29" i="13" s="1"/>
  <c r="W12" i="13"/>
  <c r="W15" i="37"/>
  <c r="X51" i="12"/>
  <c r="S40" i="18"/>
  <c r="S41" i="18" s="1"/>
  <c r="S27" i="18"/>
  <c r="S28" i="18" s="1"/>
  <c r="V49" i="19"/>
  <c r="V51" i="19" s="1"/>
  <c r="V36" i="19" s="1"/>
  <c r="W37" i="19" s="1"/>
  <c r="V30" i="19"/>
  <c r="V32" i="19" s="1"/>
  <c r="AB18" i="34"/>
  <c r="V57" i="47" s="1"/>
  <c r="S40" i="17"/>
  <c r="S41" i="17" s="1"/>
  <c r="X25" i="10"/>
  <c r="U66" i="20"/>
  <c r="U68" i="20" s="1"/>
  <c r="V24" i="34"/>
  <c r="P63" i="47" s="1"/>
  <c r="W21" i="19"/>
  <c r="W21" i="15"/>
  <c r="Y22" i="15" s="1"/>
  <c r="W43" i="15"/>
  <c r="W45" i="15" s="1"/>
  <c r="R29" i="34" l="1"/>
  <c r="L65" i="47"/>
  <c r="L26" i="35"/>
  <c r="W19" i="13"/>
  <c r="W21" i="13" s="1"/>
  <c r="X18" i="13" s="1"/>
  <c r="V25" i="20"/>
  <c r="V27" i="20" s="1"/>
  <c r="V40" i="20" s="1"/>
  <c r="V41" i="20" s="1"/>
  <c r="V46" i="20" s="1"/>
  <c r="V47" i="20" s="1"/>
  <c r="R37" i="9"/>
  <c r="R38" i="9" s="1"/>
  <c r="R25" i="31" s="1"/>
  <c r="L40" i="47" s="1"/>
  <c r="L18" i="47"/>
  <c r="W11" i="37"/>
  <c r="W13" i="15"/>
  <c r="W14" i="15" s="1"/>
  <c r="W32" i="15" s="1"/>
  <c r="W20" i="18"/>
  <c r="W22" i="18" s="1"/>
  <c r="W21" i="34" s="1"/>
  <c r="Q60" i="47" s="1"/>
  <c r="W20" i="17"/>
  <c r="W22" i="17" s="1"/>
  <c r="W17" i="34" s="1"/>
  <c r="Q56" i="47" s="1"/>
  <c r="W31" i="12"/>
  <c r="AC32" i="12" s="1"/>
  <c r="AC13" i="37" s="1"/>
  <c r="W17" i="9"/>
  <c r="W18" i="9" s="1"/>
  <c r="W29" i="15" s="1"/>
  <c r="L21" i="32"/>
  <c r="R23" i="9"/>
  <c r="Y8" i="34"/>
  <c r="S47" i="47" s="1"/>
  <c r="Y44" i="15"/>
  <c r="W10" i="31"/>
  <c r="Q25" i="47" s="1"/>
  <c r="X41" i="15"/>
  <c r="W13" i="28"/>
  <c r="Q9" i="47" s="1"/>
  <c r="W8" i="28"/>
  <c r="W19" i="16"/>
  <c r="W21" i="16" s="1"/>
  <c r="W26" i="11"/>
  <c r="W27" i="11" s="1"/>
  <c r="W30" i="13"/>
  <c r="W9" i="31" s="1"/>
  <c r="Q24" i="47" s="1"/>
  <c r="X26" i="13"/>
  <c r="U77" i="20"/>
  <c r="U78" i="20" s="1"/>
  <c r="U69" i="20"/>
  <c r="U11" i="34" s="1"/>
  <c r="W31" i="19"/>
  <c r="W38" i="19"/>
  <c r="S33" i="17"/>
  <c r="S46" i="17"/>
  <c r="S47" i="17" s="1"/>
  <c r="S42" i="17"/>
  <c r="W39" i="16"/>
  <c r="W40" i="16" s="1"/>
  <c r="S14" i="18"/>
  <c r="S29" i="18"/>
  <c r="V19" i="31"/>
  <c r="P34" i="47" s="1"/>
  <c r="W29" i="19"/>
  <c r="S46" i="18"/>
  <c r="S47" i="18" s="1"/>
  <c r="S42" i="18"/>
  <c r="S33" i="18"/>
  <c r="W12" i="37"/>
  <c r="X38" i="12"/>
  <c r="X24" i="10"/>
  <c r="X26" i="10" s="1"/>
  <c r="V35" i="20" l="1"/>
  <c r="V36" i="20" s="1"/>
  <c r="W33" i="20" s="1"/>
  <c r="W26" i="20" s="1"/>
  <c r="S36" i="9"/>
  <c r="L25" i="32"/>
  <c r="R28" i="9"/>
  <c r="R30" i="9" s="1"/>
  <c r="R27" i="31" s="1"/>
  <c r="L42" i="47" s="1"/>
  <c r="U12" i="34"/>
  <c r="O51" i="47" s="1"/>
  <c r="O50" i="47"/>
  <c r="R12" i="9"/>
  <c r="R13" i="9" s="1"/>
  <c r="L68" i="47"/>
  <c r="W8" i="31"/>
  <c r="Q23" i="47" s="1"/>
  <c r="W12" i="18"/>
  <c r="W12" i="17"/>
  <c r="W27" i="17"/>
  <c r="AC28" i="17" s="1"/>
  <c r="AC29" i="17" s="1"/>
  <c r="W10" i="12"/>
  <c r="W11" i="12" s="1"/>
  <c r="W30" i="15" s="1"/>
  <c r="W36" i="15" s="1"/>
  <c r="W15" i="15"/>
  <c r="W14" i="34" s="1"/>
  <c r="Q53" i="47" s="1"/>
  <c r="AC52" i="12"/>
  <c r="AC40" i="12"/>
  <c r="W11" i="28"/>
  <c r="Q7" i="47" s="1"/>
  <c r="Q4" i="47"/>
  <c r="W14" i="31"/>
  <c r="Q29" i="47" s="1"/>
  <c r="X24" i="11"/>
  <c r="U20" i="31"/>
  <c r="O35" i="47" s="1"/>
  <c r="V75" i="20"/>
  <c r="J20" i="24"/>
  <c r="D35" i="50" s="1"/>
  <c r="M20" i="32"/>
  <c r="K20" i="33"/>
  <c r="W19" i="34"/>
  <c r="Q58" i="47" s="1"/>
  <c r="W26" i="16"/>
  <c r="Y27" i="16" s="1"/>
  <c r="W12" i="16"/>
  <c r="W45" i="16"/>
  <c r="W46" i="16" s="1"/>
  <c r="W32" i="16"/>
  <c r="W41" i="16"/>
  <c r="S16" i="28"/>
  <c r="M12" i="47" s="1"/>
  <c r="W48" i="19"/>
  <c r="S34" i="17"/>
  <c r="S35" i="17" s="1"/>
  <c r="S13" i="17" s="1"/>
  <c r="S15" i="17" s="1"/>
  <c r="S48" i="17"/>
  <c r="W10" i="34"/>
  <c r="Q49" i="47" s="1"/>
  <c r="X44" i="12"/>
  <c r="X45" i="12" s="1"/>
  <c r="X11" i="11"/>
  <c r="X12" i="11" s="1"/>
  <c r="X20" i="10"/>
  <c r="X21" i="10" s="1"/>
  <c r="S18" i="28"/>
  <c r="M14" i="47" s="1"/>
  <c r="V76" i="20"/>
  <c r="V81" i="20"/>
  <c r="V48" i="20"/>
  <c r="X25" i="12"/>
  <c r="S34" i="18"/>
  <c r="S35" i="18" s="1"/>
  <c r="S13" i="18" s="1"/>
  <c r="S15" i="18" s="1"/>
  <c r="S48" i="18"/>
  <c r="S22" i="34"/>
  <c r="M61" i="47" s="1"/>
  <c r="X10" i="13"/>
  <c r="X11" i="13" s="1"/>
  <c r="M12" i="35" l="1"/>
  <c r="L27" i="32"/>
  <c r="R16" i="22"/>
  <c r="U15" i="34"/>
  <c r="O54" i="47" s="1"/>
  <c r="W9" i="19"/>
  <c r="W11" i="19" s="1"/>
  <c r="W22" i="19" s="1"/>
  <c r="W23" i="19" s="1"/>
  <c r="W30" i="19" s="1"/>
  <c r="W32" i="19" s="1"/>
  <c r="L11" i="32"/>
  <c r="R11" i="31"/>
  <c r="S11" i="9"/>
  <c r="R9" i="8"/>
  <c r="W14" i="28"/>
  <c r="Q10" i="47" s="1"/>
  <c r="AC14" i="17"/>
  <c r="W9" i="20"/>
  <c r="W10" i="20" s="1"/>
  <c r="W20" i="20" s="1"/>
  <c r="W21" i="20" s="1"/>
  <c r="W34" i="20" s="1"/>
  <c r="W15" i="31"/>
  <c r="Q30" i="47" s="1"/>
  <c r="X28" i="15"/>
  <c r="S19" i="28"/>
  <c r="M15" i="47" s="1"/>
  <c r="V66" i="20"/>
  <c r="V68" i="20" s="1"/>
  <c r="S16" i="31"/>
  <c r="M31" i="47" s="1"/>
  <c r="T11" i="17"/>
  <c r="W17" i="28"/>
  <c r="Q13" i="47" s="1"/>
  <c r="AC18" i="34"/>
  <c r="W57" i="47" s="1"/>
  <c r="X16" i="37"/>
  <c r="X62" i="12"/>
  <c r="X64" i="12" s="1"/>
  <c r="X53" i="12"/>
  <c r="X56" i="12" s="1"/>
  <c r="N16" i="38"/>
  <c r="S23" i="34"/>
  <c r="M62" i="47" s="1"/>
  <c r="W33" i="16"/>
  <c r="W34" i="16" s="1"/>
  <c r="W13" i="16" s="1"/>
  <c r="W15" i="16" s="1"/>
  <c r="W47" i="16"/>
  <c r="Y14" i="16"/>
  <c r="Y28" i="16"/>
  <c r="V21" i="28"/>
  <c r="P17" i="47" s="1"/>
  <c r="X27" i="13"/>
  <c r="X29" i="13" s="1"/>
  <c r="X12" i="13"/>
  <c r="S18" i="31"/>
  <c r="M33" i="47" s="1"/>
  <c r="T11" i="18"/>
  <c r="S25" i="34"/>
  <c r="M64" i="47" s="1"/>
  <c r="X10" i="37"/>
  <c r="X24" i="12"/>
  <c r="X26" i="12" s="1"/>
  <c r="Y17" i="10"/>
  <c r="N10" i="38"/>
  <c r="X16" i="19"/>
  <c r="X17" i="19" s="1"/>
  <c r="X20" i="15"/>
  <c r="X42" i="15"/>
  <c r="X25" i="11"/>
  <c r="W49" i="19" l="1"/>
  <c r="W51" i="19" s="1"/>
  <c r="W36" i="19" s="1"/>
  <c r="X37" i="19" s="1"/>
  <c r="X31" i="19" s="1"/>
  <c r="L26" i="47"/>
  <c r="R12" i="31"/>
  <c r="W14" i="20"/>
  <c r="W15" i="20" s="1"/>
  <c r="W39" i="20" s="1"/>
  <c r="S26" i="34"/>
  <c r="W17" i="31"/>
  <c r="Q32" i="47" s="1"/>
  <c r="X11" i="16"/>
  <c r="X21" i="19"/>
  <c r="X43" i="15"/>
  <c r="X45" i="15" s="1"/>
  <c r="X21" i="15"/>
  <c r="Z22" i="15" s="1"/>
  <c r="W24" i="34"/>
  <c r="Q63" i="47" s="1"/>
  <c r="X17" i="37"/>
  <c r="Y61" i="12"/>
  <c r="X17" i="11"/>
  <c r="X18" i="11" s="1"/>
  <c r="N17" i="38"/>
  <c r="S21" i="31"/>
  <c r="M36" i="47" s="1"/>
  <c r="V69" i="20"/>
  <c r="V77" i="20"/>
  <c r="V78" i="20" s="1"/>
  <c r="S22" i="28"/>
  <c r="M18" i="47" s="1"/>
  <c r="S82" i="20"/>
  <c r="X30" i="13"/>
  <c r="Y26" i="13"/>
  <c r="W19" i="31"/>
  <c r="Q34" i="47" s="1"/>
  <c r="X29" i="19"/>
  <c r="Y25" i="10"/>
  <c r="X11" i="37"/>
  <c r="X20" i="18"/>
  <c r="X22" i="18" s="1"/>
  <c r="X20" i="17"/>
  <c r="X22" i="17" s="1"/>
  <c r="X13" i="15"/>
  <c r="X14" i="15" s="1"/>
  <c r="X39" i="12"/>
  <c r="X41" i="12" s="1"/>
  <c r="X31" i="12"/>
  <c r="AD32" i="12" s="1"/>
  <c r="X17" i="9"/>
  <c r="X18" i="9" s="1"/>
  <c r="X19" i="13"/>
  <c r="X21" i="13" s="1"/>
  <c r="N11" i="38"/>
  <c r="Y20" i="34"/>
  <c r="S59" i="47" s="1"/>
  <c r="T27" i="18"/>
  <c r="T28" i="18" s="1"/>
  <c r="T40" i="18"/>
  <c r="T41" i="18" s="1"/>
  <c r="X13" i="28"/>
  <c r="R9" i="47" s="1"/>
  <c r="N13" i="29"/>
  <c r="X15" i="37"/>
  <c r="Y51" i="12"/>
  <c r="N15" i="38"/>
  <c r="T40" i="17"/>
  <c r="T41" i="17" s="1"/>
  <c r="X38" i="19" l="1"/>
  <c r="X10" i="34" s="1"/>
  <c r="R49" i="47" s="1"/>
  <c r="S29" i="34"/>
  <c r="M65" i="47"/>
  <c r="L12" i="32"/>
  <c r="R22" i="9"/>
  <c r="R24" i="9" s="1"/>
  <c r="L27" i="47"/>
  <c r="W25" i="20"/>
  <c r="W27" i="20" s="1"/>
  <c r="W35" i="20" s="1"/>
  <c r="W36" i="20" s="1"/>
  <c r="X33" i="20" s="1"/>
  <c r="S23" i="9"/>
  <c r="Z8" i="34"/>
  <c r="T47" i="47" s="1"/>
  <c r="Z44" i="15"/>
  <c r="X10" i="31"/>
  <c r="R25" i="47" s="1"/>
  <c r="Y41" i="15"/>
  <c r="N10" i="32"/>
  <c r="X8" i="31"/>
  <c r="R23" i="47" s="1"/>
  <c r="Y18" i="13"/>
  <c r="N8" i="32"/>
  <c r="T33" i="17"/>
  <c r="T46" i="17"/>
  <c r="T47" i="17" s="1"/>
  <c r="T42" i="17"/>
  <c r="T16" i="28" s="1"/>
  <c r="N12" i="47" s="1"/>
  <c r="X29" i="15"/>
  <c r="X10" i="12"/>
  <c r="X11" i="12" s="1"/>
  <c r="S37" i="9"/>
  <c r="S38" i="9" s="1"/>
  <c r="T14" i="18"/>
  <c r="T29" i="18"/>
  <c r="T22" i="34" s="1"/>
  <c r="N61" i="47" s="1"/>
  <c r="AD13" i="37"/>
  <c r="AD40" i="12"/>
  <c r="AD52" i="12"/>
  <c r="P13" i="38"/>
  <c r="X48" i="19"/>
  <c r="V20" i="31"/>
  <c r="P35" i="47" s="1"/>
  <c r="W75" i="20"/>
  <c r="V11" i="34"/>
  <c r="X32" i="15"/>
  <c r="X15" i="15"/>
  <c r="X39" i="16"/>
  <c r="X40" i="16" s="1"/>
  <c r="X9" i="31"/>
  <c r="R24" i="47" s="1"/>
  <c r="N9" i="32"/>
  <c r="Y24" i="10"/>
  <c r="Y26" i="10" s="1"/>
  <c r="X12" i="37"/>
  <c r="Y38" i="12"/>
  <c r="N12" i="38"/>
  <c r="X17" i="34"/>
  <c r="R56" i="47" s="1"/>
  <c r="X27" i="17"/>
  <c r="AD28" i="17" s="1"/>
  <c r="X12" i="17"/>
  <c r="N17" i="35"/>
  <c r="T42" i="18"/>
  <c r="T33" i="18"/>
  <c r="T46" i="18"/>
  <c r="T47" i="18" s="1"/>
  <c r="X21" i="34"/>
  <c r="R60" i="47" s="1"/>
  <c r="X12" i="18"/>
  <c r="N21" i="35"/>
  <c r="X8" i="28"/>
  <c r="X19" i="16"/>
  <c r="X21" i="16" s="1"/>
  <c r="X26" i="11"/>
  <c r="X27" i="11" s="1"/>
  <c r="N8" i="29"/>
  <c r="N10" i="35" l="1"/>
  <c r="R23" i="31"/>
  <c r="L38" i="47" s="1"/>
  <c r="R15" i="22"/>
  <c r="R17" i="22" s="1"/>
  <c r="R21" i="22" s="1"/>
  <c r="W40" i="20"/>
  <c r="W41" i="20" s="1"/>
  <c r="W46" i="20" s="1"/>
  <c r="W47" i="20" s="1"/>
  <c r="W81" i="20" s="1"/>
  <c r="V12" i="34"/>
  <c r="P51" i="47" s="1"/>
  <c r="P50" i="47"/>
  <c r="S12" i="9"/>
  <c r="S13" i="9" s="1"/>
  <c r="M68" i="47"/>
  <c r="X11" i="28"/>
  <c r="R7" i="47" s="1"/>
  <c r="R4" i="47"/>
  <c r="X19" i="34"/>
  <c r="R58" i="47" s="1"/>
  <c r="X26" i="16"/>
  <c r="Z27" i="16" s="1"/>
  <c r="X12" i="16"/>
  <c r="N19" i="35"/>
  <c r="T18" i="28"/>
  <c r="N14" i="47" s="1"/>
  <c r="Y25" i="12"/>
  <c r="X26" i="20"/>
  <c r="X9" i="19"/>
  <c r="X11" i="19" s="1"/>
  <c r="X22" i="19" s="1"/>
  <c r="X23" i="19" s="1"/>
  <c r="X30" i="15"/>
  <c r="X36" i="15" s="1"/>
  <c r="W66" i="20"/>
  <c r="W68" i="20" s="1"/>
  <c r="Y10" i="13"/>
  <c r="Y11" i="13" s="1"/>
  <c r="Y44" i="12"/>
  <c r="Y45" i="12" s="1"/>
  <c r="Y11" i="11"/>
  <c r="Y12" i="11" s="1"/>
  <c r="Y20" i="10"/>
  <c r="Y21" i="10" s="1"/>
  <c r="X45" i="16"/>
  <c r="X46" i="16" s="1"/>
  <c r="X32" i="16"/>
  <c r="X41" i="16"/>
  <c r="T34" i="17"/>
  <c r="T35" i="17" s="1"/>
  <c r="T13" i="17" s="1"/>
  <c r="T15" i="17" s="1"/>
  <c r="T48" i="17"/>
  <c r="T23" i="34" s="1"/>
  <c r="N62" i="47" s="1"/>
  <c r="S25" i="31"/>
  <c r="M40" i="47" s="1"/>
  <c r="S28" i="9"/>
  <c r="S30" i="9" s="1"/>
  <c r="T36" i="9"/>
  <c r="AD29" i="17"/>
  <c r="AD14" i="17"/>
  <c r="X14" i="34"/>
  <c r="R53" i="47" s="1"/>
  <c r="N14" i="35"/>
  <c r="X14" i="31"/>
  <c r="R29" i="47" s="1"/>
  <c r="Y24" i="11"/>
  <c r="N14" i="32"/>
  <c r="T34" i="18"/>
  <c r="T35" i="18" s="1"/>
  <c r="T13" i="18" s="1"/>
  <c r="T15" i="18" s="1"/>
  <c r="T48" i="18"/>
  <c r="V15" i="34" l="1"/>
  <c r="P54" i="47" s="1"/>
  <c r="W48" i="20"/>
  <c r="W21" i="28" s="1"/>
  <c r="Q17" i="47" s="1"/>
  <c r="W76" i="20"/>
  <c r="S11" i="31"/>
  <c r="T11" i="9"/>
  <c r="S9" i="8"/>
  <c r="N11" i="29"/>
  <c r="X9" i="20"/>
  <c r="X10" i="20" s="1"/>
  <c r="X14" i="20" s="1"/>
  <c r="X15" i="20" s="1"/>
  <c r="X14" i="28"/>
  <c r="R10" i="47" s="1"/>
  <c r="T19" i="28"/>
  <c r="T18" i="31"/>
  <c r="N33" i="47" s="1"/>
  <c r="U11" i="18"/>
  <c r="T16" i="31"/>
  <c r="N31" i="47" s="1"/>
  <c r="U11" i="17"/>
  <c r="T25" i="34"/>
  <c r="AD18" i="34"/>
  <c r="X57" i="47" s="1"/>
  <c r="P18" i="35"/>
  <c r="Y16" i="37"/>
  <c r="Y62" i="12"/>
  <c r="Y64" i="12" s="1"/>
  <c r="Y53" i="12"/>
  <c r="Y56" i="12" s="1"/>
  <c r="W77" i="20"/>
  <c r="W69" i="20"/>
  <c r="X15" i="31"/>
  <c r="R30" i="47" s="1"/>
  <c r="Y28" i="15"/>
  <c r="N15" i="32"/>
  <c r="X33" i="16"/>
  <c r="X34" i="16" s="1"/>
  <c r="X13" i="16" s="1"/>
  <c r="X15" i="16" s="1"/>
  <c r="X47" i="16"/>
  <c r="Y10" i="37"/>
  <c r="Z17" i="10"/>
  <c r="Y24" i="12"/>
  <c r="Y26" i="12" s="1"/>
  <c r="Y12" i="13"/>
  <c r="Y27" i="13"/>
  <c r="Y29" i="13" s="1"/>
  <c r="Y16" i="19"/>
  <c r="Y17" i="19" s="1"/>
  <c r="Y42" i="15"/>
  <c r="Y20" i="15"/>
  <c r="Y25" i="11"/>
  <c r="S27" i="31"/>
  <c r="M42" i="47" s="1"/>
  <c r="S16" i="22"/>
  <c r="X17" i="28"/>
  <c r="R13" i="47" s="1"/>
  <c r="N17" i="29"/>
  <c r="Z14" i="16"/>
  <c r="Z28" i="16"/>
  <c r="X49" i="19"/>
  <c r="X51" i="19" s="1"/>
  <c r="X36" i="19" s="1"/>
  <c r="Y37" i="19" s="1"/>
  <c r="X30" i="19"/>
  <c r="X32" i="19" s="1"/>
  <c r="W78" i="20" l="1"/>
  <c r="X20" i="20"/>
  <c r="X21" i="20" s="1"/>
  <c r="X34" i="20" s="1"/>
  <c r="T26" i="34"/>
  <c r="N64" i="47"/>
  <c r="M26" i="47"/>
  <c r="S12" i="31"/>
  <c r="T22" i="28"/>
  <c r="N18" i="47" s="1"/>
  <c r="N15" i="47"/>
  <c r="N14" i="29"/>
  <c r="T21" i="31"/>
  <c r="N36" i="47" s="1"/>
  <c r="T82" i="20"/>
  <c r="X17" i="31"/>
  <c r="R32" i="47" s="1"/>
  <c r="Y11" i="16"/>
  <c r="N17" i="32"/>
  <c r="W20" i="31"/>
  <c r="Q35" i="47" s="1"/>
  <c r="X75" i="20"/>
  <c r="X25" i="20"/>
  <c r="X27" i="20" s="1"/>
  <c r="X39" i="20"/>
  <c r="X19" i="31"/>
  <c r="R34" i="47" s="1"/>
  <c r="Y29" i="19"/>
  <c r="N19" i="32"/>
  <c r="Y21" i="19"/>
  <c r="Y43" i="15"/>
  <c r="Y45" i="15" s="1"/>
  <c r="Y21" i="15"/>
  <c r="AA22" i="15" s="1"/>
  <c r="Y15" i="37"/>
  <c r="Z51" i="12"/>
  <c r="Y11" i="37"/>
  <c r="Y20" i="18"/>
  <c r="Y22" i="18" s="1"/>
  <c r="Y20" i="17"/>
  <c r="Y22" i="17" s="1"/>
  <c r="Y13" i="15"/>
  <c r="Y14" i="15" s="1"/>
  <c r="Y39" i="12"/>
  <c r="Y41" i="12" s="1"/>
  <c r="Y19" i="13"/>
  <c r="Y21" i="13" s="1"/>
  <c r="Y31" i="12"/>
  <c r="AE32" i="12" s="1"/>
  <c r="Y17" i="9"/>
  <c r="Y18" i="9" s="1"/>
  <c r="Y30" i="13"/>
  <c r="Y9" i="31" s="1"/>
  <c r="S24" i="47" s="1"/>
  <c r="Z26" i="13"/>
  <c r="Y17" i="37"/>
  <c r="Z61" i="12"/>
  <c r="Y17" i="11"/>
  <c r="Y18" i="11" s="1"/>
  <c r="Y13" i="28"/>
  <c r="S9" i="47" s="1"/>
  <c r="X24" i="34"/>
  <c r="R63" i="47" s="1"/>
  <c r="N24" i="35"/>
  <c r="U27" i="18"/>
  <c r="U28" i="18" s="1"/>
  <c r="U40" i="18"/>
  <c r="U41" i="18" s="1"/>
  <c r="Y31" i="19"/>
  <c r="Y38" i="19"/>
  <c r="Z25" i="10"/>
  <c r="Z20" i="34"/>
  <c r="T59" i="47" s="1"/>
  <c r="W11" i="34"/>
  <c r="U40" i="17"/>
  <c r="U41" i="17" s="1"/>
  <c r="S22" i="9" l="1"/>
  <c r="S24" i="9" s="1"/>
  <c r="M27" i="47"/>
  <c r="T37" i="9"/>
  <c r="T38" i="9" s="1"/>
  <c r="T25" i="31" s="1"/>
  <c r="N40" i="47" s="1"/>
  <c r="W12" i="34"/>
  <c r="Q51" i="47" s="1"/>
  <c r="Q50" i="47"/>
  <c r="T29" i="34"/>
  <c r="N65" i="47"/>
  <c r="T23" i="9"/>
  <c r="AA8" i="34"/>
  <c r="U47" i="47" s="1"/>
  <c r="AA44" i="15"/>
  <c r="O8" i="35"/>
  <c r="Y10" i="31"/>
  <c r="S25" i="47" s="1"/>
  <c r="Z41" i="15"/>
  <c r="Y21" i="34"/>
  <c r="S60" i="47" s="1"/>
  <c r="Y12" i="18"/>
  <c r="X35" i="20"/>
  <c r="X36" i="20" s="1"/>
  <c r="Y33" i="20" s="1"/>
  <c r="X40" i="20"/>
  <c r="X41" i="20" s="1"/>
  <c r="X46" i="20" s="1"/>
  <c r="X47" i="20" s="1"/>
  <c r="Y29" i="15"/>
  <c r="Y10" i="12"/>
  <c r="Y11" i="12" s="1"/>
  <c r="X66" i="20"/>
  <c r="X68" i="20" s="1"/>
  <c r="U29" i="18"/>
  <c r="U22" i="34" s="1"/>
  <c r="O61" i="47" s="1"/>
  <c r="U14" i="18"/>
  <c r="Y10" i="34"/>
  <c r="S49" i="47" s="1"/>
  <c r="AE13" i="37"/>
  <c r="AE52" i="12"/>
  <c r="AE40" i="12"/>
  <c r="Y48" i="19"/>
  <c r="Y17" i="34"/>
  <c r="S56" i="47" s="1"/>
  <c r="Y27" i="17"/>
  <c r="AE28" i="17" s="1"/>
  <c r="Y12" i="17"/>
  <c r="U33" i="17"/>
  <c r="U46" i="17"/>
  <c r="U47" i="17" s="1"/>
  <c r="U42" i="17"/>
  <c r="U16" i="28" s="1"/>
  <c r="O12" i="47" s="1"/>
  <c r="Y8" i="31"/>
  <c r="S23" i="47" s="1"/>
  <c r="Z18" i="13"/>
  <c r="Y8" i="28"/>
  <c r="Y19" i="16"/>
  <c r="Y21" i="16" s="1"/>
  <c r="Y26" i="11"/>
  <c r="Y27" i="11" s="1"/>
  <c r="Y12" i="37"/>
  <c r="Z38" i="12"/>
  <c r="Z24" i="10"/>
  <c r="Z26" i="10" s="1"/>
  <c r="Y39" i="16"/>
  <c r="Y40" i="16" s="1"/>
  <c r="U33" i="18"/>
  <c r="U46" i="18"/>
  <c r="U47" i="18" s="1"/>
  <c r="U42" i="18"/>
  <c r="Y15" i="15"/>
  <c r="Y32" i="15"/>
  <c r="W15" i="34" l="1"/>
  <c r="Q54" i="47" s="1"/>
  <c r="U36" i="9"/>
  <c r="T28" i="9"/>
  <c r="T30" i="9" s="1"/>
  <c r="T27" i="31" s="1"/>
  <c r="N42" i="47" s="1"/>
  <c r="N68" i="47"/>
  <c r="T12" i="9"/>
  <c r="T13" i="9" s="1"/>
  <c r="S15" i="22"/>
  <c r="S17" i="22" s="1"/>
  <c r="S21" i="22" s="1"/>
  <c r="S23" i="31"/>
  <c r="M38" i="47" s="1"/>
  <c r="Y11" i="28"/>
  <c r="S7" i="47" s="1"/>
  <c r="S4" i="47"/>
  <c r="Z10" i="13"/>
  <c r="Z11" i="13" s="1"/>
  <c r="Y14" i="34"/>
  <c r="S53" i="47" s="1"/>
  <c r="U18" i="28"/>
  <c r="O14" i="47" s="1"/>
  <c r="M18" i="29"/>
  <c r="Y45" i="16"/>
  <c r="Y46" i="16" s="1"/>
  <c r="Y32" i="16"/>
  <c r="Y41" i="16"/>
  <c r="AE14" i="17"/>
  <c r="AE29" i="17"/>
  <c r="Y26" i="20"/>
  <c r="U48" i="18"/>
  <c r="U34" i="18"/>
  <c r="U35" i="18" s="1"/>
  <c r="U13" i="18" s="1"/>
  <c r="U15" i="18" s="1"/>
  <c r="Y14" i="31"/>
  <c r="S29" i="47" s="1"/>
  <c r="Z24" i="11"/>
  <c r="X77" i="20"/>
  <c r="X69" i="20"/>
  <c r="Z44" i="12"/>
  <c r="Z45" i="12" s="1"/>
  <c r="Z11" i="11"/>
  <c r="Z12" i="11" s="1"/>
  <c r="Z20" i="10"/>
  <c r="Z21" i="10" s="1"/>
  <c r="U48" i="17"/>
  <c r="U23" i="34" s="1"/>
  <c r="O62" i="47" s="1"/>
  <c r="U34" i="17"/>
  <c r="U35" i="17" s="1"/>
  <c r="U13" i="17" s="1"/>
  <c r="U15" i="17" s="1"/>
  <c r="Y9" i="19"/>
  <c r="Y11" i="19" s="1"/>
  <c r="Y22" i="19" s="1"/>
  <c r="Y23" i="19" s="1"/>
  <c r="Y30" i="15"/>
  <c r="Y36" i="15" s="1"/>
  <c r="X76" i="20"/>
  <c r="X48" i="20"/>
  <c r="X81" i="20"/>
  <c r="Y19" i="34"/>
  <c r="S58" i="47" s="1"/>
  <c r="Y26" i="16"/>
  <c r="AA27" i="16" s="1"/>
  <c r="Y12" i="16"/>
  <c r="Z25" i="12"/>
  <c r="T16" i="22" l="1"/>
  <c r="T11" i="31"/>
  <c r="U11" i="9"/>
  <c r="T9" i="8"/>
  <c r="Y14" i="28"/>
  <c r="S10" i="47" s="1"/>
  <c r="U19" i="28"/>
  <c r="Y9" i="20"/>
  <c r="Y10" i="20" s="1"/>
  <c r="Y14" i="20" s="1"/>
  <c r="Y15" i="20" s="1"/>
  <c r="X78" i="20"/>
  <c r="X20" i="31" s="1"/>
  <c r="R35" i="47" s="1"/>
  <c r="U16" i="31"/>
  <c r="O31" i="47" s="1"/>
  <c r="V11" i="17"/>
  <c r="J16" i="24"/>
  <c r="D31" i="50" s="1"/>
  <c r="M16" i="32"/>
  <c r="K16" i="33"/>
  <c r="AA14" i="16"/>
  <c r="AA28" i="16"/>
  <c r="U18" i="31"/>
  <c r="O33" i="47" s="1"/>
  <c r="V11" i="18"/>
  <c r="K18" i="33"/>
  <c r="J18" i="24"/>
  <c r="D33" i="50" s="1"/>
  <c r="M18" i="32"/>
  <c r="Y17" i="28"/>
  <c r="S13" i="47" s="1"/>
  <c r="X11" i="34"/>
  <c r="N11" i="35"/>
  <c r="Y49" i="19"/>
  <c r="Y51" i="19" s="1"/>
  <c r="Y36" i="19" s="1"/>
  <c r="Z37" i="19" s="1"/>
  <c r="Y30" i="19"/>
  <c r="Y32" i="19" s="1"/>
  <c r="Y47" i="16"/>
  <c r="Y33" i="16"/>
  <c r="Y34" i="16" s="1"/>
  <c r="Y13" i="16" s="1"/>
  <c r="Y15" i="16" s="1"/>
  <c r="Z27" i="13"/>
  <c r="Z29" i="13" s="1"/>
  <c r="Z12" i="13"/>
  <c r="Z10" i="37"/>
  <c r="Z24" i="12"/>
  <c r="Z26" i="12" s="1"/>
  <c r="AA17" i="10"/>
  <c r="Y15" i="31"/>
  <c r="S30" i="47" s="1"/>
  <c r="Z28" i="15"/>
  <c r="Z16" i="19"/>
  <c r="Z17" i="19" s="1"/>
  <c r="Z42" i="15"/>
  <c r="Z20" i="15"/>
  <c r="Z25" i="11"/>
  <c r="AE18" i="34"/>
  <c r="Y57" i="47" s="1"/>
  <c r="X21" i="28"/>
  <c r="R17" i="47" s="1"/>
  <c r="N21" i="29"/>
  <c r="Z16" i="37"/>
  <c r="Z62" i="12"/>
  <c r="Z64" i="12" s="1"/>
  <c r="Z53" i="12"/>
  <c r="Z56" i="12" s="1"/>
  <c r="U25" i="34"/>
  <c r="M25" i="35"/>
  <c r="X12" i="34" l="1"/>
  <c r="R51" i="47" s="1"/>
  <c r="R50" i="47"/>
  <c r="U26" i="34"/>
  <c r="O64" i="47"/>
  <c r="N26" i="47"/>
  <c r="T12" i="31"/>
  <c r="M19" i="29"/>
  <c r="O15" i="47"/>
  <c r="U82" i="20"/>
  <c r="U22" i="28"/>
  <c r="O18" i="47" s="1"/>
  <c r="Y20" i="20"/>
  <c r="Y21" i="20" s="1"/>
  <c r="Y34" i="20" s="1"/>
  <c r="N20" i="32"/>
  <c r="Y75" i="20"/>
  <c r="Y66" i="20" s="1"/>
  <c r="Y68" i="20" s="1"/>
  <c r="Y17" i="31"/>
  <c r="S32" i="47" s="1"/>
  <c r="Z11" i="16"/>
  <c r="Z11" i="37"/>
  <c r="Z20" i="18"/>
  <c r="Z22" i="18" s="1"/>
  <c r="Z20" i="17"/>
  <c r="Z22" i="17" s="1"/>
  <c r="Z13" i="15"/>
  <c r="Z14" i="15" s="1"/>
  <c r="Z19" i="13"/>
  <c r="Z21" i="13" s="1"/>
  <c r="Z39" i="12"/>
  <c r="Z41" i="12" s="1"/>
  <c r="Z31" i="12"/>
  <c r="AF32" i="12" s="1"/>
  <c r="Z17" i="9"/>
  <c r="Z18" i="9" s="1"/>
  <c r="Z31" i="19"/>
  <c r="Z38" i="19"/>
  <c r="AA20" i="34"/>
  <c r="U59" i="47" s="1"/>
  <c r="O20" i="35"/>
  <c r="Y39" i="20"/>
  <c r="Y25" i="20"/>
  <c r="Y27" i="20" s="1"/>
  <c r="V40" i="18"/>
  <c r="V41" i="18" s="1"/>
  <c r="V27" i="18"/>
  <c r="V28" i="18" s="1"/>
  <c r="Z15" i="37"/>
  <c r="AA51" i="12"/>
  <c r="Z21" i="19"/>
  <c r="Z43" i="15"/>
  <c r="Z45" i="15" s="1"/>
  <c r="Z21" i="15"/>
  <c r="AB22" i="15" s="1"/>
  <c r="Z30" i="13"/>
  <c r="Z9" i="31" s="1"/>
  <c r="T24" i="47" s="1"/>
  <c r="AA26" i="13"/>
  <c r="Y24" i="34"/>
  <c r="S63" i="47" s="1"/>
  <c r="V40" i="17"/>
  <c r="V41" i="17" s="1"/>
  <c r="Z17" i="37"/>
  <c r="AA61" i="12"/>
  <c r="Z17" i="11"/>
  <c r="Z18" i="11" s="1"/>
  <c r="Z13" i="28"/>
  <c r="T9" i="47" s="1"/>
  <c r="AA25" i="10"/>
  <c r="Y19" i="31"/>
  <c r="S34" i="47" s="1"/>
  <c r="Z29" i="19"/>
  <c r="U21" i="31"/>
  <c r="O36" i="47" s="1"/>
  <c r="X15" i="34" l="1"/>
  <c r="R54" i="47" s="1"/>
  <c r="N12" i="35"/>
  <c r="U29" i="34"/>
  <c r="O65" i="47"/>
  <c r="N27" i="47"/>
  <c r="T22" i="9"/>
  <c r="T24" i="9" s="1"/>
  <c r="M22" i="29"/>
  <c r="U37" i="9"/>
  <c r="U38" i="9" s="1"/>
  <c r="U25" i="31" s="1"/>
  <c r="O40" i="47" s="1"/>
  <c r="Z10" i="31"/>
  <c r="T25" i="47" s="1"/>
  <c r="AA41" i="15"/>
  <c r="AB8" i="34"/>
  <c r="V47" i="47" s="1"/>
  <c r="AB44" i="15"/>
  <c r="Y40" i="20"/>
  <c r="Y41" i="20" s="1"/>
  <c r="Y46" i="20" s="1"/>
  <c r="Y47" i="20" s="1"/>
  <c r="Y35" i="20"/>
  <c r="Y36" i="20" s="1"/>
  <c r="Z33" i="20" s="1"/>
  <c r="Z10" i="34"/>
  <c r="T49" i="47" s="1"/>
  <c r="Z17" i="34"/>
  <c r="T56" i="47" s="1"/>
  <c r="Z27" i="17"/>
  <c r="AF28" i="17" s="1"/>
  <c r="Z12" i="17"/>
  <c r="V46" i="17"/>
  <c r="V47" i="17" s="1"/>
  <c r="V42" i="17"/>
  <c r="V33" i="17"/>
  <c r="Z21" i="34"/>
  <c r="T60" i="47" s="1"/>
  <c r="Z12" i="18"/>
  <c r="Y77" i="20"/>
  <c r="Y69" i="20"/>
  <c r="N15" i="35"/>
  <c r="AA24" i="10"/>
  <c r="AA26" i="10" s="1"/>
  <c r="Z29" i="15"/>
  <c r="Z10" i="12"/>
  <c r="Z11" i="12" s="1"/>
  <c r="AF13" i="37"/>
  <c r="AF40" i="12"/>
  <c r="AF52" i="12"/>
  <c r="Z39" i="16"/>
  <c r="Z40" i="16" s="1"/>
  <c r="Z8" i="28"/>
  <c r="Z19" i="16"/>
  <c r="Z21" i="16" s="1"/>
  <c r="Z26" i="11"/>
  <c r="Z27" i="11" s="1"/>
  <c r="Z12" i="37"/>
  <c r="AA38" i="12"/>
  <c r="U23" i="9"/>
  <c r="J21" i="24"/>
  <c r="D36" i="50" s="1"/>
  <c r="K21" i="33"/>
  <c r="M21" i="32"/>
  <c r="V29" i="18"/>
  <c r="V14" i="18"/>
  <c r="Z8" i="31"/>
  <c r="T23" i="47" s="1"/>
  <c r="AA18" i="13"/>
  <c r="Z48" i="19"/>
  <c r="V46" i="18"/>
  <c r="V47" i="18" s="1"/>
  <c r="V33" i="18"/>
  <c r="V42" i="18"/>
  <c r="Z15" i="15"/>
  <c r="Z32" i="15"/>
  <c r="J25" i="24" l="1"/>
  <c r="D40" i="50" s="1"/>
  <c r="K25" i="33"/>
  <c r="V36" i="9"/>
  <c r="T23" i="31"/>
  <c r="N38" i="47" s="1"/>
  <c r="T15" i="22"/>
  <c r="T17" i="22" s="1"/>
  <c r="T21" i="22" s="1"/>
  <c r="M25" i="32"/>
  <c r="U28" i="9"/>
  <c r="U30" i="9" s="1"/>
  <c r="M27" i="32" s="1"/>
  <c r="O68" i="47"/>
  <c r="M29" i="35"/>
  <c r="U12" i="9"/>
  <c r="U13" i="9" s="1"/>
  <c r="Z11" i="28"/>
  <c r="T7" i="47" s="1"/>
  <c r="T4" i="47"/>
  <c r="Y81" i="20"/>
  <c r="Y76" i="20"/>
  <c r="Y78" i="20" s="1"/>
  <c r="Y48" i="20"/>
  <c r="Z9" i="19"/>
  <c r="Z11" i="19" s="1"/>
  <c r="Z22" i="19" s="1"/>
  <c r="Z23" i="19" s="1"/>
  <c r="Z30" i="15"/>
  <c r="Z36" i="15" s="1"/>
  <c r="V48" i="17"/>
  <c r="V34" i="17"/>
  <c r="V35" i="17" s="1"/>
  <c r="V13" i="17" s="1"/>
  <c r="V15" i="17" s="1"/>
  <c r="V22" i="34"/>
  <c r="P61" i="47" s="1"/>
  <c r="Z26" i="20"/>
  <c r="Z45" i="16"/>
  <c r="Z46" i="16" s="1"/>
  <c r="Z32" i="16"/>
  <c r="Z41" i="16"/>
  <c r="AA44" i="12"/>
  <c r="AA45" i="12" s="1"/>
  <c r="AA11" i="11"/>
  <c r="AA12" i="11" s="1"/>
  <c r="AA20" i="10"/>
  <c r="AA21" i="10" s="1"/>
  <c r="Z19" i="34"/>
  <c r="T58" i="47" s="1"/>
  <c r="Z12" i="16"/>
  <c r="Z26" i="16"/>
  <c r="AB27" i="16" s="1"/>
  <c r="V16" i="28"/>
  <c r="P12" i="47" s="1"/>
  <c r="V48" i="18"/>
  <c r="V34" i="18"/>
  <c r="V35" i="18" s="1"/>
  <c r="V13" i="18" s="1"/>
  <c r="V15" i="18" s="1"/>
  <c r="AF29" i="17"/>
  <c r="AF14" i="17"/>
  <c r="Y11" i="34"/>
  <c r="AA10" i="13"/>
  <c r="AA11" i="13" s="1"/>
  <c r="Z14" i="34"/>
  <c r="T53" i="47" s="1"/>
  <c r="AA25" i="12"/>
  <c r="V18" i="28"/>
  <c r="P14" i="47" s="1"/>
  <c r="Z14" i="31"/>
  <c r="T29" i="47" s="1"/>
  <c r="AA24" i="11"/>
  <c r="J27" i="24" l="1"/>
  <c r="D42" i="50" s="1"/>
  <c r="U27" i="31"/>
  <c r="O42" i="47" s="1"/>
  <c r="U16" i="22"/>
  <c r="Y12" i="34"/>
  <c r="S51" i="47" s="1"/>
  <c r="S50" i="47"/>
  <c r="K27" i="33"/>
  <c r="V11" i="9"/>
  <c r="U9" i="8"/>
  <c r="M11" i="32"/>
  <c r="J11" i="24"/>
  <c r="D26" i="50" s="1"/>
  <c r="K11" i="33"/>
  <c r="U11" i="31"/>
  <c r="Z9" i="20"/>
  <c r="Z10" i="20" s="1"/>
  <c r="Z14" i="20" s="1"/>
  <c r="Z15" i="20" s="1"/>
  <c r="Z14" i="28"/>
  <c r="T10" i="47" s="1"/>
  <c r="Z15" i="31"/>
  <c r="T30" i="47" s="1"/>
  <c r="AA28" i="15"/>
  <c r="AA27" i="13"/>
  <c r="AA29" i="13" s="1"/>
  <c r="AA12" i="13"/>
  <c r="AA16" i="19"/>
  <c r="AA17" i="19" s="1"/>
  <c r="AA42" i="15"/>
  <c r="AA20" i="15"/>
  <c r="AA25" i="11"/>
  <c r="AA16" i="37"/>
  <c r="AA62" i="12"/>
  <c r="AA64" i="12" s="1"/>
  <c r="AA53" i="12"/>
  <c r="AA56" i="12" s="1"/>
  <c r="O16" i="38"/>
  <c r="V19" i="28"/>
  <c r="P15" i="47" s="1"/>
  <c r="V16" i="31"/>
  <c r="P31" i="47" s="1"/>
  <c r="W11" i="17"/>
  <c r="Z49" i="19"/>
  <c r="Z51" i="19" s="1"/>
  <c r="Z36" i="19" s="1"/>
  <c r="AA37" i="19" s="1"/>
  <c r="Z30" i="19"/>
  <c r="Z32" i="19" s="1"/>
  <c r="V18" i="31"/>
  <c r="P33" i="47" s="1"/>
  <c r="W11" i="18"/>
  <c r="Z17" i="28"/>
  <c r="T13" i="47" s="1"/>
  <c r="AF18" i="34"/>
  <c r="Z57" i="47" s="1"/>
  <c r="AB28" i="16"/>
  <c r="AB14" i="16"/>
  <c r="Z33" i="16"/>
  <c r="Z34" i="16" s="1"/>
  <c r="Z13" i="16" s="1"/>
  <c r="Z15" i="16" s="1"/>
  <c r="Z47" i="16"/>
  <c r="Y21" i="28"/>
  <c r="S17" i="47" s="1"/>
  <c r="AA10" i="37"/>
  <c r="AA24" i="12"/>
  <c r="AA26" i="12" s="1"/>
  <c r="AB17" i="10"/>
  <c r="L10" i="39"/>
  <c r="O10" i="38"/>
  <c r="V23" i="34"/>
  <c r="P62" i="47" s="1"/>
  <c r="Y20" i="31"/>
  <c r="S35" i="47" s="1"/>
  <c r="Z75" i="20"/>
  <c r="V25" i="34"/>
  <c r="P64" i="47" s="1"/>
  <c r="Y15" i="34" l="1"/>
  <c r="S54" i="47" s="1"/>
  <c r="O26" i="47"/>
  <c r="U12" i="31"/>
  <c r="Z20" i="20"/>
  <c r="Z21" i="20" s="1"/>
  <c r="Z34" i="20" s="1"/>
  <c r="V26" i="34"/>
  <c r="Z17" i="31"/>
  <c r="T32" i="47" s="1"/>
  <c r="AA11" i="16"/>
  <c r="Z19" i="31"/>
  <c r="T34" i="47" s="1"/>
  <c r="AA29" i="19"/>
  <c r="AA11" i="37"/>
  <c r="AA20" i="18"/>
  <c r="AA22" i="18" s="1"/>
  <c r="AA20" i="17"/>
  <c r="AA22" i="17" s="1"/>
  <c r="AA13" i="15"/>
  <c r="AA14" i="15" s="1"/>
  <c r="AA19" i="13"/>
  <c r="AA21" i="13" s="1"/>
  <c r="AA39" i="12"/>
  <c r="AA41" i="12" s="1"/>
  <c r="AA31" i="12"/>
  <c r="AG32" i="12" s="1"/>
  <c r="AA17" i="9"/>
  <c r="AA18" i="9" s="1"/>
  <c r="O11" i="38"/>
  <c r="AA15" i="37"/>
  <c r="AB51" i="12"/>
  <c r="O15" i="38"/>
  <c r="L15" i="39"/>
  <c r="AA21" i="19"/>
  <c r="AA43" i="15"/>
  <c r="AA45" i="15" s="1"/>
  <c r="AA21" i="15"/>
  <c r="AC22" i="15" s="1"/>
  <c r="AB20" i="34"/>
  <c r="V59" i="47" s="1"/>
  <c r="AA17" i="37"/>
  <c r="AB61" i="12"/>
  <c r="AA17" i="11"/>
  <c r="AA18" i="11" s="1"/>
  <c r="L17" i="39"/>
  <c r="O17" i="38"/>
  <c r="AA13" i="28"/>
  <c r="U9" i="47" s="1"/>
  <c r="O13" i="29"/>
  <c r="AA31" i="19"/>
  <c r="AA38" i="19"/>
  <c r="W40" i="17"/>
  <c r="W41" i="17" s="1"/>
  <c r="AA30" i="13"/>
  <c r="AB26" i="13"/>
  <c r="Z66" i="20"/>
  <c r="Z68" i="20" s="1"/>
  <c r="V21" i="31"/>
  <c r="P36" i="47" s="1"/>
  <c r="Z24" i="34"/>
  <c r="T63" i="47" s="1"/>
  <c r="AB25" i="10"/>
  <c r="W27" i="18"/>
  <c r="W28" i="18" s="1"/>
  <c r="W40" i="18"/>
  <c r="W41" i="18" s="1"/>
  <c r="V22" i="28"/>
  <c r="P18" i="47" s="1"/>
  <c r="V82" i="20"/>
  <c r="Z39" i="20"/>
  <c r="Z25" i="20"/>
  <c r="Z27" i="20" s="1"/>
  <c r="V29" i="34" l="1"/>
  <c r="P68" i="47" s="1"/>
  <c r="P65" i="47"/>
  <c r="U22" i="9"/>
  <c r="U24" i="9" s="1"/>
  <c r="K12" i="33"/>
  <c r="O27" i="47"/>
  <c r="J12" i="24"/>
  <c r="D27" i="50" s="1"/>
  <c r="M12" i="32"/>
  <c r="V23" i="9"/>
  <c r="AC8" i="34"/>
  <c r="W47" i="47" s="1"/>
  <c r="AC44" i="15"/>
  <c r="AA10" i="31"/>
  <c r="U25" i="47" s="1"/>
  <c r="AB41" i="15"/>
  <c r="L10" i="33"/>
  <c r="O10" i="32"/>
  <c r="W42" i="17"/>
  <c r="W33" i="17"/>
  <c r="W46" i="17"/>
  <c r="W47" i="17" s="1"/>
  <c r="AA15" i="15"/>
  <c r="AA32" i="15"/>
  <c r="AA39" i="16"/>
  <c r="AA40" i="16" s="1"/>
  <c r="AB24" i="10"/>
  <c r="AB26" i="10" s="1"/>
  <c r="AA17" i="34"/>
  <c r="U56" i="47" s="1"/>
  <c r="AA27" i="17"/>
  <c r="AG28" i="17" s="1"/>
  <c r="AA12" i="17"/>
  <c r="O17" i="35"/>
  <c r="AA21" i="34"/>
  <c r="U60" i="47" s="1"/>
  <c r="AA12" i="18"/>
  <c r="O21" i="35"/>
  <c r="AA8" i="31"/>
  <c r="U23" i="47" s="1"/>
  <c r="AB18" i="13"/>
  <c r="O8" i="32"/>
  <c r="L8" i="33"/>
  <c r="V37" i="9"/>
  <c r="V38" i="9" s="1"/>
  <c r="Z77" i="20"/>
  <c r="Z69" i="20"/>
  <c r="AA29" i="15"/>
  <c r="AA10" i="12"/>
  <c r="AA11" i="12" s="1"/>
  <c r="V12" i="9"/>
  <c r="V13" i="9" s="1"/>
  <c r="AA10" i="34"/>
  <c r="U49" i="47" s="1"/>
  <c r="O10" i="35"/>
  <c r="Z35" i="20"/>
  <c r="Z36" i="20" s="1"/>
  <c r="AA33" i="20" s="1"/>
  <c r="Z40" i="20"/>
  <c r="Z41" i="20" s="1"/>
  <c r="Z46" i="20" s="1"/>
  <c r="Z47" i="20" s="1"/>
  <c r="W42" i="18"/>
  <c r="W33" i="18"/>
  <c r="W46" i="18"/>
  <c r="W47" i="18" s="1"/>
  <c r="AA9" i="31"/>
  <c r="U24" i="47" s="1"/>
  <c r="L9" i="33"/>
  <c r="O9" i="32"/>
  <c r="AG13" i="37"/>
  <c r="AG52" i="12"/>
  <c r="AG40" i="12"/>
  <c r="Q13" i="38"/>
  <c r="W29" i="18"/>
  <c r="W14" i="18"/>
  <c r="AA8" i="28"/>
  <c r="AA19" i="16"/>
  <c r="AA21" i="16" s="1"/>
  <c r="AA26" i="11"/>
  <c r="AA27" i="11" s="1"/>
  <c r="O8" i="29"/>
  <c r="AA12" i="37"/>
  <c r="AB38" i="12"/>
  <c r="L12" i="39"/>
  <c r="O12" i="38"/>
  <c r="AA48" i="19"/>
  <c r="M23" i="32" l="1"/>
  <c r="K23" i="33"/>
  <c r="U23" i="31"/>
  <c r="O38" i="47" s="1"/>
  <c r="J23" i="24"/>
  <c r="D38" i="50" s="1"/>
  <c r="U15" i="22"/>
  <c r="U17" i="22" s="1"/>
  <c r="U21" i="22" s="1"/>
  <c r="AA11" i="28"/>
  <c r="U7" i="47" s="1"/>
  <c r="U4" i="47"/>
  <c r="Z76" i="20"/>
  <c r="Z78" i="20" s="1"/>
  <c r="Z48" i="20"/>
  <c r="Z81" i="20"/>
  <c r="W18" i="28"/>
  <c r="Q14" i="47" s="1"/>
  <c r="AA14" i="31"/>
  <c r="U29" i="47" s="1"/>
  <c r="AB24" i="11"/>
  <c r="O14" i="32"/>
  <c r="L14" i="33"/>
  <c r="V11" i="31"/>
  <c r="P26" i="47" s="1"/>
  <c r="W11" i="9"/>
  <c r="V9" i="8"/>
  <c r="AA45" i="16"/>
  <c r="AA46" i="16" s="1"/>
  <c r="AA32" i="16"/>
  <c r="AA41" i="16"/>
  <c r="AA19" i="34"/>
  <c r="U58" i="47" s="1"/>
  <c r="AA12" i="16"/>
  <c r="AA26" i="16"/>
  <c r="AC27" i="16" s="1"/>
  <c r="O19" i="35"/>
  <c r="AA9" i="19"/>
  <c r="AA11" i="19" s="1"/>
  <c r="AA22" i="19" s="1"/>
  <c r="AA23" i="19" s="1"/>
  <c r="AA30" i="15"/>
  <c r="AA36" i="15" s="1"/>
  <c r="V25" i="31"/>
  <c r="P40" i="47" s="1"/>
  <c r="V28" i="9"/>
  <c r="V30" i="9" s="1"/>
  <c r="W36" i="9"/>
  <c r="AA14" i="34"/>
  <c r="U53" i="47" s="1"/>
  <c r="O14" i="35"/>
  <c r="AA26" i="20"/>
  <c r="AG29" i="17"/>
  <c r="AG14" i="17"/>
  <c r="W48" i="17"/>
  <c r="W34" i="17"/>
  <c r="W35" i="17" s="1"/>
  <c r="W13" i="17" s="1"/>
  <c r="W15" i="17" s="1"/>
  <c r="AB44" i="12"/>
  <c r="AB45" i="12" s="1"/>
  <c r="AB11" i="11"/>
  <c r="AB12" i="11" s="1"/>
  <c r="AB20" i="10"/>
  <c r="AB21" i="10" s="1"/>
  <c r="AB25" i="12"/>
  <c r="W22" i="34"/>
  <c r="Q61" i="47" s="1"/>
  <c r="Z11" i="34"/>
  <c r="AB10" i="13"/>
  <c r="AB11" i="13" s="1"/>
  <c r="W34" i="18"/>
  <c r="W35" i="18" s="1"/>
  <c r="W13" i="18" s="1"/>
  <c r="W15" i="18" s="1"/>
  <c r="W48" i="18"/>
  <c r="W16" i="28"/>
  <c r="Q12" i="47" s="1"/>
  <c r="Z12" i="34" l="1"/>
  <c r="T51" i="47" s="1"/>
  <c r="T50" i="47"/>
  <c r="O11" i="29"/>
  <c r="AA9" i="20"/>
  <c r="AA10" i="20" s="1"/>
  <c r="AA14" i="20" s="1"/>
  <c r="AA15" i="20" s="1"/>
  <c r="AA14" i="28"/>
  <c r="U10" i="47" s="1"/>
  <c r="W19" i="28"/>
  <c r="V12" i="31"/>
  <c r="AA15" i="31"/>
  <c r="U30" i="47" s="1"/>
  <c r="AB28" i="15"/>
  <c r="O15" i="32"/>
  <c r="L15" i="33"/>
  <c r="W23" i="34"/>
  <c r="Q62" i="47" s="1"/>
  <c r="AA30" i="19"/>
  <c r="AA32" i="19" s="1"/>
  <c r="AA49" i="19"/>
  <c r="AA51" i="19" s="1"/>
  <c r="AA36" i="19" s="1"/>
  <c r="AB37" i="19" s="1"/>
  <c r="AA33" i="16"/>
  <c r="AA34" i="16" s="1"/>
  <c r="AA13" i="16" s="1"/>
  <c r="AA15" i="16" s="1"/>
  <c r="AA47" i="16"/>
  <c r="W16" i="31"/>
  <c r="Q31" i="47" s="1"/>
  <c r="X11" i="17"/>
  <c r="AC28" i="16"/>
  <c r="AC14" i="16"/>
  <c r="AG18" i="34"/>
  <c r="AA57" i="47" s="1"/>
  <c r="Q18" i="35"/>
  <c r="AB27" i="13"/>
  <c r="AB29" i="13" s="1"/>
  <c r="AB12" i="13"/>
  <c r="AB10" i="37"/>
  <c r="AB24" i="12"/>
  <c r="AB26" i="12" s="1"/>
  <c r="AC17" i="10"/>
  <c r="AB16" i="37"/>
  <c r="AB62" i="12"/>
  <c r="AB64" i="12" s="1"/>
  <c r="AB53" i="12"/>
  <c r="AB56" i="12" s="1"/>
  <c r="V27" i="31"/>
  <c r="P42" i="47" s="1"/>
  <c r="V16" i="22"/>
  <c r="Z21" i="28"/>
  <c r="T17" i="47" s="1"/>
  <c r="W18" i="31"/>
  <c r="Q33" i="47" s="1"/>
  <c r="X11" i="18"/>
  <c r="AB16" i="19"/>
  <c r="AB17" i="19" s="1"/>
  <c r="AB42" i="15"/>
  <c r="AB20" i="15"/>
  <c r="AB25" i="11"/>
  <c r="W25" i="34"/>
  <c r="Q64" i="47" s="1"/>
  <c r="AA17" i="28"/>
  <c r="U13" i="47" s="1"/>
  <c r="O17" i="29"/>
  <c r="Z20" i="31"/>
  <c r="T35" i="47" s="1"/>
  <c r="AA75" i="20"/>
  <c r="Z15" i="34" l="1"/>
  <c r="T54" i="47" s="1"/>
  <c r="AA20" i="20"/>
  <c r="AA21" i="20" s="1"/>
  <c r="AA34" i="20" s="1"/>
  <c r="V22" i="9"/>
  <c r="V24" i="9" s="1"/>
  <c r="V23" i="31" s="1"/>
  <c r="P38" i="47" s="1"/>
  <c r="P27" i="47"/>
  <c r="W22" i="28"/>
  <c r="Q18" i="47" s="1"/>
  <c r="Q15" i="47"/>
  <c r="O14" i="29"/>
  <c r="W82" i="20"/>
  <c r="W26" i="34"/>
  <c r="AA17" i="31"/>
  <c r="U32" i="47" s="1"/>
  <c r="AB11" i="16"/>
  <c r="L17" i="33"/>
  <c r="O17" i="32"/>
  <c r="X40" i="18"/>
  <c r="X41" i="18" s="1"/>
  <c r="X27" i="18"/>
  <c r="X28" i="18" s="1"/>
  <c r="AB13" i="28"/>
  <c r="V9" i="47" s="1"/>
  <c r="W21" i="31"/>
  <c r="Q36" i="47" s="1"/>
  <c r="X40" i="17"/>
  <c r="X41" i="17" s="1"/>
  <c r="AB30" i="13"/>
  <c r="AB9" i="31" s="1"/>
  <c r="V24" i="47" s="1"/>
  <c r="AC26" i="13"/>
  <c r="AA24" i="34"/>
  <c r="U63" i="47" s="1"/>
  <c r="O24" i="35"/>
  <c r="AB21" i="19"/>
  <c r="AB43" i="15"/>
  <c r="AB45" i="15" s="1"/>
  <c r="AB21" i="15"/>
  <c r="AD22" i="15" s="1"/>
  <c r="AB38" i="19"/>
  <c r="AB31" i="19"/>
  <c r="AA19" i="31"/>
  <c r="U34" i="47" s="1"/>
  <c r="AB29" i="19"/>
  <c r="O19" i="32"/>
  <c r="L19" i="33"/>
  <c r="AA66" i="20"/>
  <c r="AA68" i="20" s="1"/>
  <c r="AC25" i="10"/>
  <c r="AA39" i="20"/>
  <c r="AA25" i="20"/>
  <c r="AA27" i="20" s="1"/>
  <c r="AB15" i="37"/>
  <c r="AC51" i="12"/>
  <c r="AB17" i="37"/>
  <c r="AB17" i="11"/>
  <c r="AB18" i="11" s="1"/>
  <c r="AC61" i="12"/>
  <c r="AB11" i="37"/>
  <c r="AB20" i="18"/>
  <c r="AB22" i="18" s="1"/>
  <c r="AB20" i="17"/>
  <c r="AB22" i="17" s="1"/>
  <c r="AB13" i="15"/>
  <c r="AB14" i="15" s="1"/>
  <c r="AB19" i="13"/>
  <c r="AB21" i="13" s="1"/>
  <c r="AB39" i="12"/>
  <c r="AB41" i="12" s="1"/>
  <c r="AB31" i="12"/>
  <c r="AH32" i="12" s="1"/>
  <c r="AB17" i="9"/>
  <c r="AB18" i="9" s="1"/>
  <c r="AC20" i="34"/>
  <c r="W59" i="47" s="1"/>
  <c r="W29" i="34" l="1"/>
  <c r="Q68" i="47" s="1"/>
  <c r="Q65" i="47"/>
  <c r="V15" i="22"/>
  <c r="V17" i="22" s="1"/>
  <c r="V21" i="22" s="1"/>
  <c r="W37" i="9"/>
  <c r="W38" i="9" s="1"/>
  <c r="W25" i="31" s="1"/>
  <c r="Q40" i="47" s="1"/>
  <c r="W23" i="9"/>
  <c r="AB10" i="31"/>
  <c r="V25" i="47" s="1"/>
  <c r="AC41" i="15"/>
  <c r="AD8" i="34"/>
  <c r="X47" i="47" s="1"/>
  <c r="AD44" i="15"/>
  <c r="P8" i="35"/>
  <c r="AB12" i="37"/>
  <c r="AC38" i="12"/>
  <c r="AB8" i="31"/>
  <c r="V23" i="47" s="1"/>
  <c r="AC18" i="13"/>
  <c r="AB17" i="34"/>
  <c r="V56" i="47" s="1"/>
  <c r="AB27" i="17"/>
  <c r="AH28" i="17" s="1"/>
  <c r="AB12" i="17"/>
  <c r="AB8" i="28"/>
  <c r="AB19" i="16"/>
  <c r="AB21" i="16" s="1"/>
  <c r="AB26" i="11"/>
  <c r="AB27" i="11" s="1"/>
  <c r="AB10" i="34"/>
  <c r="V49" i="47" s="1"/>
  <c r="AA40" i="20"/>
  <c r="AA41" i="20" s="1"/>
  <c r="AA46" i="20" s="1"/>
  <c r="AA47" i="20" s="1"/>
  <c r="AA35" i="20"/>
  <c r="AA36" i="20" s="1"/>
  <c r="AB33" i="20" s="1"/>
  <c r="AB21" i="34"/>
  <c r="V60" i="47" s="1"/>
  <c r="AB12" i="18"/>
  <c r="X33" i="17"/>
  <c r="X46" i="17"/>
  <c r="X47" i="17" s="1"/>
  <c r="X42" i="17"/>
  <c r="X29" i="18"/>
  <c r="X14" i="18"/>
  <c r="AB15" i="15"/>
  <c r="AB32" i="15"/>
  <c r="AC24" i="10"/>
  <c r="AC26" i="10" s="1"/>
  <c r="AA69" i="20"/>
  <c r="AA77" i="20"/>
  <c r="X33" i="18"/>
  <c r="X46" i="18"/>
  <c r="X47" i="18" s="1"/>
  <c r="X42" i="18"/>
  <c r="AB29" i="15"/>
  <c r="AB10" i="12"/>
  <c r="AB11" i="12" s="1"/>
  <c r="AB39" i="16"/>
  <c r="AB40" i="16" s="1"/>
  <c r="AB48" i="19"/>
  <c r="AH13" i="37"/>
  <c r="AH52" i="12"/>
  <c r="AH40" i="12"/>
  <c r="W28" i="9" l="1"/>
  <c r="W30" i="9" s="1"/>
  <c r="W27" i="31" s="1"/>
  <c r="Q42" i="47" s="1"/>
  <c r="W12" i="9"/>
  <c r="W13" i="9" s="1"/>
  <c r="X11" i="9" s="1"/>
  <c r="X36" i="9"/>
  <c r="AB11" i="28"/>
  <c r="V7" i="47" s="1"/>
  <c r="V4" i="47"/>
  <c r="AA76" i="20"/>
  <c r="AA78" i="20" s="1"/>
  <c r="AA81" i="20"/>
  <c r="AA48" i="20"/>
  <c r="AC25" i="12"/>
  <c r="X22" i="34"/>
  <c r="R61" i="47" s="1"/>
  <c r="N22" i="35"/>
  <c r="AB26" i="20"/>
  <c r="AH29" i="17"/>
  <c r="AH14" i="17"/>
  <c r="X48" i="17"/>
  <c r="X34" i="17"/>
  <c r="X35" i="17" s="1"/>
  <c r="X13" i="17" s="1"/>
  <c r="X15" i="17" s="1"/>
  <c r="AB9" i="19"/>
  <c r="AB11" i="19" s="1"/>
  <c r="AB22" i="19" s="1"/>
  <c r="AB23" i="19" s="1"/>
  <c r="AB30" i="15"/>
  <c r="AB36" i="15" s="1"/>
  <c r="AB14" i="31"/>
  <c r="V29" i="47" s="1"/>
  <c r="AC24" i="11"/>
  <c r="X34" i="18"/>
  <c r="X35" i="18" s="1"/>
  <c r="X13" i="18" s="1"/>
  <c r="X15" i="18" s="1"/>
  <c r="X48" i="18"/>
  <c r="AB32" i="16"/>
  <c r="AB41" i="16"/>
  <c r="AB45" i="16"/>
  <c r="AB46" i="16" s="1"/>
  <c r="AC44" i="12"/>
  <c r="AC45" i="12" s="1"/>
  <c r="AC11" i="11"/>
  <c r="AC12" i="11" s="1"/>
  <c r="AC20" i="10"/>
  <c r="AC21" i="10" s="1"/>
  <c r="AB19" i="34"/>
  <c r="V58" i="47" s="1"/>
  <c r="AB12" i="16"/>
  <c r="AB26" i="16"/>
  <c r="AD27" i="16" s="1"/>
  <c r="AC10" i="13"/>
  <c r="AC11" i="13" s="1"/>
  <c r="X16" i="28"/>
  <c r="R12" i="47" s="1"/>
  <c r="N16" i="29"/>
  <c r="AA11" i="34"/>
  <c r="O11" i="35"/>
  <c r="X18" i="28"/>
  <c r="R14" i="47" s="1"/>
  <c r="N18" i="29"/>
  <c r="AB14" i="34"/>
  <c r="V53" i="47" s="1"/>
  <c r="W11" i="31" l="1"/>
  <c r="Q26" i="47" s="1"/>
  <c r="W9" i="8"/>
  <c r="W16" i="22"/>
  <c r="AA12" i="34"/>
  <c r="U51" i="47" s="1"/>
  <c r="U50" i="47"/>
  <c r="AB9" i="20"/>
  <c r="AB10" i="20" s="1"/>
  <c r="AB14" i="20" s="1"/>
  <c r="AB15" i="20" s="1"/>
  <c r="AB14" i="28"/>
  <c r="V10" i="47" s="1"/>
  <c r="X18" i="31"/>
  <c r="R33" i="47" s="1"/>
  <c r="Y11" i="18"/>
  <c r="N18" i="32"/>
  <c r="AB15" i="31"/>
  <c r="V30" i="47" s="1"/>
  <c r="AC28" i="15"/>
  <c r="X16" i="31"/>
  <c r="R31" i="47" s="1"/>
  <c r="Y11" i="17"/>
  <c r="N16" i="32"/>
  <c r="AB47" i="16"/>
  <c r="AB33" i="16"/>
  <c r="AB34" i="16" s="1"/>
  <c r="AB13" i="16" s="1"/>
  <c r="AB15" i="16" s="1"/>
  <c r="AH18" i="34"/>
  <c r="AB57" i="47" s="1"/>
  <c r="AD14" i="16"/>
  <c r="AD28" i="16"/>
  <c r="AB17" i="28"/>
  <c r="V13" i="47" s="1"/>
  <c r="AB30" i="19"/>
  <c r="AB32" i="19" s="1"/>
  <c r="AB49" i="19"/>
  <c r="AB51" i="19" s="1"/>
  <c r="AB36" i="19" s="1"/>
  <c r="AC37" i="19" s="1"/>
  <c r="AC27" i="13"/>
  <c r="AC29" i="13" s="1"/>
  <c r="AC12" i="13"/>
  <c r="AC16" i="37"/>
  <c r="AC62" i="12"/>
  <c r="AC64" i="12" s="1"/>
  <c r="AC53" i="12"/>
  <c r="AC56" i="12" s="1"/>
  <c r="X19" i="28"/>
  <c r="R15" i="47" s="1"/>
  <c r="X25" i="34"/>
  <c r="R64" i="47" s="1"/>
  <c r="N25" i="35"/>
  <c r="AA21" i="28"/>
  <c r="U17" i="47" s="1"/>
  <c r="O21" i="29"/>
  <c r="AC10" i="37"/>
  <c r="AC24" i="12"/>
  <c r="AC26" i="12" s="1"/>
  <c r="AD17" i="10"/>
  <c r="AC16" i="19"/>
  <c r="AC17" i="19" s="1"/>
  <c r="AC42" i="15"/>
  <c r="AC20" i="15"/>
  <c r="AC25" i="11"/>
  <c r="X23" i="34"/>
  <c r="R62" i="47" s="1"/>
  <c r="N23" i="35"/>
  <c r="AA20" i="31"/>
  <c r="U35" i="47" s="1"/>
  <c r="AB75" i="20"/>
  <c r="O20" i="32"/>
  <c r="L20" i="33"/>
  <c r="W12" i="31" l="1"/>
  <c r="W22" i="9" s="1"/>
  <c r="W24" i="9" s="1"/>
  <c r="W23" i="31" s="1"/>
  <c r="Q38" i="47" s="1"/>
  <c r="AA15" i="34"/>
  <c r="U54" i="47" s="1"/>
  <c r="O12" i="35"/>
  <c r="AB20" i="20"/>
  <c r="AB21" i="20" s="1"/>
  <c r="AB34" i="20" s="1"/>
  <c r="X21" i="31"/>
  <c r="R36" i="47" s="1"/>
  <c r="X26" i="34"/>
  <c r="AB17" i="31"/>
  <c r="V32" i="47" s="1"/>
  <c r="AC11" i="16"/>
  <c r="AD25" i="10"/>
  <c r="AC13" i="28"/>
  <c r="W9" i="47" s="1"/>
  <c r="AC11" i="37"/>
  <c r="AC20" i="17"/>
  <c r="AC22" i="17" s="1"/>
  <c r="AC20" i="18"/>
  <c r="AC22" i="18" s="1"/>
  <c r="AC13" i="15"/>
  <c r="AC14" i="15" s="1"/>
  <c r="AC19" i="13"/>
  <c r="AC21" i="13" s="1"/>
  <c r="AC31" i="12"/>
  <c r="AI32" i="12" s="1"/>
  <c r="AC39" i="12"/>
  <c r="AC41" i="12" s="1"/>
  <c r="AC17" i="9"/>
  <c r="AC18" i="9" s="1"/>
  <c r="AC30" i="13"/>
  <c r="AC9" i="31" s="1"/>
  <c r="W24" i="47" s="1"/>
  <c r="AD26" i="13"/>
  <c r="Y40" i="17"/>
  <c r="Y41" i="17" s="1"/>
  <c r="X22" i="28"/>
  <c r="R18" i="47" s="1"/>
  <c r="X82" i="20"/>
  <c r="N19" i="29"/>
  <c r="AC38" i="19"/>
  <c r="AC31" i="19"/>
  <c r="AB19" i="31"/>
  <c r="V34" i="47" s="1"/>
  <c r="AC29" i="19"/>
  <c r="AC21" i="19"/>
  <c r="AC43" i="15"/>
  <c r="AC45" i="15" s="1"/>
  <c r="AC21" i="15"/>
  <c r="AE22" i="15" s="1"/>
  <c r="AC17" i="37"/>
  <c r="AD61" i="12"/>
  <c r="AC17" i="11"/>
  <c r="AC18" i="11" s="1"/>
  <c r="AB24" i="34"/>
  <c r="V63" i="47" s="1"/>
  <c r="Y27" i="18"/>
  <c r="Y28" i="18" s="1"/>
  <c r="Y40" i="18"/>
  <c r="Y41" i="18" s="1"/>
  <c r="AB66" i="20"/>
  <c r="AB68" i="20" s="1"/>
  <c r="AC15" i="37"/>
  <c r="AD51" i="12"/>
  <c r="AB25" i="20"/>
  <c r="AB27" i="20" s="1"/>
  <c r="AB39" i="20"/>
  <c r="AD20" i="34"/>
  <c r="X59" i="47" s="1"/>
  <c r="P20" i="35"/>
  <c r="Q27" i="47" l="1"/>
  <c r="O15" i="35"/>
  <c r="X29" i="34"/>
  <c r="R68" i="47" s="1"/>
  <c r="R65" i="47"/>
  <c r="W15" i="22"/>
  <c r="W17" i="22" s="1"/>
  <c r="W21" i="22" s="1"/>
  <c r="X23" i="9"/>
  <c r="N26" i="35"/>
  <c r="N21" i="32"/>
  <c r="AC17" i="34"/>
  <c r="W56" i="47" s="1"/>
  <c r="AC27" i="17"/>
  <c r="AI28" i="17" s="1"/>
  <c r="AC12" i="17"/>
  <c r="Y46" i="18"/>
  <c r="Y47" i="18" s="1"/>
  <c r="Y33" i="18"/>
  <c r="Y42" i="18"/>
  <c r="AC8" i="28"/>
  <c r="AC19" i="16"/>
  <c r="AC21" i="16" s="1"/>
  <c r="AC26" i="11"/>
  <c r="AC27" i="11" s="1"/>
  <c r="Y29" i="18"/>
  <c r="Y14" i="18"/>
  <c r="AC29" i="15"/>
  <c r="AC10" i="12"/>
  <c r="AC11" i="12" s="1"/>
  <c r="AE8" i="34"/>
  <c r="Y47" i="47" s="1"/>
  <c r="AE44" i="15"/>
  <c r="AC12" i="37"/>
  <c r="AD38" i="12"/>
  <c r="X37" i="9"/>
  <c r="X38" i="9" s="1"/>
  <c r="N22" i="29"/>
  <c r="AD24" i="10"/>
  <c r="AD26" i="10" s="1"/>
  <c r="AI13" i="37"/>
  <c r="AI52" i="12"/>
  <c r="AI40" i="12"/>
  <c r="AC39" i="16"/>
  <c r="AC40" i="16" s="1"/>
  <c r="AB35" i="20"/>
  <c r="AB36" i="20" s="1"/>
  <c r="AC33" i="20" s="1"/>
  <c r="AB40" i="20"/>
  <c r="AB41" i="20" s="1"/>
  <c r="AB46" i="20" s="1"/>
  <c r="AB47" i="20" s="1"/>
  <c r="Y33" i="17"/>
  <c r="Y46" i="17"/>
  <c r="Y47" i="17" s="1"/>
  <c r="Y42" i="17"/>
  <c r="AC8" i="31"/>
  <c r="W23" i="47" s="1"/>
  <c r="AD18" i="13"/>
  <c r="AC48" i="19"/>
  <c r="AC10" i="34"/>
  <c r="W49" i="47" s="1"/>
  <c r="AC15" i="15"/>
  <c r="AC32" i="15"/>
  <c r="AB69" i="20"/>
  <c r="AB77" i="20"/>
  <c r="AC10" i="31"/>
  <c r="W25" i="47" s="1"/>
  <c r="AD41" i="15"/>
  <c r="AC21" i="34"/>
  <c r="W60" i="47" s="1"/>
  <c r="AC12" i="18"/>
  <c r="N29" i="35" l="1"/>
  <c r="X12" i="9"/>
  <c r="X13" i="9" s="1"/>
  <c r="N11" i="32" s="1"/>
  <c r="AC11" i="28"/>
  <c r="W7" i="47" s="1"/>
  <c r="W4" i="47"/>
  <c r="AB81" i="20"/>
  <c r="AB48" i="20"/>
  <c r="AB76" i="20"/>
  <c r="AB78" i="20" s="1"/>
  <c r="Y16" i="28"/>
  <c r="S12" i="47" s="1"/>
  <c r="AC45" i="16"/>
  <c r="AC46" i="16" s="1"/>
  <c r="AC41" i="16"/>
  <c r="AC32" i="16"/>
  <c r="AD11" i="11"/>
  <c r="AD12" i="11" s="1"/>
  <c r="AD44" i="12"/>
  <c r="AD45" i="12" s="1"/>
  <c r="AD20" i="10"/>
  <c r="AD21" i="10" s="1"/>
  <c r="Y18" i="28"/>
  <c r="S14" i="47" s="1"/>
  <c r="AD25" i="12"/>
  <c r="Y22" i="34"/>
  <c r="S61" i="47" s="1"/>
  <c r="Y34" i="18"/>
  <c r="Y35" i="18" s="1"/>
  <c r="Y13" i="18" s="1"/>
  <c r="Y15" i="18" s="1"/>
  <c r="Y48" i="18"/>
  <c r="AB11" i="34"/>
  <c r="X25" i="31"/>
  <c r="R40" i="47" s="1"/>
  <c r="Y36" i="9"/>
  <c r="X28" i="9"/>
  <c r="X30" i="9" s="1"/>
  <c r="N25" i="32"/>
  <c r="Y48" i="17"/>
  <c r="Y34" i="17"/>
  <c r="Y35" i="17" s="1"/>
  <c r="Y13" i="17" s="1"/>
  <c r="Y15" i="17" s="1"/>
  <c r="AC26" i="20"/>
  <c r="AC14" i="31"/>
  <c r="W29" i="47" s="1"/>
  <c r="AD24" i="11"/>
  <c r="AC14" i="34"/>
  <c r="W53" i="47" s="1"/>
  <c r="AD10" i="13"/>
  <c r="AD11" i="13" s="1"/>
  <c r="AC19" i="34"/>
  <c r="W58" i="47" s="1"/>
  <c r="AC12" i="16"/>
  <c r="AC26" i="16"/>
  <c r="AE27" i="16" s="1"/>
  <c r="AI29" i="17"/>
  <c r="AI14" i="17"/>
  <c r="AC9" i="19"/>
  <c r="AC11" i="19" s="1"/>
  <c r="AC22" i="19" s="1"/>
  <c r="AC23" i="19" s="1"/>
  <c r="AC30" i="15"/>
  <c r="AC36" i="15" s="1"/>
  <c r="X9" i="8" l="1"/>
  <c r="X11" i="31"/>
  <c r="R26" i="47" s="1"/>
  <c r="Y11" i="9"/>
  <c r="AB12" i="34"/>
  <c r="V51" i="47" s="1"/>
  <c r="V50" i="47"/>
  <c r="AC9" i="20"/>
  <c r="AC10" i="20" s="1"/>
  <c r="AC20" i="20" s="1"/>
  <c r="AC21" i="20" s="1"/>
  <c r="AC34" i="20" s="1"/>
  <c r="AC14" i="28"/>
  <c r="W10" i="47" s="1"/>
  <c r="Y18" i="31"/>
  <c r="S33" i="47" s="1"/>
  <c r="Z11" i="18"/>
  <c r="AC15" i="31"/>
  <c r="W30" i="47" s="1"/>
  <c r="AD28" i="15"/>
  <c r="AC47" i="16"/>
  <c r="AC33" i="16"/>
  <c r="AC34" i="16" s="1"/>
  <c r="AC13" i="16" s="1"/>
  <c r="AC15" i="16" s="1"/>
  <c r="X27" i="31"/>
  <c r="R42" i="47" s="1"/>
  <c r="X16" i="22"/>
  <c r="N27" i="32"/>
  <c r="AD10" i="37"/>
  <c r="AD24" i="12"/>
  <c r="AD26" i="12" s="1"/>
  <c r="AE17" i="10"/>
  <c r="P10" i="38"/>
  <c r="AC49" i="19"/>
  <c r="AC51" i="19" s="1"/>
  <c r="AC36" i="19" s="1"/>
  <c r="AD37" i="19" s="1"/>
  <c r="AC30" i="19"/>
  <c r="AC32" i="19" s="1"/>
  <c r="Y25" i="34"/>
  <c r="S64" i="47" s="1"/>
  <c r="AD27" i="13"/>
  <c r="AD29" i="13" s="1"/>
  <c r="AD12" i="13"/>
  <c r="AD16" i="37"/>
  <c r="AD62" i="12"/>
  <c r="AD64" i="12" s="1"/>
  <c r="AD53" i="12"/>
  <c r="AD56" i="12" s="1"/>
  <c r="P16" i="38"/>
  <c r="Y19" i="28"/>
  <c r="S15" i="47" s="1"/>
  <c r="AD16" i="19"/>
  <c r="AD17" i="19" s="1"/>
  <c r="AD42" i="15"/>
  <c r="AD20" i="15"/>
  <c r="AD25" i="11"/>
  <c r="AB20" i="31"/>
  <c r="V35" i="47" s="1"/>
  <c r="AC75" i="20"/>
  <c r="AB21" i="28"/>
  <c r="V17" i="47" s="1"/>
  <c r="AI18" i="34"/>
  <c r="AC57" i="47" s="1"/>
  <c r="AE14" i="16"/>
  <c r="AE28" i="16"/>
  <c r="Y23" i="34"/>
  <c r="S62" i="47" s="1"/>
  <c r="Y16" i="31"/>
  <c r="S31" i="47" s="1"/>
  <c r="Z11" i="17"/>
  <c r="AC17" i="28"/>
  <c r="W13" i="47" s="1"/>
  <c r="X12" i="31" l="1"/>
  <c r="N12" i="32" s="1"/>
  <c r="AC14" i="20"/>
  <c r="AC15" i="20" s="1"/>
  <c r="AC25" i="20" s="1"/>
  <c r="AC27" i="20" s="1"/>
  <c r="AB15" i="34"/>
  <c r="V54" i="47" s="1"/>
  <c r="X22" i="9"/>
  <c r="X24" i="9" s="1"/>
  <c r="X23" i="31" s="1"/>
  <c r="R38" i="47" s="1"/>
  <c r="R27" i="47"/>
  <c r="Y21" i="31"/>
  <c r="S36" i="47" s="1"/>
  <c r="Y26" i="34"/>
  <c r="AC17" i="31"/>
  <c r="W32" i="47" s="1"/>
  <c r="AD11" i="16"/>
  <c r="AC66" i="20"/>
  <c r="AC68" i="20" s="1"/>
  <c r="AD15" i="37"/>
  <c r="AE51" i="12"/>
  <c r="P15" i="38"/>
  <c r="AC24" i="34"/>
  <c r="W63" i="47" s="1"/>
  <c r="AD11" i="37"/>
  <c r="AD20" i="18"/>
  <c r="AD22" i="18" s="1"/>
  <c r="AD20" i="17"/>
  <c r="AD22" i="17" s="1"/>
  <c r="AD13" i="15"/>
  <c r="AD14" i="15" s="1"/>
  <c r="AD19" i="13"/>
  <c r="AD21" i="13" s="1"/>
  <c r="AD39" i="12"/>
  <c r="AD41" i="12" s="1"/>
  <c r="AD31" i="12"/>
  <c r="AJ32" i="12" s="1"/>
  <c r="AD17" i="9"/>
  <c r="AD18" i="9" s="1"/>
  <c r="P11" i="38"/>
  <c r="AD17" i="37"/>
  <c r="AE61" i="12"/>
  <c r="AD17" i="11"/>
  <c r="AD18" i="11" s="1"/>
  <c r="P17" i="38"/>
  <c r="AC19" i="31"/>
  <c r="W34" i="47" s="1"/>
  <c r="AD29" i="19"/>
  <c r="Y22" i="28"/>
  <c r="S18" i="47" s="1"/>
  <c r="Y82" i="20"/>
  <c r="AE20" i="34"/>
  <c r="Y59" i="47" s="1"/>
  <c r="AD38" i="19"/>
  <c r="AD31" i="19"/>
  <c r="AD21" i="19"/>
  <c r="AD43" i="15"/>
  <c r="AD45" i="15" s="1"/>
  <c r="AD21" i="15"/>
  <c r="AF22" i="15" s="1"/>
  <c r="AD13" i="28"/>
  <c r="X9" i="47" s="1"/>
  <c r="P13" i="29"/>
  <c r="Z27" i="18"/>
  <c r="Z28" i="18" s="1"/>
  <c r="Z40" i="18"/>
  <c r="Z41" i="18" s="1"/>
  <c r="Z40" i="17"/>
  <c r="Z41" i="17" s="1"/>
  <c r="AD30" i="13"/>
  <c r="AE26" i="13"/>
  <c r="AE25" i="10"/>
  <c r="AC39" i="20" l="1"/>
  <c r="N23" i="32"/>
  <c r="X15" i="22"/>
  <c r="X17" i="22" s="1"/>
  <c r="X21" i="22" s="1"/>
  <c r="Y29" i="34"/>
  <c r="S68" i="47" s="1"/>
  <c r="S65" i="47"/>
  <c r="Y23" i="9"/>
  <c r="AF8" i="34"/>
  <c r="Z47" i="47" s="1"/>
  <c r="AF44" i="15"/>
  <c r="AD10" i="31"/>
  <c r="X25" i="47" s="1"/>
  <c r="AE41" i="15"/>
  <c r="P10" i="32"/>
  <c r="AJ13" i="37"/>
  <c r="AJ52" i="12"/>
  <c r="AJ40" i="12"/>
  <c r="R13" i="38"/>
  <c r="Y37" i="9"/>
  <c r="Y38" i="9" s="1"/>
  <c r="AD8" i="28"/>
  <c r="AD19" i="16"/>
  <c r="AD21" i="16" s="1"/>
  <c r="AD26" i="11"/>
  <c r="AD27" i="11" s="1"/>
  <c r="P8" i="29"/>
  <c r="AD12" i="37"/>
  <c r="AE38" i="12"/>
  <c r="P12" i="38"/>
  <c r="AD10" i="34"/>
  <c r="X49" i="47" s="1"/>
  <c r="P10" i="35"/>
  <c r="AD8" i="31"/>
  <c r="X23" i="47" s="1"/>
  <c r="AE18" i="13"/>
  <c r="P8" i="32"/>
  <c r="AC35" i="20"/>
  <c r="AC36" i="20" s="1"/>
  <c r="AD33" i="20" s="1"/>
  <c r="AC40" i="20"/>
  <c r="AC41" i="20" s="1"/>
  <c r="AC46" i="20" s="1"/>
  <c r="AC47" i="20" s="1"/>
  <c r="AD15" i="15"/>
  <c r="AD32" i="15"/>
  <c r="AE24" i="10"/>
  <c r="AE26" i="10" s="1"/>
  <c r="Z42" i="18"/>
  <c r="Z33" i="18"/>
  <c r="Z46" i="18"/>
  <c r="Z47" i="18" s="1"/>
  <c r="AD17" i="34"/>
  <c r="X56" i="47" s="1"/>
  <c r="AD27" i="17"/>
  <c r="AJ28" i="17" s="1"/>
  <c r="AD12" i="17"/>
  <c r="P17" i="35"/>
  <c r="AC77" i="20"/>
  <c r="AC69" i="20"/>
  <c r="Z29" i="18"/>
  <c r="Z14" i="18"/>
  <c r="AD21" i="34"/>
  <c r="X60" i="47" s="1"/>
  <c r="AD12" i="18"/>
  <c r="P21" i="35"/>
  <c r="AD39" i="16"/>
  <c r="AD40" i="16" s="1"/>
  <c r="AD48" i="19"/>
  <c r="Z33" i="17"/>
  <c r="Z46" i="17"/>
  <c r="Z47" i="17" s="1"/>
  <c r="Z42" i="17"/>
  <c r="AD9" i="31"/>
  <c r="X24" i="47" s="1"/>
  <c r="P9" i="32"/>
  <c r="AD29" i="15"/>
  <c r="AD10" i="12"/>
  <c r="AD11" i="12" s="1"/>
  <c r="Y12" i="9" l="1"/>
  <c r="Y13" i="9" s="1"/>
  <c r="Z11" i="9" s="1"/>
  <c r="AD11" i="28"/>
  <c r="X7" i="47" s="1"/>
  <c r="X4" i="47"/>
  <c r="AC76" i="20"/>
  <c r="AC78" i="20" s="1"/>
  <c r="AC81" i="20"/>
  <c r="AC48" i="20"/>
  <c r="AD14" i="34"/>
  <c r="X53" i="47" s="1"/>
  <c r="P14" i="35"/>
  <c r="AD9" i="19"/>
  <c r="AD11" i="19" s="1"/>
  <c r="AD22" i="19" s="1"/>
  <c r="AD23" i="19" s="1"/>
  <c r="AD30" i="15"/>
  <c r="AD36" i="15" s="1"/>
  <c r="AD14" i="31"/>
  <c r="X29" i="47" s="1"/>
  <c r="AE24" i="11"/>
  <c r="P14" i="32"/>
  <c r="Z22" i="34"/>
  <c r="T61" i="47" s="1"/>
  <c r="Z48" i="18"/>
  <c r="Z34" i="18"/>
  <c r="Z35" i="18" s="1"/>
  <c r="Z13" i="18" s="1"/>
  <c r="Z15" i="18" s="1"/>
  <c r="AD19" i="34"/>
  <c r="X58" i="47" s="1"/>
  <c r="AD26" i="16"/>
  <c r="AF27" i="16" s="1"/>
  <c r="AD12" i="16"/>
  <c r="P19" i="35"/>
  <c r="AC11" i="34"/>
  <c r="AD26" i="20"/>
  <c r="Y9" i="8"/>
  <c r="AJ29" i="17"/>
  <c r="AJ14" i="17"/>
  <c r="AD41" i="16"/>
  <c r="AD45" i="16"/>
  <c r="AD46" i="16" s="1"/>
  <c r="AD32" i="16"/>
  <c r="AE10" i="13"/>
  <c r="AE11" i="13" s="1"/>
  <c r="AE25" i="12"/>
  <c r="Z48" i="17"/>
  <c r="Z34" i="17"/>
  <c r="Z35" i="17" s="1"/>
  <c r="Z13" i="17" s="1"/>
  <c r="Z15" i="17" s="1"/>
  <c r="AE44" i="12"/>
  <c r="AE45" i="12" s="1"/>
  <c r="AE11" i="11"/>
  <c r="AE12" i="11" s="1"/>
  <c r="AE20" i="10"/>
  <c r="AE21" i="10" s="1"/>
  <c r="Z18" i="28"/>
  <c r="T14" i="47" s="1"/>
  <c r="Z16" i="28"/>
  <c r="T12" i="47" s="1"/>
  <c r="Y25" i="31"/>
  <c r="S40" i="47" s="1"/>
  <c r="Y28" i="9"/>
  <c r="Y30" i="9" s="1"/>
  <c r="Z36" i="9"/>
  <c r="Y11" i="31" l="1"/>
  <c r="S26" i="47" s="1"/>
  <c r="AC12" i="34"/>
  <c r="W51" i="47" s="1"/>
  <c r="W50" i="47"/>
  <c r="P11" i="29"/>
  <c r="AD9" i="20"/>
  <c r="AD10" i="20" s="1"/>
  <c r="AD20" i="20" s="1"/>
  <c r="AD21" i="20" s="1"/>
  <c r="AD34" i="20" s="1"/>
  <c r="AD14" i="28"/>
  <c r="X10" i="47" s="1"/>
  <c r="Z19" i="28"/>
  <c r="Z16" i="31"/>
  <c r="T31" i="47" s="1"/>
  <c r="AA11" i="17"/>
  <c r="AD15" i="31"/>
  <c r="X30" i="47" s="1"/>
  <c r="AE28" i="15"/>
  <c r="P15" i="32"/>
  <c r="Z18" i="31"/>
  <c r="T33" i="47" s="1"/>
  <c r="AA11" i="18"/>
  <c r="AD49" i="19"/>
  <c r="AD51" i="19" s="1"/>
  <c r="AD36" i="19" s="1"/>
  <c r="AE37" i="19" s="1"/>
  <c r="AD30" i="19"/>
  <c r="AD32" i="19" s="1"/>
  <c r="Z25" i="34"/>
  <c r="T64" i="47" s="1"/>
  <c r="Z23" i="34"/>
  <c r="T62" i="47" s="1"/>
  <c r="AJ18" i="34"/>
  <c r="AD57" i="47" s="1"/>
  <c r="R18" i="35"/>
  <c r="AC21" i="28"/>
  <c r="W17" i="47" s="1"/>
  <c r="Y27" i="31"/>
  <c r="S42" i="47" s="1"/>
  <c r="Y16" i="22"/>
  <c r="AF14" i="16"/>
  <c r="AF28" i="16"/>
  <c r="AE16" i="37"/>
  <c r="AE62" i="12"/>
  <c r="AE64" i="12" s="1"/>
  <c r="AE53" i="12"/>
  <c r="AE56" i="12" s="1"/>
  <c r="AD47" i="16"/>
  <c r="AD33" i="16"/>
  <c r="AD34" i="16" s="1"/>
  <c r="AD13" i="16" s="1"/>
  <c r="AD15" i="16" s="1"/>
  <c r="AD17" i="28"/>
  <c r="X13" i="47" s="1"/>
  <c r="P17" i="29"/>
  <c r="AE10" i="37"/>
  <c r="AE24" i="12"/>
  <c r="AE26" i="12" s="1"/>
  <c r="AF17" i="10"/>
  <c r="AE16" i="19"/>
  <c r="AE17" i="19" s="1"/>
  <c r="AE42" i="15"/>
  <c r="AE20" i="15"/>
  <c r="AE25" i="11"/>
  <c r="AE27" i="13"/>
  <c r="AE29" i="13" s="1"/>
  <c r="AE12" i="13"/>
  <c r="AC20" i="31"/>
  <c r="W35" i="47" s="1"/>
  <c r="AD75" i="20"/>
  <c r="Y12" i="31" l="1"/>
  <c r="Y22" i="9" s="1"/>
  <c r="Y24" i="9" s="1"/>
  <c r="Y15" i="22" s="1"/>
  <c r="Y17" i="22" s="1"/>
  <c r="Y21" i="22" s="1"/>
  <c r="AD14" i="20"/>
  <c r="AD15" i="20" s="1"/>
  <c r="AD25" i="20" s="1"/>
  <c r="AD27" i="20" s="1"/>
  <c r="AC15" i="34"/>
  <c r="W54" i="47" s="1"/>
  <c r="P14" i="29"/>
  <c r="S27" i="47"/>
  <c r="Z22" i="28"/>
  <c r="T18" i="47" s="1"/>
  <c r="T15" i="47"/>
  <c r="Z82" i="20"/>
  <c r="Z26" i="34"/>
  <c r="AD17" i="31"/>
  <c r="X32" i="47" s="1"/>
  <c r="AE11" i="16"/>
  <c r="P17" i="32"/>
  <c r="AE17" i="37"/>
  <c r="AF61" i="12"/>
  <c r="AE17" i="11"/>
  <c r="AE18" i="11" s="1"/>
  <c r="AA40" i="18"/>
  <c r="AA41" i="18" s="1"/>
  <c r="AA27" i="18"/>
  <c r="AA28" i="18" s="1"/>
  <c r="AE21" i="19"/>
  <c r="AE43" i="15"/>
  <c r="AE45" i="15" s="1"/>
  <c r="AE21" i="15"/>
  <c r="AG22" i="15" s="1"/>
  <c r="AF25" i="10"/>
  <c r="AE11" i="37"/>
  <c r="AE20" i="18"/>
  <c r="AE22" i="18" s="1"/>
  <c r="AE20" i="17"/>
  <c r="AE22" i="17" s="1"/>
  <c r="AE13" i="15"/>
  <c r="AE14" i="15" s="1"/>
  <c r="AE19" i="13"/>
  <c r="AE21" i="13" s="1"/>
  <c r="AE39" i="12"/>
  <c r="AE41" i="12" s="1"/>
  <c r="AE31" i="12"/>
  <c r="AK32" i="12" s="1"/>
  <c r="AE17" i="9"/>
  <c r="AE18" i="9" s="1"/>
  <c r="AD24" i="34"/>
  <c r="X63" i="47" s="1"/>
  <c r="P24" i="35"/>
  <c r="AF20" i="34"/>
  <c r="Z59" i="47" s="1"/>
  <c r="AD19" i="31"/>
  <c r="X34" i="47" s="1"/>
  <c r="AE29" i="19"/>
  <c r="P19" i="32"/>
  <c r="AA40" i="17"/>
  <c r="AA41" i="17" s="1"/>
  <c r="AE13" i="28"/>
  <c r="Y9" i="47" s="1"/>
  <c r="AE30" i="13"/>
  <c r="AE9" i="31" s="1"/>
  <c r="Y24" i="47" s="1"/>
  <c r="AF26" i="13"/>
  <c r="AD66" i="20"/>
  <c r="AD68" i="20" s="1"/>
  <c r="AE15" i="37"/>
  <c r="AF51" i="12"/>
  <c r="AD39" i="20"/>
  <c r="AE31" i="19"/>
  <c r="AE38" i="19"/>
  <c r="Z21" i="31"/>
  <c r="T36" i="47" s="1"/>
  <c r="Z37" i="9" l="1"/>
  <c r="Z38" i="9" s="1"/>
  <c r="AA36" i="9" s="1"/>
  <c r="Z29" i="34"/>
  <c r="T68" i="47" s="1"/>
  <c r="T65" i="47"/>
  <c r="Y23" i="31"/>
  <c r="S38" i="47" s="1"/>
  <c r="Z23" i="9"/>
  <c r="AG8" i="34"/>
  <c r="AA47" i="47" s="1"/>
  <c r="AG44" i="15"/>
  <c r="Q8" i="35"/>
  <c r="AF24" i="10"/>
  <c r="AF26" i="10" s="1"/>
  <c r="AE8" i="31"/>
  <c r="Y23" i="47" s="1"/>
  <c r="AF18" i="13"/>
  <c r="AE32" i="15"/>
  <c r="AE15" i="15"/>
  <c r="AE17" i="34"/>
  <c r="Y56" i="47" s="1"/>
  <c r="AE27" i="17"/>
  <c r="AK28" i="17" s="1"/>
  <c r="AE12" i="17"/>
  <c r="AE39" i="16"/>
  <c r="AE40" i="16" s="1"/>
  <c r="AE10" i="34"/>
  <c r="Y49" i="47" s="1"/>
  <c r="AE21" i="34"/>
  <c r="Y60" i="47" s="1"/>
  <c r="AE12" i="18"/>
  <c r="AA14" i="18"/>
  <c r="AA29" i="18"/>
  <c r="AE48" i="19"/>
  <c r="AA46" i="18"/>
  <c r="AA47" i="18" s="1"/>
  <c r="AA42" i="18"/>
  <c r="AA33" i="18"/>
  <c r="AE12" i="37"/>
  <c r="AF38" i="12"/>
  <c r="AE10" i="31"/>
  <c r="Y25" i="47" s="1"/>
  <c r="AF41" i="15"/>
  <c r="AA33" i="17"/>
  <c r="AA46" i="17"/>
  <c r="AA47" i="17" s="1"/>
  <c r="AA42" i="17"/>
  <c r="AD69" i="20"/>
  <c r="AD77" i="20"/>
  <c r="AE29" i="15"/>
  <c r="AE10" i="12"/>
  <c r="AE11" i="12" s="1"/>
  <c r="Z12" i="9"/>
  <c r="Z13" i="9" s="1"/>
  <c r="AD35" i="20"/>
  <c r="AD36" i="20" s="1"/>
  <c r="AE33" i="20" s="1"/>
  <c r="AD40" i="20"/>
  <c r="AD41" i="20" s="1"/>
  <c r="AD46" i="20" s="1"/>
  <c r="AD47" i="20" s="1"/>
  <c r="AK13" i="37"/>
  <c r="AK40" i="12"/>
  <c r="AK52" i="12"/>
  <c r="AE8" i="28"/>
  <c r="AE19" i="16"/>
  <c r="AE21" i="16" s="1"/>
  <c r="AE26" i="11"/>
  <c r="AE27" i="11" s="1"/>
  <c r="Z28" i="9" l="1"/>
  <c r="Z30" i="9" s="1"/>
  <c r="Z25" i="31"/>
  <c r="T40" i="47" s="1"/>
  <c r="AE11" i="28"/>
  <c r="Y7" i="47" s="1"/>
  <c r="Y4" i="47"/>
  <c r="AD76" i="20"/>
  <c r="AD78" i="20" s="1"/>
  <c r="AD81" i="20"/>
  <c r="AD48" i="20"/>
  <c r="AF10" i="13"/>
  <c r="AF11" i="13" s="1"/>
  <c r="AF25" i="12"/>
  <c r="AA22" i="34"/>
  <c r="U61" i="47" s="1"/>
  <c r="O22" i="35"/>
  <c r="AE14" i="31"/>
  <c r="Y29" i="47" s="1"/>
  <c r="AF24" i="11"/>
  <c r="Z27" i="31"/>
  <c r="T42" i="47" s="1"/>
  <c r="Z16" i="22"/>
  <c r="AK29" i="17"/>
  <c r="AK14" i="17"/>
  <c r="AE19" i="34"/>
  <c r="Y58" i="47" s="1"/>
  <c r="AE26" i="16"/>
  <c r="AG27" i="16" s="1"/>
  <c r="AE12" i="16"/>
  <c r="AD11" i="34"/>
  <c r="P11" i="35"/>
  <c r="AE45" i="16"/>
  <c r="AE46" i="16" s="1"/>
  <c r="AE32" i="16"/>
  <c r="AE41" i="16"/>
  <c r="AF44" i="12"/>
  <c r="AF45" i="12" s="1"/>
  <c r="AF11" i="11"/>
  <c r="AF12" i="11" s="1"/>
  <c r="AF20" i="10"/>
  <c r="AF21" i="10" s="1"/>
  <c r="AE26" i="20"/>
  <c r="AA16" i="28"/>
  <c r="U12" i="47" s="1"/>
  <c r="O16" i="29"/>
  <c r="AA18" i="28"/>
  <c r="U14" i="47" s="1"/>
  <c r="O18" i="29"/>
  <c r="AA34" i="17"/>
  <c r="AA35" i="17" s="1"/>
  <c r="AA13" i="17" s="1"/>
  <c r="AA15" i="17" s="1"/>
  <c r="AA48" i="17"/>
  <c r="AA48" i="18"/>
  <c r="AA34" i="18"/>
  <c r="AA35" i="18" s="1"/>
  <c r="AA13" i="18" s="1"/>
  <c r="AA15" i="18" s="1"/>
  <c r="AE14" i="34"/>
  <c r="Y53" i="47" s="1"/>
  <c r="AE9" i="19"/>
  <c r="AE11" i="19" s="1"/>
  <c r="AE22" i="19" s="1"/>
  <c r="AE23" i="19" s="1"/>
  <c r="AE30" i="15"/>
  <c r="AE36" i="15" s="1"/>
  <c r="Z11" i="31"/>
  <c r="T26" i="47" s="1"/>
  <c r="AA11" i="9"/>
  <c r="Z9" i="8"/>
  <c r="AD12" i="34" l="1"/>
  <c r="X51" i="47" s="1"/>
  <c r="X50" i="47"/>
  <c r="AE9" i="20"/>
  <c r="AE10" i="20" s="1"/>
  <c r="AE14" i="20" s="1"/>
  <c r="AE15" i="20" s="1"/>
  <c r="AE14" i="28"/>
  <c r="Y10" i="47" s="1"/>
  <c r="Z12" i="31"/>
  <c r="AA19" i="28"/>
  <c r="AE15" i="31"/>
  <c r="Y30" i="47" s="1"/>
  <c r="AF28" i="15"/>
  <c r="AA18" i="31"/>
  <c r="U33" i="47" s="1"/>
  <c r="AB11" i="18"/>
  <c r="L18" i="33"/>
  <c r="O18" i="32"/>
  <c r="AE17" i="28"/>
  <c r="Y13" i="47" s="1"/>
  <c r="AE47" i="16"/>
  <c r="AE33" i="16"/>
  <c r="AE34" i="16" s="1"/>
  <c r="AE13" i="16" s="1"/>
  <c r="AE15" i="16" s="1"/>
  <c r="AG14" i="16"/>
  <c r="AG28" i="16"/>
  <c r="AA25" i="34"/>
  <c r="U64" i="47" s="1"/>
  <c r="O25" i="35"/>
  <c r="AA23" i="34"/>
  <c r="U62" i="47" s="1"/>
  <c r="O23" i="35"/>
  <c r="AF27" i="13"/>
  <c r="AF29" i="13" s="1"/>
  <c r="AF12" i="13"/>
  <c r="AA16" i="31"/>
  <c r="U31" i="47" s="1"/>
  <c r="AB11" i="17"/>
  <c r="O16" i="32"/>
  <c r="L16" i="33"/>
  <c r="AF10" i="37"/>
  <c r="AF24" i="12"/>
  <c r="AF26" i="12" s="1"/>
  <c r="AG17" i="10"/>
  <c r="AK18" i="34"/>
  <c r="AE57" i="47" s="1"/>
  <c r="AD21" i="28"/>
  <c r="X17" i="47" s="1"/>
  <c r="P21" i="29"/>
  <c r="P12" i="35"/>
  <c r="AE49" i="19"/>
  <c r="AE51" i="19" s="1"/>
  <c r="AE36" i="19" s="1"/>
  <c r="AF37" i="19" s="1"/>
  <c r="AE30" i="19"/>
  <c r="AE32" i="19" s="1"/>
  <c r="AF16" i="19"/>
  <c r="AF17" i="19" s="1"/>
  <c r="AF42" i="15"/>
  <c r="AF20" i="15"/>
  <c r="AF25" i="11"/>
  <c r="AF16" i="37"/>
  <c r="AF62" i="12"/>
  <c r="AF64" i="12" s="1"/>
  <c r="AF53" i="12"/>
  <c r="AF56" i="12" s="1"/>
  <c r="AD20" i="31"/>
  <c r="X35" i="47" s="1"/>
  <c r="AE75" i="20"/>
  <c r="P20" i="32"/>
  <c r="AD15" i="34" l="1"/>
  <c r="X54" i="47" s="1"/>
  <c r="AE20" i="20"/>
  <c r="AE21" i="20" s="1"/>
  <c r="AE34" i="20" s="1"/>
  <c r="Z22" i="9"/>
  <c r="Z24" i="9" s="1"/>
  <c r="Z23" i="31" s="1"/>
  <c r="T38" i="47" s="1"/>
  <c r="T27" i="47"/>
  <c r="AA22" i="28"/>
  <c r="U18" i="47" s="1"/>
  <c r="U15" i="47"/>
  <c r="O19" i="29"/>
  <c r="AA82" i="20"/>
  <c r="AA26" i="34"/>
  <c r="AA21" i="31"/>
  <c r="U36" i="47" s="1"/>
  <c r="AE17" i="31"/>
  <c r="Y32" i="47" s="1"/>
  <c r="AF11" i="16"/>
  <c r="AF13" i="28"/>
  <c r="Z9" i="47" s="1"/>
  <c r="AF21" i="19"/>
  <c r="AF43" i="15"/>
  <c r="AF45" i="15" s="1"/>
  <c r="AF21" i="15"/>
  <c r="AH22" i="15" s="1"/>
  <c r="AG25" i="10"/>
  <c r="AF30" i="13"/>
  <c r="AF9" i="31" s="1"/>
  <c r="Z24" i="47" s="1"/>
  <c r="AG26" i="13"/>
  <c r="AE24" i="34"/>
  <c r="Y63" i="47" s="1"/>
  <c r="AF15" i="37"/>
  <c r="AG51" i="12"/>
  <c r="AF31" i="19"/>
  <c r="AF38" i="19"/>
  <c r="AB27" i="18"/>
  <c r="AB28" i="18" s="1"/>
  <c r="AB40" i="18"/>
  <c r="AB41" i="18" s="1"/>
  <c r="AE39" i="20"/>
  <c r="AE25" i="20"/>
  <c r="AE27" i="20" s="1"/>
  <c r="AE66" i="20"/>
  <c r="AE68" i="20" s="1"/>
  <c r="AE19" i="31"/>
  <c r="Y34" i="47" s="1"/>
  <c r="AF29" i="19"/>
  <c r="AF11" i="37"/>
  <c r="AF20" i="18"/>
  <c r="AF22" i="18" s="1"/>
  <c r="AF20" i="17"/>
  <c r="AF22" i="17" s="1"/>
  <c r="AF13" i="15"/>
  <c r="AF14" i="15" s="1"/>
  <c r="AF39" i="12"/>
  <c r="AF41" i="12" s="1"/>
  <c r="AF19" i="13"/>
  <c r="AF21" i="13" s="1"/>
  <c r="AF31" i="12"/>
  <c r="AL32" i="12" s="1"/>
  <c r="AF17" i="9"/>
  <c r="AF18" i="9" s="1"/>
  <c r="AF17" i="37"/>
  <c r="AG61" i="12"/>
  <c r="AF17" i="11"/>
  <c r="AF18" i="11" s="1"/>
  <c r="AB40" i="17"/>
  <c r="AB41" i="17" s="1"/>
  <c r="AG20" i="34"/>
  <c r="AA59" i="47" s="1"/>
  <c r="Q20" i="35"/>
  <c r="P15" i="35" l="1"/>
  <c r="O22" i="29"/>
  <c r="AA37" i="9"/>
  <c r="AA38" i="9" s="1"/>
  <c r="AA25" i="31" s="1"/>
  <c r="U40" i="47" s="1"/>
  <c r="Z15" i="22"/>
  <c r="Z17" i="22" s="1"/>
  <c r="Z21" i="22" s="1"/>
  <c r="AA29" i="34"/>
  <c r="U68" i="47" s="1"/>
  <c r="U65" i="47"/>
  <c r="O21" i="32"/>
  <c r="O26" i="35"/>
  <c r="AA23" i="9"/>
  <c r="L21" i="33"/>
  <c r="AH8" i="34"/>
  <c r="AB47" i="47" s="1"/>
  <c r="AH44" i="15"/>
  <c r="AF10" i="31"/>
  <c r="Z25" i="47" s="1"/>
  <c r="AG41" i="15"/>
  <c r="AB33" i="17"/>
  <c r="AB46" i="17"/>
  <c r="AB47" i="17" s="1"/>
  <c r="AB42" i="17"/>
  <c r="AF29" i="15"/>
  <c r="AF10" i="12"/>
  <c r="AF11" i="12" s="1"/>
  <c r="AF21" i="34"/>
  <c r="Z60" i="47" s="1"/>
  <c r="AF12" i="18"/>
  <c r="AL13" i="37"/>
  <c r="AL40" i="12"/>
  <c r="AL52" i="12"/>
  <c r="AF48" i="19"/>
  <c r="AB42" i="18"/>
  <c r="AB33" i="18"/>
  <c r="AB46" i="18"/>
  <c r="AB47" i="18" s="1"/>
  <c r="AB14" i="18"/>
  <c r="AB29" i="18"/>
  <c r="AF8" i="31"/>
  <c r="Z23" i="47" s="1"/>
  <c r="AG18" i="13"/>
  <c r="AF10" i="34"/>
  <c r="Z49" i="47" s="1"/>
  <c r="AF8" i="28"/>
  <c r="AF19" i="16"/>
  <c r="AF21" i="16" s="1"/>
  <c r="AF26" i="11"/>
  <c r="AF27" i="11" s="1"/>
  <c r="AF12" i="37"/>
  <c r="AG38" i="12"/>
  <c r="AE77" i="20"/>
  <c r="AE69" i="20"/>
  <c r="AF39" i="16"/>
  <c r="AF40" i="16" s="1"/>
  <c r="AF32" i="15"/>
  <c r="AF15" i="15"/>
  <c r="AE40" i="20"/>
  <c r="AE41" i="20" s="1"/>
  <c r="AE46" i="20" s="1"/>
  <c r="AE47" i="20" s="1"/>
  <c r="AE35" i="20"/>
  <c r="AE36" i="20" s="1"/>
  <c r="AF33" i="20" s="1"/>
  <c r="AG24" i="10"/>
  <c r="AG26" i="10" s="1"/>
  <c r="AF17" i="34"/>
  <c r="Z56" i="47" s="1"/>
  <c r="AF27" i="17"/>
  <c r="AL28" i="17" s="1"/>
  <c r="AF12" i="17"/>
  <c r="O29" i="35" l="1"/>
  <c r="O25" i="32"/>
  <c r="AA12" i="9"/>
  <c r="AA13" i="9" s="1"/>
  <c r="AA11" i="31" s="1"/>
  <c r="U26" i="47" s="1"/>
  <c r="L25" i="33"/>
  <c r="AB36" i="9"/>
  <c r="AA28" i="9"/>
  <c r="AA30" i="9" s="1"/>
  <c r="O27" i="32" s="1"/>
  <c r="AF11" i="28"/>
  <c r="Z7" i="47" s="1"/>
  <c r="Z4" i="47"/>
  <c r="AG44" i="12"/>
  <c r="AG45" i="12" s="1"/>
  <c r="AG11" i="11"/>
  <c r="AG12" i="11" s="1"/>
  <c r="AG20" i="10"/>
  <c r="AG21" i="10" s="1"/>
  <c r="AF45" i="16"/>
  <c r="AF46" i="16" s="1"/>
  <c r="AF32" i="16"/>
  <c r="AF41" i="16"/>
  <c r="AF14" i="31"/>
  <c r="Z29" i="47" s="1"/>
  <c r="AG24" i="11"/>
  <c r="AB18" i="28"/>
  <c r="V14" i="47" s="1"/>
  <c r="AF26" i="20"/>
  <c r="AF19" i="34"/>
  <c r="Z58" i="47" s="1"/>
  <c r="AF26" i="16"/>
  <c r="AH27" i="16" s="1"/>
  <c r="AF12" i="16"/>
  <c r="AB34" i="18"/>
  <c r="AB35" i="18" s="1"/>
  <c r="AB13" i="18" s="1"/>
  <c r="AB15" i="18" s="1"/>
  <c r="AB48" i="18"/>
  <c r="AE81" i="20"/>
  <c r="AE76" i="20"/>
  <c r="AE78" i="20" s="1"/>
  <c r="AE48" i="20"/>
  <c r="AE11" i="34"/>
  <c r="AG10" i="13"/>
  <c r="AG11" i="13" s="1"/>
  <c r="AF9" i="19"/>
  <c r="AF11" i="19" s="1"/>
  <c r="AF22" i="19" s="1"/>
  <c r="AF23" i="19" s="1"/>
  <c r="AF30" i="15"/>
  <c r="AF36" i="15" s="1"/>
  <c r="AF14" i="34"/>
  <c r="Z53" i="47" s="1"/>
  <c r="AG25" i="12"/>
  <c r="AB22" i="34"/>
  <c r="V61" i="47" s="1"/>
  <c r="AB16" i="28"/>
  <c r="V12" i="47" s="1"/>
  <c r="AL29" i="17"/>
  <c r="AL14" i="17"/>
  <c r="AB34" i="17"/>
  <c r="AB35" i="17" s="1"/>
  <c r="AB13" i="17" s="1"/>
  <c r="AB15" i="17" s="1"/>
  <c r="AB48" i="17"/>
  <c r="L11" i="33" l="1"/>
  <c r="AA9" i="8"/>
  <c r="O11" i="32"/>
  <c r="AA16" i="22"/>
  <c r="AA27" i="31"/>
  <c r="U42" i="47" s="1"/>
  <c r="AB11" i="9"/>
  <c r="L27" i="33"/>
  <c r="AE12" i="34"/>
  <c r="Y51" i="47" s="1"/>
  <c r="Y50" i="47"/>
  <c r="AF9" i="20"/>
  <c r="AF10" i="20" s="1"/>
  <c r="AF14" i="20" s="1"/>
  <c r="AF15" i="20" s="1"/>
  <c r="AF14" i="28"/>
  <c r="Z10" i="47" s="1"/>
  <c r="AA12" i="31"/>
  <c r="U27" i="47" s="1"/>
  <c r="AB19" i="28"/>
  <c r="AB18" i="31"/>
  <c r="V33" i="47" s="1"/>
  <c r="AC11" i="18"/>
  <c r="AB16" i="31"/>
  <c r="V31" i="47" s="1"/>
  <c r="AC11" i="17"/>
  <c r="AF49" i="19"/>
  <c r="AF51" i="19" s="1"/>
  <c r="AF36" i="19" s="1"/>
  <c r="AG37" i="19" s="1"/>
  <c r="AF30" i="19"/>
  <c r="AF32" i="19" s="1"/>
  <c r="AG16" i="37"/>
  <c r="AG62" i="12"/>
  <c r="AG64" i="12" s="1"/>
  <c r="AG53" i="12"/>
  <c r="AG56" i="12" s="1"/>
  <c r="Q16" i="38"/>
  <c r="AE21" i="28"/>
  <c r="Y17" i="47" s="1"/>
  <c r="AH14" i="16"/>
  <c r="AH28" i="16"/>
  <c r="AG12" i="13"/>
  <c r="AG27" i="13"/>
  <c r="AG29" i="13" s="1"/>
  <c r="AE20" i="31"/>
  <c r="Y35" i="47" s="1"/>
  <c r="AF75" i="20"/>
  <c r="AF17" i="28"/>
  <c r="Z13" i="47" s="1"/>
  <c r="AB23" i="34"/>
  <c r="V62" i="47" s="1"/>
  <c r="AF33" i="16"/>
  <c r="AF34" i="16" s="1"/>
  <c r="AF13" i="16" s="1"/>
  <c r="AF15" i="16" s="1"/>
  <c r="AF47" i="16"/>
  <c r="AL18" i="34"/>
  <c r="AF57" i="47" s="1"/>
  <c r="AB25" i="34"/>
  <c r="V64" i="47" s="1"/>
  <c r="AG10" i="37"/>
  <c r="D91" i="49" s="1" a="1"/>
  <c r="D91" i="49" s="1"/>
  <c r="AG24" i="12"/>
  <c r="AG26" i="12" s="1"/>
  <c r="AH17" i="10"/>
  <c r="M10" i="39"/>
  <c r="Q10" i="38"/>
  <c r="K10" i="26"/>
  <c r="AF15" i="31"/>
  <c r="Z30" i="47" s="1"/>
  <c r="AG28" i="15"/>
  <c r="AG16" i="19"/>
  <c r="AG17" i="19" s="1"/>
  <c r="AG42" i="15"/>
  <c r="AG20" i="15"/>
  <c r="AG25" i="11"/>
  <c r="AE15" i="34" l="1"/>
  <c r="Y54" i="47" s="1"/>
  <c r="L12" i="33"/>
  <c r="O12" i="32"/>
  <c r="AA22" i="9"/>
  <c r="AA24" i="9" s="1"/>
  <c r="AA15" i="22" s="1"/>
  <c r="AA17" i="22" s="1"/>
  <c r="AA21" i="22" s="1"/>
  <c r="AB22" i="28"/>
  <c r="V18" i="47" s="1"/>
  <c r="V15" i="47"/>
  <c r="AF20" i="20"/>
  <c r="AF21" i="20" s="1"/>
  <c r="AF34" i="20" s="1"/>
  <c r="AB82" i="20"/>
  <c r="AB21" i="31"/>
  <c r="V36" i="47" s="1"/>
  <c r="AB26" i="34"/>
  <c r="AF17" i="31"/>
  <c r="Z32" i="47" s="1"/>
  <c r="AG11" i="16"/>
  <c r="AG30" i="13"/>
  <c r="AH26" i="13"/>
  <c r="AG13" i="28"/>
  <c r="Q13" i="29"/>
  <c r="AF19" i="31"/>
  <c r="Z34" i="47" s="1"/>
  <c r="AG29" i="19"/>
  <c r="AG31" i="19"/>
  <c r="AG38" i="19"/>
  <c r="AG17" i="37"/>
  <c r="D94" i="49" s="1" a="1"/>
  <c r="D94" i="49" s="1"/>
  <c r="AH61" i="12"/>
  <c r="AG17" i="11"/>
  <c r="AG18" i="11" s="1"/>
  <c r="K17" i="26"/>
  <c r="M17" i="39"/>
  <c r="Q17" i="38"/>
  <c r="AH20" i="34"/>
  <c r="AB59" i="47" s="1"/>
  <c r="AC40" i="17"/>
  <c r="AC41" i="17" s="1"/>
  <c r="AH25" i="10"/>
  <c r="AC27" i="18"/>
  <c r="AC28" i="18" s="1"/>
  <c r="AC40" i="18"/>
  <c r="AC41" i="18" s="1"/>
  <c r="AG21" i="19"/>
  <c r="AG43" i="15"/>
  <c r="AG45" i="15" s="1"/>
  <c r="AG21" i="15"/>
  <c r="AI22" i="15" s="1"/>
  <c r="AG11" i="37"/>
  <c r="AG20" i="18"/>
  <c r="AG22" i="18" s="1"/>
  <c r="AG20" i="17"/>
  <c r="AG22" i="17" s="1"/>
  <c r="AG13" i="15"/>
  <c r="AG14" i="15" s="1"/>
  <c r="AG39" i="12"/>
  <c r="AG41" i="12" s="1"/>
  <c r="AG19" i="13"/>
  <c r="AG21" i="13" s="1"/>
  <c r="AG31" i="12"/>
  <c r="AM32" i="12" s="1"/>
  <c r="AG17" i="9"/>
  <c r="AG18" i="9" s="1"/>
  <c r="Q11" i="38"/>
  <c r="AF25" i="20"/>
  <c r="AF27" i="20" s="1"/>
  <c r="AF39" i="20"/>
  <c r="AF24" i="34"/>
  <c r="Z63" i="47" s="1"/>
  <c r="AF66" i="20"/>
  <c r="AF68" i="20" s="1"/>
  <c r="AG15" i="37"/>
  <c r="D93" i="49" s="1" a="1"/>
  <c r="D93" i="49" s="1"/>
  <c r="AH51" i="12"/>
  <c r="M15" i="39"/>
  <c r="K15" i="26"/>
  <c r="Q15" i="38"/>
  <c r="AA9" i="47" l="1"/>
  <c r="D87" i="49" a="1"/>
  <c r="D87" i="49" s="1"/>
  <c r="L23" i="33"/>
  <c r="AA23" i="31"/>
  <c r="U38" i="47" s="1"/>
  <c r="O23" i="32"/>
  <c r="AB37" i="9"/>
  <c r="AB38" i="9" s="1"/>
  <c r="AB25" i="31" s="1"/>
  <c r="V40" i="47" s="1"/>
  <c r="AB29" i="34"/>
  <c r="V68" i="47" s="1"/>
  <c r="V65" i="47"/>
  <c r="AB23" i="9"/>
  <c r="AG10" i="31"/>
  <c r="AH41" i="15"/>
  <c r="Q10" i="32"/>
  <c r="K10" i="24"/>
  <c r="E25" i="50" s="1"/>
  <c r="M10" i="33"/>
  <c r="AF77" i="20"/>
  <c r="AF69" i="20"/>
  <c r="AG8" i="31"/>
  <c r="AA23" i="47" s="1"/>
  <c r="AH18" i="13"/>
  <c r="K8" i="24"/>
  <c r="E23" i="50" s="1"/>
  <c r="Q8" i="32"/>
  <c r="M8" i="33"/>
  <c r="AC14" i="18"/>
  <c r="AC29" i="18"/>
  <c r="AM13" i="37"/>
  <c r="AM52" i="12"/>
  <c r="AM40" i="12"/>
  <c r="S13" i="38"/>
  <c r="AG15" i="15"/>
  <c r="AG32" i="15"/>
  <c r="AG48" i="19"/>
  <c r="AG9" i="31"/>
  <c r="AA24" i="47" s="1"/>
  <c r="Q9" i="32"/>
  <c r="K9" i="24"/>
  <c r="E24" i="50" s="1"/>
  <c r="M9" i="33"/>
  <c r="AG17" i="34"/>
  <c r="AA56" i="47" s="1"/>
  <c r="AG27" i="17"/>
  <c r="AM28" i="17" s="1"/>
  <c r="AG12" i="17"/>
  <c r="Q17" i="35"/>
  <c r="AI8" i="34"/>
  <c r="AC47" i="47" s="1"/>
  <c r="AI44" i="15"/>
  <c r="AF35" i="20"/>
  <c r="AF36" i="20" s="1"/>
  <c r="AG33" i="20" s="1"/>
  <c r="AF40" i="20"/>
  <c r="AF41" i="20" s="1"/>
  <c r="AF46" i="20" s="1"/>
  <c r="AF47" i="20" s="1"/>
  <c r="AC33" i="17"/>
  <c r="AC46" i="17"/>
  <c r="AC47" i="17" s="1"/>
  <c r="AC42" i="17"/>
  <c r="AG8" i="28"/>
  <c r="D79" i="49" s="1" a="1"/>
  <c r="D79" i="49" s="1"/>
  <c r="AG19" i="16"/>
  <c r="AG21" i="16" s="1"/>
  <c r="AG26" i="11"/>
  <c r="AG27" i="11" s="1"/>
  <c r="Q8" i="29"/>
  <c r="AG12" i="37"/>
  <c r="D92" i="49" s="1" a="1"/>
  <c r="D92" i="49" s="1"/>
  <c r="AH38" i="12"/>
  <c r="M12" i="39"/>
  <c r="K12" i="26"/>
  <c r="Q12" i="38"/>
  <c r="AG39" i="16"/>
  <c r="AG40" i="16" s="1"/>
  <c r="AC33" i="18"/>
  <c r="AC46" i="18"/>
  <c r="AC47" i="18" s="1"/>
  <c r="AC42" i="18"/>
  <c r="AG10" i="34"/>
  <c r="AA49" i="47" s="1"/>
  <c r="Q10" i="35"/>
  <c r="AG21" i="34"/>
  <c r="AA60" i="47" s="1"/>
  <c r="AG12" i="18"/>
  <c r="Q21" i="35"/>
  <c r="AH24" i="10"/>
  <c r="AH26" i="10" s="1"/>
  <c r="AG29" i="15"/>
  <c r="AG10" i="12"/>
  <c r="AG11" i="12" s="1"/>
  <c r="AA25" i="47" l="1"/>
  <c r="D75" i="49" a="1"/>
  <c r="D75" i="49" s="1"/>
  <c r="AC36" i="9"/>
  <c r="AB28" i="9"/>
  <c r="AB30" i="9" s="1"/>
  <c r="AB27" i="31" s="1"/>
  <c r="V42" i="47" s="1"/>
  <c r="AB12" i="9"/>
  <c r="AB13" i="9" s="1"/>
  <c r="AB11" i="31" s="1"/>
  <c r="V26" i="47" s="1"/>
  <c r="AG11" i="28"/>
  <c r="AA4" i="47"/>
  <c r="AF76" i="20"/>
  <c r="AF78" i="20" s="1"/>
  <c r="AF81" i="20"/>
  <c r="AF48" i="20"/>
  <c r="AC48" i="17"/>
  <c r="AC34" i="17"/>
  <c r="AC35" i="17" s="1"/>
  <c r="AC13" i="17" s="1"/>
  <c r="AC15" i="17" s="1"/>
  <c r="AG14" i="34"/>
  <c r="AA53" i="47" s="1"/>
  <c r="Q14" i="35"/>
  <c r="AC18" i="28"/>
  <c r="W14" i="47" s="1"/>
  <c r="AC48" i="18"/>
  <c r="AC34" i="18"/>
  <c r="AC35" i="18" s="1"/>
  <c r="AC13" i="18" s="1"/>
  <c r="AC15" i="18" s="1"/>
  <c r="AH25" i="12"/>
  <c r="AC22" i="34"/>
  <c r="W61" i="47" s="1"/>
  <c r="AF11" i="34"/>
  <c r="AH44" i="12"/>
  <c r="AH45" i="12" s="1"/>
  <c r="AH11" i="11"/>
  <c r="AH12" i="11" s="1"/>
  <c r="AH20" i="10"/>
  <c r="AH21" i="10" s="1"/>
  <c r="AG26" i="20"/>
  <c r="AG14" i="31"/>
  <c r="AA29" i="47" s="1"/>
  <c r="AH24" i="11"/>
  <c r="M14" i="33"/>
  <c r="K14" i="24"/>
  <c r="E29" i="50" s="1"/>
  <c r="Q14" i="32"/>
  <c r="AG19" i="34"/>
  <c r="AA58" i="47" s="1"/>
  <c r="AG26" i="16"/>
  <c r="AI27" i="16" s="1"/>
  <c r="AG12" i="16"/>
  <c r="Q19" i="35"/>
  <c r="AG45" i="16"/>
  <c r="AG46" i="16" s="1"/>
  <c r="AG32" i="16"/>
  <c r="AG41" i="16"/>
  <c r="AM14" i="17"/>
  <c r="AM29" i="17"/>
  <c r="AG9" i="19"/>
  <c r="AG11" i="19" s="1"/>
  <c r="AG22" i="19" s="1"/>
  <c r="AG23" i="19" s="1"/>
  <c r="AG30" i="15"/>
  <c r="AG36" i="15" s="1"/>
  <c r="AC16" i="28"/>
  <c r="W12" i="47" s="1"/>
  <c r="AH10" i="13"/>
  <c r="AH11" i="13" s="1"/>
  <c r="AB16" i="22" l="1"/>
  <c r="AA7" i="47"/>
  <c r="D80" i="49" a="1"/>
  <c r="D80" i="49" s="1"/>
  <c r="Q11" i="29"/>
  <c r="AG14" i="28"/>
  <c r="AG9" i="20"/>
  <c r="AG10" i="20" s="1"/>
  <c r="AC11" i="9"/>
  <c r="AB9" i="8"/>
  <c r="AF12" i="34"/>
  <c r="Z51" i="47" s="1"/>
  <c r="Z50" i="47"/>
  <c r="AB12" i="31"/>
  <c r="AC19" i="28"/>
  <c r="AG15" i="31"/>
  <c r="AH28" i="15"/>
  <c r="K15" i="24"/>
  <c r="E30" i="50" s="1"/>
  <c r="Q15" i="32"/>
  <c r="M15" i="33"/>
  <c r="AI14" i="16"/>
  <c r="AI28" i="16"/>
  <c r="AM18" i="34"/>
  <c r="AG57" i="47" s="1"/>
  <c r="S18" i="35"/>
  <c r="AG17" i="28"/>
  <c r="Q17" i="29"/>
  <c r="AH10" i="37"/>
  <c r="AH24" i="12"/>
  <c r="AH26" i="12" s="1"/>
  <c r="AI17" i="10"/>
  <c r="AH16" i="19"/>
  <c r="AH17" i="19" s="1"/>
  <c r="AH42" i="15"/>
  <c r="AH20" i="15"/>
  <c r="AH25" i="11"/>
  <c r="AC16" i="31"/>
  <c r="W31" i="47" s="1"/>
  <c r="AD11" i="17"/>
  <c r="AG49" i="19"/>
  <c r="AG51" i="19" s="1"/>
  <c r="AG36" i="19" s="1"/>
  <c r="AH37" i="19" s="1"/>
  <c r="AG30" i="19"/>
  <c r="AG32" i="19" s="1"/>
  <c r="AH27" i="13"/>
  <c r="AH29" i="13" s="1"/>
  <c r="AH12" i="13"/>
  <c r="Q14" i="29"/>
  <c r="AG47" i="16"/>
  <c r="AG33" i="16"/>
  <c r="AG34" i="16" s="1"/>
  <c r="AG13" i="16" s="1"/>
  <c r="AG15" i="16" s="1"/>
  <c r="AH16" i="37"/>
  <c r="AH62" i="12"/>
  <c r="AH64" i="12" s="1"/>
  <c r="AH53" i="12"/>
  <c r="AH56" i="12" s="1"/>
  <c r="AC23" i="34"/>
  <c r="W62" i="47" s="1"/>
  <c r="AC18" i="31"/>
  <c r="W33" i="47" s="1"/>
  <c r="AD11" i="18"/>
  <c r="AF21" i="28"/>
  <c r="Z17" i="47" s="1"/>
  <c r="AG14" i="20"/>
  <c r="AG15" i="20" s="1"/>
  <c r="AG20" i="20"/>
  <c r="AG21" i="20" s="1"/>
  <c r="AG34" i="20" s="1"/>
  <c r="AC25" i="34"/>
  <c r="W64" i="47" s="1"/>
  <c r="AF20" i="31"/>
  <c r="Z35" i="47" s="1"/>
  <c r="AG75" i="20"/>
  <c r="AA13" i="47" l="1"/>
  <c r="D89" i="49" a="1"/>
  <c r="D89" i="49" s="1"/>
  <c r="AA10" i="47"/>
  <c r="D81" i="49" a="1"/>
  <c r="D81" i="49" s="1"/>
  <c r="AA30" i="47"/>
  <c r="D77" i="49" a="1"/>
  <c r="D77" i="49" s="1"/>
  <c r="AF15" i="34"/>
  <c r="Z54" i="47" s="1"/>
  <c r="AB22" i="9"/>
  <c r="AB24" i="9" s="1"/>
  <c r="AB15" i="22" s="1"/>
  <c r="AB17" i="22" s="1"/>
  <c r="AB21" i="22" s="1"/>
  <c r="V27" i="47"/>
  <c r="AC22" i="28"/>
  <c r="W18" i="47" s="1"/>
  <c r="W15" i="47"/>
  <c r="AC82" i="20"/>
  <c r="AC26" i="34"/>
  <c r="W65" i="47" s="1"/>
  <c r="AC21" i="31"/>
  <c r="W36" i="47" s="1"/>
  <c r="AG17" i="31"/>
  <c r="AA32" i="47" s="1"/>
  <c r="AH11" i="16"/>
  <c r="Q17" i="32"/>
  <c r="M17" i="33"/>
  <c r="K17" i="24"/>
  <c r="E32" i="50" s="1"/>
  <c r="AH31" i="19"/>
  <c r="AH38" i="19"/>
  <c r="AI25" i="10"/>
  <c r="AI20" i="34"/>
  <c r="AC59" i="47" s="1"/>
  <c r="AG66" i="20"/>
  <c r="AG68" i="20" s="1"/>
  <c r="AG39" i="20"/>
  <c r="AG25" i="20"/>
  <c r="AG27" i="20" s="1"/>
  <c r="AG24" i="34"/>
  <c r="AA63" i="47" s="1"/>
  <c r="Q24" i="35"/>
  <c r="AD40" i="17"/>
  <c r="AD41" i="17" s="1"/>
  <c r="AH11" i="37"/>
  <c r="AH20" i="17"/>
  <c r="AH22" i="17" s="1"/>
  <c r="AH20" i="18"/>
  <c r="AH22" i="18" s="1"/>
  <c r="AH13" i="15"/>
  <c r="AH14" i="15" s="1"/>
  <c r="AH19" i="13"/>
  <c r="AH21" i="13" s="1"/>
  <c r="AH39" i="12"/>
  <c r="AH41" i="12" s="1"/>
  <c r="AH31" i="12"/>
  <c r="AN32" i="12" s="1"/>
  <c r="AH17" i="9"/>
  <c r="AH18" i="9" s="1"/>
  <c r="AH13" i="28"/>
  <c r="AB9" i="47" s="1"/>
  <c r="AH15" i="37"/>
  <c r="AI51" i="12"/>
  <c r="AI26" i="13"/>
  <c r="AH30" i="13"/>
  <c r="AH9" i="31" s="1"/>
  <c r="AB24" i="47" s="1"/>
  <c r="AD40" i="18"/>
  <c r="AD41" i="18" s="1"/>
  <c r="AD27" i="18"/>
  <c r="AD28" i="18" s="1"/>
  <c r="AH17" i="37"/>
  <c r="AI61" i="12"/>
  <c r="AH17" i="11"/>
  <c r="AH18" i="11" s="1"/>
  <c r="AG19" i="31"/>
  <c r="AA34" i="47" s="1"/>
  <c r="AH29" i="19"/>
  <c r="M19" i="33"/>
  <c r="K19" i="24"/>
  <c r="E34" i="50" s="1"/>
  <c r="Q19" i="32"/>
  <c r="AH21" i="19"/>
  <c r="AH43" i="15"/>
  <c r="AH45" i="15" s="1"/>
  <c r="AH21" i="15"/>
  <c r="AJ22" i="15" s="1"/>
  <c r="AB23" i="31" l="1"/>
  <c r="V38" i="47" s="1"/>
  <c r="AC29" i="34"/>
  <c r="W68" i="47" s="1"/>
  <c r="AC37" i="9"/>
  <c r="AC38" i="9" s="1"/>
  <c r="AD36" i="9" s="1"/>
  <c r="AC23" i="9"/>
  <c r="AH15" i="15"/>
  <c r="AH32" i="15"/>
  <c r="AG40" i="20"/>
  <c r="AG41" i="20" s="1"/>
  <c r="AG46" i="20" s="1"/>
  <c r="AG47" i="20" s="1"/>
  <c r="AG35" i="20"/>
  <c r="AG36" i="20" s="1"/>
  <c r="AH33" i="20" s="1"/>
  <c r="AH21" i="34"/>
  <c r="AB60" i="47" s="1"/>
  <c r="AH12" i="18"/>
  <c r="AH17" i="34"/>
  <c r="AB56" i="47" s="1"/>
  <c r="AH27" i="17"/>
  <c r="AN28" i="17" s="1"/>
  <c r="AH12" i="17"/>
  <c r="AD46" i="18"/>
  <c r="AD47" i="18" s="1"/>
  <c r="AD42" i="18"/>
  <c r="AD33" i="18"/>
  <c r="AG77" i="20"/>
  <c r="AG69" i="20"/>
  <c r="AH39" i="16"/>
  <c r="AH40" i="16" s="1"/>
  <c r="AH48" i="19"/>
  <c r="AH29" i="15"/>
  <c r="AH10" i="12"/>
  <c r="AH11" i="12" s="1"/>
  <c r="AN13" i="37"/>
  <c r="AN40" i="12"/>
  <c r="AN52" i="12"/>
  <c r="AD46" i="17"/>
  <c r="AD47" i="17" s="1"/>
  <c r="AD42" i="17"/>
  <c r="AD33" i="17"/>
  <c r="AD29" i="18"/>
  <c r="AD14" i="18"/>
  <c r="AH8" i="28"/>
  <c r="AH19" i="16"/>
  <c r="AH21" i="16" s="1"/>
  <c r="AH26" i="11"/>
  <c r="AH27" i="11" s="1"/>
  <c r="AH12" i="37"/>
  <c r="AI38" i="12"/>
  <c r="AH10" i="34"/>
  <c r="AB49" i="47" s="1"/>
  <c r="AI24" i="10"/>
  <c r="AI26" i="10" s="1"/>
  <c r="AJ8" i="34"/>
  <c r="AD47" i="47" s="1"/>
  <c r="AJ44" i="15"/>
  <c r="R8" i="35"/>
  <c r="AH10" i="31"/>
  <c r="AB25" i="47" s="1"/>
  <c r="AI41" i="15"/>
  <c r="AH8" i="31"/>
  <c r="AB23" i="47" s="1"/>
  <c r="AI18" i="13"/>
  <c r="AC28" i="9" l="1"/>
  <c r="AC30" i="9" s="1"/>
  <c r="AC16" i="22" s="1"/>
  <c r="AC12" i="9"/>
  <c r="AC13" i="9" s="1"/>
  <c r="AC9" i="8" s="1"/>
  <c r="AC25" i="31"/>
  <c r="W40" i="47" s="1"/>
  <c r="AH11" i="28"/>
  <c r="AB7" i="47" s="1"/>
  <c r="AB4" i="47"/>
  <c r="AG81" i="20"/>
  <c r="AG76" i="20"/>
  <c r="AG78" i="20" s="1"/>
  <c r="AG48" i="20"/>
  <c r="AH19" i="34"/>
  <c r="AB58" i="47" s="1"/>
  <c r="AH12" i="16"/>
  <c r="AH26" i="16"/>
  <c r="AJ27" i="16" s="1"/>
  <c r="AD22" i="34"/>
  <c r="X61" i="47" s="1"/>
  <c r="P22" i="35"/>
  <c r="AG11" i="34"/>
  <c r="Q11" i="35"/>
  <c r="AI25" i="12"/>
  <c r="AN29" i="17"/>
  <c r="AN14" i="17"/>
  <c r="AH26" i="20"/>
  <c r="AD16" i="28"/>
  <c r="X12" i="47" s="1"/>
  <c r="P16" i="29"/>
  <c r="AH9" i="19"/>
  <c r="AH11" i="19" s="1"/>
  <c r="AH22" i="19" s="1"/>
  <c r="AH23" i="19" s="1"/>
  <c r="AH30" i="15"/>
  <c r="AH36" i="15" s="1"/>
  <c r="AI44" i="12"/>
  <c r="AI45" i="12" s="1"/>
  <c r="AI11" i="11"/>
  <c r="AI12" i="11" s="1"/>
  <c r="AI20" i="10"/>
  <c r="AI21" i="10" s="1"/>
  <c r="AH45" i="16"/>
  <c r="AH46" i="16" s="1"/>
  <c r="AH32" i="16"/>
  <c r="AH41" i="16"/>
  <c r="AD48" i="17"/>
  <c r="AD34" i="17"/>
  <c r="AD35" i="17" s="1"/>
  <c r="AD13" i="17" s="1"/>
  <c r="AD15" i="17" s="1"/>
  <c r="AD18" i="28"/>
  <c r="X14" i="47" s="1"/>
  <c r="P18" i="29"/>
  <c r="AI10" i="13"/>
  <c r="AI11" i="13" s="1"/>
  <c r="AH14" i="31"/>
  <c r="AB29" i="47" s="1"/>
  <c r="AI24" i="11"/>
  <c r="AD48" i="18"/>
  <c r="AD34" i="18"/>
  <c r="AD35" i="18" s="1"/>
  <c r="AD13" i="18" s="1"/>
  <c r="AD15" i="18" s="1"/>
  <c r="AH14" i="34"/>
  <c r="AB53" i="47" s="1"/>
  <c r="AC27" i="31" l="1"/>
  <c r="W42" i="47" s="1"/>
  <c r="AC11" i="31"/>
  <c r="W26" i="47" s="1"/>
  <c r="AD11" i="9"/>
  <c r="AG12" i="34"/>
  <c r="AA51" i="47" s="1"/>
  <c r="AA50" i="47"/>
  <c r="AH14" i="28"/>
  <c r="AB10" i="47" s="1"/>
  <c r="AH9" i="20"/>
  <c r="AH10" i="20" s="1"/>
  <c r="AH14" i="20" s="1"/>
  <c r="AH15" i="20" s="1"/>
  <c r="AD16" i="31"/>
  <c r="X31" i="47" s="1"/>
  <c r="AE11" i="17"/>
  <c r="P16" i="32"/>
  <c r="AH15" i="31"/>
  <c r="AB30" i="47" s="1"/>
  <c r="AI28" i="15"/>
  <c r="AD23" i="34"/>
  <c r="X62" i="47" s="1"/>
  <c r="P23" i="35"/>
  <c r="AH49" i="19"/>
  <c r="AH51" i="19" s="1"/>
  <c r="AH36" i="19" s="1"/>
  <c r="AI37" i="19" s="1"/>
  <c r="AH30" i="19"/>
  <c r="AH32" i="19" s="1"/>
  <c r="AJ28" i="16"/>
  <c r="AJ14" i="16"/>
  <c r="AH33" i="16"/>
  <c r="AH34" i="16" s="1"/>
  <c r="AH13" i="16" s="1"/>
  <c r="AH15" i="16" s="1"/>
  <c r="AH47" i="16"/>
  <c r="AD18" i="31"/>
  <c r="X33" i="47" s="1"/>
  <c r="AE11" i="18"/>
  <c r="P18" i="32"/>
  <c r="AI10" i="37"/>
  <c r="AI24" i="12"/>
  <c r="AI26" i="12" s="1"/>
  <c r="AJ17" i="10"/>
  <c r="AD19" i="28"/>
  <c r="X15" i="47" s="1"/>
  <c r="AG21" i="28"/>
  <c r="AA17" i="47" s="1"/>
  <c r="Q21" i="29"/>
  <c r="AI16" i="19"/>
  <c r="AI17" i="19" s="1"/>
  <c r="AI42" i="15"/>
  <c r="AI20" i="15"/>
  <c r="AI25" i="11"/>
  <c r="AN18" i="34"/>
  <c r="AH57" i="47" s="1"/>
  <c r="AG20" i="31"/>
  <c r="AA35" i="47" s="1"/>
  <c r="AH75" i="20"/>
  <c r="K20" i="24"/>
  <c r="E35" i="50" s="1"/>
  <c r="M20" i="33"/>
  <c r="Q20" i="32"/>
  <c r="AI27" i="13"/>
  <c r="AI29" i="13" s="1"/>
  <c r="AI12" i="13"/>
  <c r="AH17" i="28"/>
  <c r="AB13" i="47" s="1"/>
  <c r="AD25" i="34"/>
  <c r="X64" i="47" s="1"/>
  <c r="P25" i="35"/>
  <c r="AI16" i="37"/>
  <c r="AI62" i="12"/>
  <c r="AI64" i="12" s="1"/>
  <c r="AI53" i="12"/>
  <c r="AI56" i="12" s="1"/>
  <c r="AC12" i="31" l="1"/>
  <c r="AC22" i="9" s="1"/>
  <c r="AC24" i="9" s="1"/>
  <c r="AC15" i="22" s="1"/>
  <c r="AC17" i="22" s="1"/>
  <c r="AC21" i="22" s="1"/>
  <c r="AG15" i="34"/>
  <c r="AA54" i="47" s="1"/>
  <c r="Q12" i="35"/>
  <c r="W27" i="47"/>
  <c r="AH20" i="20"/>
  <c r="AH21" i="20" s="1"/>
  <c r="AH34" i="20" s="1"/>
  <c r="AD26" i="34"/>
  <c r="AH17" i="31"/>
  <c r="AB32" i="47" s="1"/>
  <c r="AI11" i="16"/>
  <c r="AI11" i="37"/>
  <c r="AI20" i="17"/>
  <c r="AI22" i="17" s="1"/>
  <c r="AI20" i="18"/>
  <c r="AI22" i="18" s="1"/>
  <c r="AI13" i="15"/>
  <c r="AI14" i="15" s="1"/>
  <c r="AI19" i="13"/>
  <c r="AI21" i="13" s="1"/>
  <c r="AI39" i="12"/>
  <c r="AI41" i="12" s="1"/>
  <c r="AI31" i="12"/>
  <c r="AO32" i="12" s="1"/>
  <c r="AI17" i="9"/>
  <c r="AI18" i="9" s="1"/>
  <c r="AH24" i="34"/>
  <c r="AB63" i="47" s="1"/>
  <c r="AI17" i="37"/>
  <c r="AJ61" i="12"/>
  <c r="AI17" i="11"/>
  <c r="AI18" i="11" s="1"/>
  <c r="AE27" i="18"/>
  <c r="AE28" i="18" s="1"/>
  <c r="AE40" i="18"/>
  <c r="AE41" i="18" s="1"/>
  <c r="AH66" i="20"/>
  <c r="AH68" i="20" s="1"/>
  <c r="AI21" i="19"/>
  <c r="AI21" i="15"/>
  <c r="AK22" i="15" s="1"/>
  <c r="AI43" i="15"/>
  <c r="AI45" i="15" s="1"/>
  <c r="AI13" i="28"/>
  <c r="AC9" i="47" s="1"/>
  <c r="AJ20" i="34"/>
  <c r="AD59" i="47" s="1"/>
  <c r="R20" i="35"/>
  <c r="AJ26" i="13"/>
  <c r="AI30" i="13"/>
  <c r="AI9" i="31" s="1"/>
  <c r="AC24" i="47" s="1"/>
  <c r="AD82" i="20"/>
  <c r="AD22" i="28"/>
  <c r="X18" i="47" s="1"/>
  <c r="P19" i="29"/>
  <c r="AH19" i="31"/>
  <c r="AB34" i="47" s="1"/>
  <c r="AI29" i="19"/>
  <c r="AE40" i="17"/>
  <c r="AE41" i="17" s="1"/>
  <c r="AI15" i="37"/>
  <c r="AJ51" i="12"/>
  <c r="AJ25" i="10"/>
  <c r="AH39" i="20"/>
  <c r="AH25" i="20"/>
  <c r="AH27" i="20" s="1"/>
  <c r="AI31" i="19"/>
  <c r="AI38" i="19"/>
  <c r="AD21" i="31"/>
  <c r="X36" i="47" s="1"/>
  <c r="Q15" i="35" l="1"/>
  <c r="AC23" i="31"/>
  <c r="W38" i="47" s="1"/>
  <c r="AD29" i="34"/>
  <c r="X68" i="47" s="1"/>
  <c r="X65" i="47"/>
  <c r="P26" i="35"/>
  <c r="AI10" i="31"/>
  <c r="AC25" i="47" s="1"/>
  <c r="AJ41" i="15"/>
  <c r="AI8" i="31"/>
  <c r="AC23" i="47" s="1"/>
  <c r="AJ18" i="13"/>
  <c r="AH77" i="20"/>
  <c r="AH69" i="20"/>
  <c r="AI15" i="15"/>
  <c r="AI32" i="15"/>
  <c r="AD37" i="9"/>
  <c r="AD38" i="9" s="1"/>
  <c r="P22" i="29"/>
  <c r="AE42" i="17"/>
  <c r="AE33" i="17"/>
  <c r="AE46" i="17"/>
  <c r="AE47" i="17" s="1"/>
  <c r="AH35" i="20"/>
  <c r="AH36" i="20" s="1"/>
  <c r="AI33" i="20" s="1"/>
  <c r="AH40" i="20"/>
  <c r="AH41" i="20" s="1"/>
  <c r="AH46" i="20" s="1"/>
  <c r="AH47" i="20" s="1"/>
  <c r="AI48" i="19"/>
  <c r="AI21" i="34"/>
  <c r="AC60" i="47" s="1"/>
  <c r="AI12" i="18"/>
  <c r="AI10" i="34"/>
  <c r="AC49" i="47" s="1"/>
  <c r="AI17" i="34"/>
  <c r="AC56" i="47" s="1"/>
  <c r="AI12" i="17"/>
  <c r="AI27" i="17"/>
  <c r="AO28" i="17" s="1"/>
  <c r="AD23" i="9"/>
  <c r="P21" i="32"/>
  <c r="AI12" i="37"/>
  <c r="AJ38" i="12"/>
  <c r="AE42" i="18"/>
  <c r="AE33" i="18"/>
  <c r="AE46" i="18"/>
  <c r="AE47" i="18" s="1"/>
  <c r="AE29" i="18"/>
  <c r="AE14" i="18"/>
  <c r="AI8" i="28"/>
  <c r="AI19" i="16"/>
  <c r="AI21" i="16" s="1"/>
  <c r="AI26" i="11"/>
  <c r="AI27" i="11" s="1"/>
  <c r="AI29" i="15"/>
  <c r="AI10" i="12"/>
  <c r="AI11" i="12" s="1"/>
  <c r="AI39" i="16"/>
  <c r="AI40" i="16" s="1"/>
  <c r="AK8" i="34"/>
  <c r="AE47" i="47" s="1"/>
  <c r="AK44" i="15"/>
  <c r="AJ24" i="10"/>
  <c r="AJ26" i="10" s="1"/>
  <c r="AO13" i="37"/>
  <c r="AO52" i="12"/>
  <c r="AO40" i="12"/>
  <c r="P29" i="35" l="1"/>
  <c r="AD12" i="9"/>
  <c r="AD13" i="9" s="1"/>
  <c r="AD11" i="31" s="1"/>
  <c r="X26" i="47" s="1"/>
  <c r="AI11" i="28"/>
  <c r="AC7" i="47" s="1"/>
  <c r="AC4" i="47"/>
  <c r="AH76" i="20"/>
  <c r="AH78" i="20" s="1"/>
  <c r="AH81" i="20"/>
  <c r="AH48" i="20"/>
  <c r="AJ44" i="12"/>
  <c r="AJ45" i="12" s="1"/>
  <c r="AJ11" i="11"/>
  <c r="AJ12" i="11" s="1"/>
  <c r="AJ20" i="10"/>
  <c r="AJ21" i="10" s="1"/>
  <c r="AI9" i="19"/>
  <c r="AI11" i="19" s="1"/>
  <c r="AI22" i="19" s="1"/>
  <c r="AI23" i="19" s="1"/>
  <c r="AI30" i="15"/>
  <c r="AI36" i="15" s="1"/>
  <c r="AI26" i="20"/>
  <c r="AI14" i="34"/>
  <c r="AC53" i="47" s="1"/>
  <c r="AE48" i="17"/>
  <c r="AE34" i="17"/>
  <c r="AE35" i="17" s="1"/>
  <c r="AE13" i="17" s="1"/>
  <c r="AE15" i="17" s="1"/>
  <c r="AH11" i="34"/>
  <c r="AI32" i="16"/>
  <c r="AI45" i="16"/>
  <c r="AI46" i="16" s="1"/>
  <c r="AI41" i="16"/>
  <c r="AE22" i="34"/>
  <c r="Y61" i="47" s="1"/>
  <c r="AE34" i="18"/>
  <c r="AE35" i="18" s="1"/>
  <c r="AE13" i="18" s="1"/>
  <c r="AE15" i="18" s="1"/>
  <c r="AE48" i="18"/>
  <c r="AE16" i="28"/>
  <c r="Y12" i="47" s="1"/>
  <c r="AJ10" i="13"/>
  <c r="AJ11" i="13" s="1"/>
  <c r="AI14" i="31"/>
  <c r="AC29" i="47" s="1"/>
  <c r="AJ24" i="11"/>
  <c r="AO29" i="17"/>
  <c r="AO14" i="17"/>
  <c r="AE18" i="28"/>
  <c r="Y14" i="47" s="1"/>
  <c r="AI19" i="34"/>
  <c r="AC58" i="47" s="1"/>
  <c r="AI12" i="16"/>
  <c r="AI26" i="16"/>
  <c r="AK27" i="16" s="1"/>
  <c r="AJ25" i="12"/>
  <c r="AD25" i="31"/>
  <c r="X40" i="47" s="1"/>
  <c r="AD28" i="9"/>
  <c r="AD30" i="9" s="1"/>
  <c r="AE36" i="9"/>
  <c r="P25" i="32"/>
  <c r="P11" i="32" l="1"/>
  <c r="AD9" i="8"/>
  <c r="AE11" i="9"/>
  <c r="AI14" i="28"/>
  <c r="AC10" i="47" s="1"/>
  <c r="AH12" i="34"/>
  <c r="AB51" i="47" s="1"/>
  <c r="AB50" i="47"/>
  <c r="AI9" i="20"/>
  <c r="AI10" i="20" s="1"/>
  <c r="AI20" i="20" s="1"/>
  <c r="AI21" i="20" s="1"/>
  <c r="AI34" i="20" s="1"/>
  <c r="AD12" i="31"/>
  <c r="AI15" i="31"/>
  <c r="AC30" i="47" s="1"/>
  <c r="AJ28" i="15"/>
  <c r="AI30" i="19"/>
  <c r="AI32" i="19" s="1"/>
  <c r="AI49" i="19"/>
  <c r="AI51" i="19" s="1"/>
  <c r="AI36" i="19" s="1"/>
  <c r="AJ37" i="19" s="1"/>
  <c r="AJ10" i="37"/>
  <c r="AJ24" i="12"/>
  <c r="AJ26" i="12" s="1"/>
  <c r="AK17" i="10"/>
  <c r="R10" i="38"/>
  <c r="AJ16" i="19"/>
  <c r="AJ17" i="19" s="1"/>
  <c r="AJ42" i="15"/>
  <c r="AJ20" i="15"/>
  <c r="AJ25" i="11"/>
  <c r="AE16" i="31"/>
  <c r="Y31" i="47" s="1"/>
  <c r="AF11" i="17"/>
  <c r="AI17" i="28"/>
  <c r="AC13" i="47" s="1"/>
  <c r="AE23" i="34"/>
  <c r="Y62" i="47" s="1"/>
  <c r="AJ16" i="37"/>
  <c r="AJ53" i="12"/>
  <c r="AJ56" i="12" s="1"/>
  <c r="AJ62" i="12"/>
  <c r="AJ64" i="12" s="1"/>
  <c r="R16" i="38"/>
  <c r="AE18" i="31"/>
  <c r="Y33" i="47" s="1"/>
  <c r="AF11" i="18"/>
  <c r="AK28" i="16"/>
  <c r="AK14" i="16"/>
  <c r="AJ27" i="13"/>
  <c r="AJ29" i="13" s="1"/>
  <c r="AJ12" i="13"/>
  <c r="AI33" i="16"/>
  <c r="AI34" i="16" s="1"/>
  <c r="AI13" i="16" s="1"/>
  <c r="AI15" i="16" s="1"/>
  <c r="AI47" i="16"/>
  <c r="AH21" i="28"/>
  <c r="AB17" i="47" s="1"/>
  <c r="AE19" i="28"/>
  <c r="Y15" i="47" s="1"/>
  <c r="AO18" i="34"/>
  <c r="AI57" i="47" s="1"/>
  <c r="AE25" i="34"/>
  <c r="Y64" i="47" s="1"/>
  <c r="AD27" i="31"/>
  <c r="X42" i="47" s="1"/>
  <c r="AD16" i="22"/>
  <c r="P27" i="32"/>
  <c r="AH20" i="31"/>
  <c r="AB35" i="47" s="1"/>
  <c r="AI75" i="20"/>
  <c r="AI14" i="20" l="1"/>
  <c r="AI15" i="20" s="1"/>
  <c r="AI39" i="20" s="1"/>
  <c r="AH15" i="34"/>
  <c r="AB54" i="47" s="1"/>
  <c r="AD22" i="9"/>
  <c r="AD24" i="9" s="1"/>
  <c r="AD23" i="31" s="1"/>
  <c r="X38" i="47" s="1"/>
  <c r="X27" i="47"/>
  <c r="AE26" i="34"/>
  <c r="AE21" i="31"/>
  <c r="Y36" i="47" s="1"/>
  <c r="P12" i="32"/>
  <c r="AJ30" i="13"/>
  <c r="AK26" i="13"/>
  <c r="AJ11" i="37"/>
  <c r="AJ20" i="18"/>
  <c r="AJ22" i="18" s="1"/>
  <c r="AJ20" i="17"/>
  <c r="AJ22" i="17" s="1"/>
  <c r="AJ13" i="15"/>
  <c r="AJ14" i="15" s="1"/>
  <c r="AJ19" i="13"/>
  <c r="AJ21" i="13" s="1"/>
  <c r="AJ39" i="12"/>
  <c r="AJ41" i="12" s="1"/>
  <c r="AJ31" i="12"/>
  <c r="AP32" i="12" s="1"/>
  <c r="AJ17" i="9"/>
  <c r="AJ18" i="9" s="1"/>
  <c r="R11" i="38"/>
  <c r="AI19" i="31"/>
  <c r="AC34" i="47" s="1"/>
  <c r="AJ29" i="19"/>
  <c r="AJ15" i="37"/>
  <c r="AK51" i="12"/>
  <c r="R15" i="38"/>
  <c r="AI17" i="31"/>
  <c r="AC32" i="47" s="1"/>
  <c r="AJ11" i="16"/>
  <c r="AF40" i="17"/>
  <c r="AF41" i="17" s="1"/>
  <c r="AE22" i="28"/>
  <c r="Y18" i="47" s="1"/>
  <c r="AE82" i="20"/>
  <c r="AJ38" i="19"/>
  <c r="AJ31" i="19"/>
  <c r="AJ13" i="28"/>
  <c r="AD9" i="47" s="1"/>
  <c r="R13" i="29"/>
  <c r="AK25" i="10"/>
  <c r="AJ17" i="37"/>
  <c r="AJ17" i="11"/>
  <c r="AJ18" i="11" s="1"/>
  <c r="AK61" i="12"/>
  <c r="R17" i="38"/>
  <c r="AJ21" i="19"/>
  <c r="AJ21" i="15"/>
  <c r="AL22" i="15" s="1"/>
  <c r="AJ43" i="15"/>
  <c r="AJ45" i="15" s="1"/>
  <c r="AI66" i="20"/>
  <c r="AI68" i="20" s="1"/>
  <c r="AK20" i="34"/>
  <c r="AE59" i="47" s="1"/>
  <c r="AI24" i="34"/>
  <c r="AC63" i="47" s="1"/>
  <c r="AF40" i="18"/>
  <c r="AF41" i="18" s="1"/>
  <c r="AF27" i="18"/>
  <c r="AF28" i="18" s="1"/>
  <c r="AI25" i="20" l="1"/>
  <c r="AI27" i="20" s="1"/>
  <c r="AI40" i="20" s="1"/>
  <c r="AI41" i="20" s="1"/>
  <c r="AI46" i="20" s="1"/>
  <c r="AI47" i="20" s="1"/>
  <c r="AE29" i="34"/>
  <c r="Y68" i="47" s="1"/>
  <c r="Y65" i="47"/>
  <c r="P23" i="32"/>
  <c r="AD15" i="22"/>
  <c r="AD17" i="22" s="1"/>
  <c r="AD21" i="22" s="1"/>
  <c r="AE23" i="9"/>
  <c r="AL8" i="34"/>
  <c r="AF47" i="47" s="1"/>
  <c r="AL44" i="15"/>
  <c r="AF33" i="17"/>
  <c r="AF46" i="17"/>
  <c r="AF47" i="17" s="1"/>
  <c r="AF42" i="17"/>
  <c r="AJ12" i="37"/>
  <c r="AK38" i="12"/>
  <c r="R12" i="38"/>
  <c r="AJ10" i="34"/>
  <c r="AD49" i="47" s="1"/>
  <c r="R10" i="35"/>
  <c r="AJ39" i="16"/>
  <c r="AJ40" i="16" s="1"/>
  <c r="AJ48" i="19"/>
  <c r="AJ8" i="31"/>
  <c r="AD23" i="47" s="1"/>
  <c r="AK18" i="13"/>
  <c r="R8" i="32"/>
  <c r="AJ15" i="15"/>
  <c r="AJ32" i="15"/>
  <c r="AJ17" i="34"/>
  <c r="AD56" i="47" s="1"/>
  <c r="AJ27" i="17"/>
  <c r="AP28" i="17" s="1"/>
  <c r="AJ12" i="17"/>
  <c r="R17" i="35"/>
  <c r="AJ8" i="28"/>
  <c r="AJ19" i="16"/>
  <c r="AJ21" i="16" s="1"/>
  <c r="AJ26" i="11"/>
  <c r="AJ27" i="11" s="1"/>
  <c r="R8" i="29"/>
  <c r="AJ10" i="31"/>
  <c r="AD25" i="47" s="1"/>
  <c r="AK41" i="15"/>
  <c r="R10" i="32"/>
  <c r="AK24" i="10"/>
  <c r="AK26" i="10" s="1"/>
  <c r="AJ21" i="34"/>
  <c r="AD60" i="47" s="1"/>
  <c r="AJ12" i="18"/>
  <c r="R21" i="35"/>
  <c r="AE37" i="9"/>
  <c r="AE38" i="9" s="1"/>
  <c r="AJ29" i="15"/>
  <c r="AJ10" i="12"/>
  <c r="AJ11" i="12" s="1"/>
  <c r="AF29" i="18"/>
  <c r="AF14" i="18"/>
  <c r="AF33" i="18"/>
  <c r="AF42" i="18"/>
  <c r="AF46" i="18"/>
  <c r="AF47" i="18" s="1"/>
  <c r="AI69" i="20"/>
  <c r="AI77" i="20"/>
  <c r="AP13" i="37"/>
  <c r="AP52" i="12"/>
  <c r="AP40" i="12"/>
  <c r="T13" i="38"/>
  <c r="AJ9" i="31"/>
  <c r="AD24" i="47" s="1"/>
  <c r="R9" i="32"/>
  <c r="AI35" i="20" l="1"/>
  <c r="AI36" i="20" s="1"/>
  <c r="AJ33" i="20" s="1"/>
  <c r="AJ26" i="20" s="1"/>
  <c r="AE12" i="9"/>
  <c r="AE13" i="9" s="1"/>
  <c r="AE11" i="31" s="1"/>
  <c r="Y26" i="47" s="1"/>
  <c r="AJ11" i="28"/>
  <c r="AD7" i="47" s="1"/>
  <c r="AD4" i="47"/>
  <c r="AI76" i="20"/>
  <c r="AI78" i="20" s="1"/>
  <c r="AI81" i="20"/>
  <c r="AI48" i="20"/>
  <c r="AK10" i="13"/>
  <c r="AK11" i="13" s="1"/>
  <c r="AF16" i="28"/>
  <c r="Z12" i="47" s="1"/>
  <c r="AF48" i="17"/>
  <c r="AF34" i="17"/>
  <c r="AF35" i="17" s="1"/>
  <c r="AF13" i="17" s="1"/>
  <c r="AF15" i="17" s="1"/>
  <c r="AK44" i="12"/>
  <c r="AK45" i="12" s="1"/>
  <c r="AK11" i="11"/>
  <c r="AK12" i="11" s="1"/>
  <c r="AK20" i="10"/>
  <c r="AK21" i="10" s="1"/>
  <c r="AJ19" i="34"/>
  <c r="AD58" i="47" s="1"/>
  <c r="AJ12" i="16"/>
  <c r="AJ26" i="16"/>
  <c r="AL27" i="16" s="1"/>
  <c r="R19" i="35"/>
  <c r="AP29" i="17"/>
  <c r="AP14" i="17"/>
  <c r="AJ14" i="31"/>
  <c r="AD29" i="47" s="1"/>
  <c r="AK24" i="11"/>
  <c r="R14" i="32"/>
  <c r="AF22" i="34"/>
  <c r="Z61" i="47" s="1"/>
  <c r="AE25" i="31"/>
  <c r="Y40" i="47" s="1"/>
  <c r="AF36" i="9"/>
  <c r="AE28" i="9"/>
  <c r="AE30" i="9" s="1"/>
  <c r="AK25" i="12"/>
  <c r="AJ9" i="19"/>
  <c r="AJ11" i="19" s="1"/>
  <c r="AJ22" i="19" s="1"/>
  <c r="AJ23" i="19" s="1"/>
  <c r="AJ30" i="15"/>
  <c r="AJ36" i="15" s="1"/>
  <c r="AJ32" i="16"/>
  <c r="AJ45" i="16"/>
  <c r="AJ46" i="16" s="1"/>
  <c r="AJ41" i="16"/>
  <c r="AI11" i="34"/>
  <c r="AF34" i="18"/>
  <c r="AF35" i="18" s="1"/>
  <c r="AF13" i="18" s="1"/>
  <c r="AF15" i="18" s="1"/>
  <c r="AF48" i="18"/>
  <c r="AF18" i="28"/>
  <c r="Z14" i="47" s="1"/>
  <c r="AJ14" i="34"/>
  <c r="AD53" i="47" s="1"/>
  <c r="R14" i="35"/>
  <c r="AF11" i="9" l="1"/>
  <c r="AE9" i="8"/>
  <c r="R11" i="29"/>
  <c r="AI12" i="34"/>
  <c r="AC51" i="47" s="1"/>
  <c r="AC50" i="47"/>
  <c r="AJ14" i="28"/>
  <c r="AD10" i="47" s="1"/>
  <c r="AJ9" i="20"/>
  <c r="AJ10" i="20" s="1"/>
  <c r="AJ14" i="20" s="1"/>
  <c r="AJ15" i="20" s="1"/>
  <c r="AE12" i="31"/>
  <c r="AJ15" i="31"/>
  <c r="AD30" i="47" s="1"/>
  <c r="AK28" i="15"/>
  <c r="R15" i="32"/>
  <c r="AF16" i="31"/>
  <c r="Z31" i="47" s="1"/>
  <c r="AG11" i="17"/>
  <c r="AF18" i="31"/>
  <c r="Z33" i="47" s="1"/>
  <c r="AG11" i="18"/>
  <c r="AK16" i="37"/>
  <c r="AK62" i="12"/>
  <c r="AK64" i="12" s="1"/>
  <c r="AK53" i="12"/>
  <c r="AK56" i="12" s="1"/>
  <c r="AF23" i="34"/>
  <c r="Z62" i="47" s="1"/>
  <c r="AF19" i="28"/>
  <c r="Z15" i="47" s="1"/>
  <c r="AK27" i="13"/>
  <c r="AK29" i="13" s="1"/>
  <c r="AK12" i="13"/>
  <c r="AJ30" i="19"/>
  <c r="AJ32" i="19" s="1"/>
  <c r="AJ49" i="19"/>
  <c r="AJ51" i="19" s="1"/>
  <c r="AJ36" i="19" s="1"/>
  <c r="AK37" i="19" s="1"/>
  <c r="AE27" i="31"/>
  <c r="Y42" i="47" s="1"/>
  <c r="AE16" i="22"/>
  <c r="AL14" i="16"/>
  <c r="AL28" i="16"/>
  <c r="AJ17" i="28"/>
  <c r="AD13" i="47" s="1"/>
  <c r="R17" i="29"/>
  <c r="AJ47" i="16"/>
  <c r="AJ33" i="16"/>
  <c r="AJ34" i="16" s="1"/>
  <c r="AJ13" i="16" s="1"/>
  <c r="AJ15" i="16" s="1"/>
  <c r="AI21" i="28"/>
  <c r="AC17" i="47" s="1"/>
  <c r="AF25" i="34"/>
  <c r="Z64" i="47" s="1"/>
  <c r="AK10" i="37"/>
  <c r="AK24" i="12"/>
  <c r="AK26" i="12" s="1"/>
  <c r="AL17" i="10"/>
  <c r="AP18" i="34"/>
  <c r="AJ57" i="47" s="1"/>
  <c r="T18" i="35"/>
  <c r="AK16" i="19"/>
  <c r="AK17" i="19" s="1"/>
  <c r="AK42" i="15"/>
  <c r="AK20" i="15"/>
  <c r="AK25" i="11"/>
  <c r="AI20" i="31"/>
  <c r="AC35" i="47" s="1"/>
  <c r="AJ75" i="20"/>
  <c r="R14" i="29" l="1"/>
  <c r="AI15" i="34"/>
  <c r="AC54" i="47" s="1"/>
  <c r="AJ20" i="20"/>
  <c r="AJ21" i="20" s="1"/>
  <c r="AJ34" i="20" s="1"/>
  <c r="AE22" i="9"/>
  <c r="AE24" i="9" s="1"/>
  <c r="AE23" i="31" s="1"/>
  <c r="Y38" i="47" s="1"/>
  <c r="Y27" i="47"/>
  <c r="AF26" i="34"/>
  <c r="AJ17" i="31"/>
  <c r="AD32" i="47" s="1"/>
  <c r="AK11" i="16"/>
  <c r="R17" i="32"/>
  <c r="AK11" i="37"/>
  <c r="AK20" i="18"/>
  <c r="AK22" i="18" s="1"/>
  <c r="AK20" i="17"/>
  <c r="AK22" i="17" s="1"/>
  <c r="AK13" i="15"/>
  <c r="AK14" i="15" s="1"/>
  <c r="AK19" i="13"/>
  <c r="AK21" i="13" s="1"/>
  <c r="AK39" i="12"/>
  <c r="AK41" i="12" s="1"/>
  <c r="AK31" i="12"/>
  <c r="AQ32" i="12" s="1"/>
  <c r="AK17" i="9"/>
  <c r="AK18" i="9" s="1"/>
  <c r="AG40" i="18"/>
  <c r="AG41" i="18" s="1"/>
  <c r="AG27" i="18"/>
  <c r="AG28" i="18" s="1"/>
  <c r="AL25" i="10"/>
  <c r="AJ19" i="31"/>
  <c r="AD34" i="47" s="1"/>
  <c r="AK29" i="19"/>
  <c r="R19" i="32"/>
  <c r="AK13" i="28"/>
  <c r="AE9" i="47" s="1"/>
  <c r="AK21" i="19"/>
  <c r="AK43" i="15"/>
  <c r="AK45" i="15" s="1"/>
  <c r="AK21" i="15"/>
  <c r="AM22" i="15" s="1"/>
  <c r="AL26" i="13"/>
  <c r="AK30" i="13"/>
  <c r="AK9" i="31" s="1"/>
  <c r="AE24" i="47" s="1"/>
  <c r="AL20" i="34"/>
  <c r="AF59" i="47" s="1"/>
  <c r="AF22" i="28"/>
  <c r="Z18" i="47" s="1"/>
  <c r="AF82" i="20"/>
  <c r="AG40" i="17"/>
  <c r="AG41" i="17" s="1"/>
  <c r="AJ25" i="20"/>
  <c r="AJ27" i="20" s="1"/>
  <c r="AJ39" i="20"/>
  <c r="AF21" i="31"/>
  <c r="Z36" i="47" s="1"/>
  <c r="AJ66" i="20"/>
  <c r="AJ68" i="20" s="1"/>
  <c r="AJ24" i="34"/>
  <c r="AD63" i="47" s="1"/>
  <c r="R24" i="35"/>
  <c r="AK15" i="37"/>
  <c r="AL51" i="12"/>
  <c r="AK38" i="19"/>
  <c r="AK31" i="19"/>
  <c r="AK17" i="37"/>
  <c r="AL61" i="12"/>
  <c r="AK17" i="11"/>
  <c r="AK18" i="11" s="1"/>
  <c r="AF29" i="34" l="1"/>
  <c r="Z68" i="47" s="1"/>
  <c r="Z65" i="47"/>
  <c r="AE15" i="22"/>
  <c r="AE17" i="22" s="1"/>
  <c r="AE21" i="22" s="1"/>
  <c r="AF23" i="9"/>
  <c r="AM8" i="34"/>
  <c r="AG47" i="47" s="1"/>
  <c r="AM44" i="15"/>
  <c r="S8" i="35"/>
  <c r="AK48" i="19"/>
  <c r="AK21" i="34"/>
  <c r="AE60" i="47" s="1"/>
  <c r="AK12" i="18"/>
  <c r="AK29" i="15"/>
  <c r="AK10" i="12"/>
  <c r="AK11" i="12" s="1"/>
  <c r="AK10" i="31"/>
  <c r="AE25" i="47" s="1"/>
  <c r="AL41" i="15"/>
  <c r="AG33" i="17"/>
  <c r="AG46" i="17"/>
  <c r="AG47" i="17" s="1"/>
  <c r="AG42" i="17"/>
  <c r="AJ69" i="20"/>
  <c r="AJ77" i="20"/>
  <c r="AQ13" i="37"/>
  <c r="AQ52" i="12"/>
  <c r="AQ40" i="12"/>
  <c r="AK39" i="16"/>
  <c r="AK40" i="16" s="1"/>
  <c r="AK10" i="34"/>
  <c r="AE49" i="47" s="1"/>
  <c r="AL24" i="10"/>
  <c r="AL26" i="10" s="1"/>
  <c r="AK12" i="37"/>
  <c r="AL38" i="12"/>
  <c r="AG29" i="18"/>
  <c r="AG14" i="18"/>
  <c r="AK8" i="31"/>
  <c r="AE23" i="47" s="1"/>
  <c r="AL18" i="13"/>
  <c r="AF37" i="9"/>
  <c r="AF38" i="9" s="1"/>
  <c r="AG46" i="18"/>
  <c r="AG47" i="18" s="1"/>
  <c r="AG33" i="18"/>
  <c r="AG42" i="18"/>
  <c r="AK15" i="15"/>
  <c r="AK32" i="15"/>
  <c r="AK8" i="28"/>
  <c r="AK19" i="16"/>
  <c r="AK21" i="16" s="1"/>
  <c r="AK26" i="11"/>
  <c r="AK27" i="11" s="1"/>
  <c r="AJ35" i="20"/>
  <c r="AJ36" i="20" s="1"/>
  <c r="AK33" i="20" s="1"/>
  <c r="AJ40" i="20"/>
  <c r="AJ41" i="20" s="1"/>
  <c r="AJ46" i="20" s="1"/>
  <c r="AJ47" i="20" s="1"/>
  <c r="AK17" i="34"/>
  <c r="AE56" i="47" s="1"/>
  <c r="AK12" i="17"/>
  <c r="AK27" i="17"/>
  <c r="AQ28" i="17" s="1"/>
  <c r="AF12" i="9" l="1"/>
  <c r="AF13" i="9" s="1"/>
  <c r="AF11" i="31" s="1"/>
  <c r="Z26" i="47" s="1"/>
  <c r="AK11" i="28"/>
  <c r="AE7" i="47" s="1"/>
  <c r="AE4" i="47"/>
  <c r="AL10" i="13"/>
  <c r="AL11" i="13" s="1"/>
  <c r="AG18" i="28"/>
  <c r="Q18" i="29"/>
  <c r="AK9" i="19"/>
  <c r="AK11" i="19" s="1"/>
  <c r="AK22" i="19" s="1"/>
  <c r="AK23" i="19" s="1"/>
  <c r="AK30" i="15"/>
  <c r="AK36" i="15" s="1"/>
  <c r="AQ29" i="17"/>
  <c r="AQ14" i="17"/>
  <c r="AK14" i="34"/>
  <c r="AE53" i="47" s="1"/>
  <c r="AK14" i="31"/>
  <c r="AE29" i="47" s="1"/>
  <c r="AL24" i="11"/>
  <c r="AG22" i="34"/>
  <c r="AA61" i="47" s="1"/>
  <c r="Q22" i="35"/>
  <c r="AK19" i="34"/>
  <c r="AE58" i="47" s="1"/>
  <c r="AK12" i="16"/>
  <c r="AK26" i="16"/>
  <c r="AM27" i="16" s="1"/>
  <c r="AJ81" i="20"/>
  <c r="AJ48" i="20"/>
  <c r="AJ76" i="20"/>
  <c r="AJ78" i="20" s="1"/>
  <c r="AG34" i="18"/>
  <c r="AG35" i="18" s="1"/>
  <c r="AG13" i="18" s="1"/>
  <c r="AG15" i="18" s="1"/>
  <c r="AG48" i="18"/>
  <c r="AL25" i="12"/>
  <c r="AJ11" i="34"/>
  <c r="R11" i="35"/>
  <c r="AK45" i="16"/>
  <c r="AK46" i="16" s="1"/>
  <c r="AK41" i="16"/>
  <c r="AK32" i="16"/>
  <c r="AG16" i="28"/>
  <c r="Q16" i="29"/>
  <c r="AL11" i="11"/>
  <c r="AL12" i="11" s="1"/>
  <c r="AL44" i="12"/>
  <c r="AL45" i="12" s="1"/>
  <c r="AL20" i="10"/>
  <c r="AL21" i="10" s="1"/>
  <c r="AK26" i="20"/>
  <c r="AF25" i="31"/>
  <c r="Z40" i="47" s="1"/>
  <c r="AG36" i="9"/>
  <c r="AF28" i="9"/>
  <c r="AF30" i="9" s="1"/>
  <c r="AG48" i="17"/>
  <c r="AG34" i="17"/>
  <c r="AG35" i="17" s="1"/>
  <c r="AG13" i="17" s="1"/>
  <c r="AG15" i="17" s="1"/>
  <c r="AA12" i="47" l="1"/>
  <c r="D88" i="49" a="1"/>
  <c r="D88" i="49" s="1"/>
  <c r="AA14" i="47"/>
  <c r="D82" i="49" a="1"/>
  <c r="D82" i="49" s="1"/>
  <c r="AF9" i="8"/>
  <c r="AG11" i="9"/>
  <c r="AJ12" i="34"/>
  <c r="AD51" i="47" s="1"/>
  <c r="AD50" i="47"/>
  <c r="AK9" i="20"/>
  <c r="AK10" i="20" s="1"/>
  <c r="AK20" i="20" s="1"/>
  <c r="AK21" i="20" s="1"/>
  <c r="AK34" i="20" s="1"/>
  <c r="AK14" i="28"/>
  <c r="AE10" i="47" s="1"/>
  <c r="AF12" i="31"/>
  <c r="AG19" i="28"/>
  <c r="AG18" i="31"/>
  <c r="AA33" i="47" s="1"/>
  <c r="AH11" i="18"/>
  <c r="K18" i="24"/>
  <c r="E33" i="50" s="1"/>
  <c r="Q18" i="32"/>
  <c r="M18" i="33"/>
  <c r="AG16" i="31"/>
  <c r="AH11" i="17"/>
  <c r="K16" i="24"/>
  <c r="E31" i="50" s="1"/>
  <c r="M16" i="33"/>
  <c r="Q16" i="32"/>
  <c r="AK15" i="31"/>
  <c r="AE30" i="47" s="1"/>
  <c r="AL28" i="15"/>
  <c r="AL16" i="37"/>
  <c r="AL62" i="12"/>
  <c r="AL64" i="12" s="1"/>
  <c r="AL53" i="12"/>
  <c r="AL56" i="12" s="1"/>
  <c r="AG23" i="34"/>
  <c r="AA62" i="47" s="1"/>
  <c r="Q23" i="35"/>
  <c r="AF27" i="31"/>
  <c r="Z42" i="47" s="1"/>
  <c r="AF16" i="22"/>
  <c r="AM14" i="16"/>
  <c r="AM28" i="16"/>
  <c r="AL27" i="13"/>
  <c r="AL29" i="13" s="1"/>
  <c r="AL12" i="13"/>
  <c r="AG25" i="34"/>
  <c r="AA64" i="47" s="1"/>
  <c r="Q25" i="35"/>
  <c r="AQ18" i="34"/>
  <c r="AK57" i="47" s="1"/>
  <c r="AL10" i="37"/>
  <c r="AL24" i="12"/>
  <c r="AL26" i="12" s="1"/>
  <c r="AM17" i="10"/>
  <c r="AL16" i="19"/>
  <c r="AL17" i="19" s="1"/>
  <c r="AL42" i="15"/>
  <c r="AL20" i="15"/>
  <c r="AL25" i="11"/>
  <c r="AJ20" i="31"/>
  <c r="AD35" i="47" s="1"/>
  <c r="AK75" i="20"/>
  <c r="R20" i="32"/>
  <c r="AK17" i="28"/>
  <c r="AE13" i="47" s="1"/>
  <c r="AJ21" i="28"/>
  <c r="AD17" i="47" s="1"/>
  <c r="R21" i="29"/>
  <c r="AK49" i="19"/>
  <c r="AK51" i="19" s="1"/>
  <c r="AK36" i="19" s="1"/>
  <c r="AL37" i="19" s="1"/>
  <c r="AK30" i="19"/>
  <c r="AK32" i="19" s="1"/>
  <c r="AK47" i="16"/>
  <c r="AK33" i="16"/>
  <c r="AK34" i="16" s="1"/>
  <c r="AK13" i="16" s="1"/>
  <c r="AK15" i="16" s="1"/>
  <c r="AA31" i="47" l="1"/>
  <c r="D76" i="49" a="1"/>
  <c r="D76" i="49" s="1"/>
  <c r="AJ15" i="34"/>
  <c r="AD54" i="47" s="1"/>
  <c r="R12" i="35"/>
  <c r="AF22" i="9"/>
  <c r="AF24" i="9" s="1"/>
  <c r="AF23" i="31" s="1"/>
  <c r="Z38" i="47" s="1"/>
  <c r="Z27" i="47"/>
  <c r="AG82" i="20"/>
  <c r="AA15" i="47"/>
  <c r="AK14" i="20"/>
  <c r="AK15" i="20" s="1"/>
  <c r="AK39" i="20" s="1"/>
  <c r="Q19" i="29"/>
  <c r="AG26" i="34"/>
  <c r="Q26" i="35" s="1"/>
  <c r="AG22" i="28"/>
  <c r="AG21" i="31"/>
  <c r="AA36" i="47" s="1"/>
  <c r="AK17" i="31"/>
  <c r="AE32" i="47" s="1"/>
  <c r="AL11" i="16"/>
  <c r="AK66" i="20"/>
  <c r="AK68" i="20" s="1"/>
  <c r="AL11" i="37"/>
  <c r="AL20" i="18"/>
  <c r="AL22" i="18" s="1"/>
  <c r="AL20" i="17"/>
  <c r="AL22" i="17" s="1"/>
  <c r="AL13" i="15"/>
  <c r="AL14" i="15" s="1"/>
  <c r="AL19" i="13"/>
  <c r="AL21" i="13" s="1"/>
  <c r="AL39" i="12"/>
  <c r="AL41" i="12" s="1"/>
  <c r="AL31" i="12"/>
  <c r="AR32" i="12" s="1"/>
  <c r="AL17" i="9"/>
  <c r="AL18" i="9" s="1"/>
  <c r="AL13" i="28"/>
  <c r="AF9" i="47" s="1"/>
  <c r="AL15" i="37"/>
  <c r="AM51" i="12"/>
  <c r="AH40" i="17"/>
  <c r="AH41" i="17" s="1"/>
  <c r="AM26" i="13"/>
  <c r="AL30" i="13"/>
  <c r="AL9" i="31" s="1"/>
  <c r="AF24" i="47" s="1"/>
  <c r="AL17" i="37"/>
  <c r="AM61" i="12"/>
  <c r="AL17" i="11"/>
  <c r="AL18" i="11" s="1"/>
  <c r="AK19" i="31"/>
  <c r="AE34" i="47" s="1"/>
  <c r="AL29" i="19"/>
  <c r="AL38" i="19"/>
  <c r="AL31" i="19"/>
  <c r="AM20" i="34"/>
  <c r="AG59" i="47" s="1"/>
  <c r="S20" i="35"/>
  <c r="R15" i="35"/>
  <c r="AH27" i="18"/>
  <c r="AH28" i="18" s="1"/>
  <c r="AH40" i="18"/>
  <c r="AH41" i="18" s="1"/>
  <c r="AK24" i="34"/>
  <c r="AE63" i="47" s="1"/>
  <c r="AM25" i="10"/>
  <c r="AL21" i="19"/>
  <c r="AL21" i="15"/>
  <c r="AN22" i="15" s="1"/>
  <c r="AL43" i="15"/>
  <c r="AL45" i="15" s="1"/>
  <c r="AK25" i="20" l="1"/>
  <c r="AK27" i="20" s="1"/>
  <c r="AF15" i="22"/>
  <c r="AF17" i="22" s="1"/>
  <c r="AF21" i="22" s="1"/>
  <c r="AG29" i="34"/>
  <c r="AA68" i="47" s="1"/>
  <c r="AA65" i="47"/>
  <c r="M21" i="33"/>
  <c r="Q22" i="29"/>
  <c r="AA18" i="47"/>
  <c r="AG37" i="9"/>
  <c r="AG38" i="9" s="1"/>
  <c r="AG28" i="9" s="1"/>
  <c r="AG30" i="9" s="1"/>
  <c r="Q21" i="32"/>
  <c r="K21" i="24"/>
  <c r="E36" i="50" s="1"/>
  <c r="AG23" i="9"/>
  <c r="AN8" i="34"/>
  <c r="AH47" i="47" s="1"/>
  <c r="AN44" i="15"/>
  <c r="AL21" i="34"/>
  <c r="AF60" i="47" s="1"/>
  <c r="AL12" i="18"/>
  <c r="AL29" i="15"/>
  <c r="AL10" i="12"/>
  <c r="AL11" i="12" s="1"/>
  <c r="AL48" i="19"/>
  <c r="AL10" i="31"/>
  <c r="AF25" i="47" s="1"/>
  <c r="AM41" i="15"/>
  <c r="AR13" i="37"/>
  <c r="AR52" i="12"/>
  <c r="AR40" i="12"/>
  <c r="AK77" i="20"/>
  <c r="AK69" i="20"/>
  <c r="AH29" i="18"/>
  <c r="AH14" i="18"/>
  <c r="AH33" i="17"/>
  <c r="AH46" i="17"/>
  <c r="AH47" i="17" s="1"/>
  <c r="AH42" i="17"/>
  <c r="AL12" i="37"/>
  <c r="AM38" i="12"/>
  <c r="AK35" i="20"/>
  <c r="AK36" i="20" s="1"/>
  <c r="AL33" i="20" s="1"/>
  <c r="AK40" i="20"/>
  <c r="AK41" i="20" s="1"/>
  <c r="AK46" i="20" s="1"/>
  <c r="AK47" i="20" s="1"/>
  <c r="AM24" i="10"/>
  <c r="AM26" i="10" s="1"/>
  <c r="AL8" i="31"/>
  <c r="AF23" i="47" s="1"/>
  <c r="AM18" i="13"/>
  <c r="AL39" i="16"/>
  <c r="AL40" i="16" s="1"/>
  <c r="AH42" i="18"/>
  <c r="AH33" i="18"/>
  <c r="AH46" i="18"/>
  <c r="AH47" i="18" s="1"/>
  <c r="AL8" i="28"/>
  <c r="AL19" i="16"/>
  <c r="AL21" i="16" s="1"/>
  <c r="AL26" i="11"/>
  <c r="AL27" i="11" s="1"/>
  <c r="AL15" i="15"/>
  <c r="AL32" i="15"/>
  <c r="AL10" i="34"/>
  <c r="AF49" i="47" s="1"/>
  <c r="AL17" i="34"/>
  <c r="AF56" i="47" s="1"/>
  <c r="AL27" i="17"/>
  <c r="AR28" i="17" s="1"/>
  <c r="AL12" i="17"/>
  <c r="AG25" i="31" l="1"/>
  <c r="AA40" i="47" s="1"/>
  <c r="Q29" i="35"/>
  <c r="AG12" i="9"/>
  <c r="AG13" i="9" s="1"/>
  <c r="K11" i="24" s="1"/>
  <c r="E26" i="50" s="1"/>
  <c r="K25" i="24"/>
  <c r="E40" i="50" s="1"/>
  <c r="M25" i="33"/>
  <c r="Q25" i="32"/>
  <c r="AH36" i="9"/>
  <c r="AL11" i="28"/>
  <c r="AF7" i="47" s="1"/>
  <c r="AF4" i="47"/>
  <c r="AH18" i="28"/>
  <c r="AB14" i="47" s="1"/>
  <c r="AL26" i="20"/>
  <c r="AK76" i="20"/>
  <c r="AK78" i="20" s="1"/>
  <c r="AK81" i="20"/>
  <c r="AK48" i="20"/>
  <c r="AH22" i="34"/>
  <c r="AB61" i="47" s="1"/>
  <c r="AL45" i="16"/>
  <c r="AL46" i="16" s="1"/>
  <c r="AL41" i="16"/>
  <c r="AL32" i="16"/>
  <c r="AL14" i="34"/>
  <c r="AF53" i="47" s="1"/>
  <c r="AM10" i="13"/>
  <c r="AM11" i="13" s="1"/>
  <c r="AM25" i="12"/>
  <c r="AK11" i="34"/>
  <c r="AR29" i="17"/>
  <c r="AR14" i="17"/>
  <c r="AM44" i="12"/>
  <c r="AM45" i="12" s="1"/>
  <c r="AM20" i="10"/>
  <c r="AM21" i="10" s="1"/>
  <c r="AM11" i="11"/>
  <c r="AM12" i="11" s="1"/>
  <c r="AH48" i="17"/>
  <c r="AH34" i="17"/>
  <c r="AH35" i="17" s="1"/>
  <c r="AH13" i="17" s="1"/>
  <c r="AH15" i="17" s="1"/>
  <c r="AL9" i="19"/>
  <c r="AL11" i="19" s="1"/>
  <c r="AL22" i="19" s="1"/>
  <c r="AL23" i="19" s="1"/>
  <c r="AL30" i="15"/>
  <c r="AL36" i="15" s="1"/>
  <c r="AG27" i="31"/>
  <c r="AA42" i="47" s="1"/>
  <c r="AG16" i="22"/>
  <c r="M27" i="33"/>
  <c r="Q27" i="32"/>
  <c r="K27" i="24"/>
  <c r="E42" i="50" s="1"/>
  <c r="AL14" i="31"/>
  <c r="AF29" i="47" s="1"/>
  <c r="AM24" i="11"/>
  <c r="AH16" i="28"/>
  <c r="AB12" i="47" s="1"/>
  <c r="AL19" i="34"/>
  <c r="AF58" i="47" s="1"/>
  <c r="AL26" i="16"/>
  <c r="AN27" i="16" s="1"/>
  <c r="AL12" i="16"/>
  <c r="AH48" i="18"/>
  <c r="AH34" i="18"/>
  <c r="AH35" i="18" s="1"/>
  <c r="AH13" i="18" s="1"/>
  <c r="AH15" i="18" s="1"/>
  <c r="M11" i="33" l="1"/>
  <c r="AG9" i="8"/>
  <c r="AH11" i="9"/>
  <c r="AG11" i="31"/>
  <c r="AA26" i="47" s="1"/>
  <c r="Q11" i="32"/>
  <c r="AK12" i="34"/>
  <c r="AE51" i="47" s="1"/>
  <c r="AE50" i="47"/>
  <c r="AL14" i="28"/>
  <c r="AF10" i="47" s="1"/>
  <c r="AL9" i="20"/>
  <c r="AL10" i="20" s="1"/>
  <c r="AL20" i="20" s="1"/>
  <c r="AL21" i="20" s="1"/>
  <c r="AL34" i="20" s="1"/>
  <c r="AH19" i="28"/>
  <c r="AM16" i="37"/>
  <c r="AM53" i="12"/>
  <c r="AM56" i="12" s="1"/>
  <c r="AM62" i="12"/>
  <c r="AM64" i="12" s="1"/>
  <c r="S16" i="38"/>
  <c r="AL17" i="28"/>
  <c r="AF13" i="47" s="1"/>
  <c r="AK20" i="31"/>
  <c r="AE35" i="47" s="1"/>
  <c r="AL75" i="20"/>
  <c r="AH25" i="34"/>
  <c r="AB64" i="47" s="1"/>
  <c r="AR18" i="34"/>
  <c r="AL57" i="47" s="1"/>
  <c r="AL47" i="16"/>
  <c r="AL33" i="16"/>
  <c r="AL34" i="16" s="1"/>
  <c r="AL13" i="16" s="1"/>
  <c r="AL15" i="16" s="1"/>
  <c r="AL49" i="19"/>
  <c r="AL51" i="19" s="1"/>
  <c r="AL36" i="19" s="1"/>
  <c r="AM37" i="19" s="1"/>
  <c r="AL30" i="19"/>
  <c r="AL32" i="19" s="1"/>
  <c r="AL15" i="31"/>
  <c r="AF30" i="47" s="1"/>
  <c r="AM28" i="15"/>
  <c r="AH16" i="31"/>
  <c r="AB31" i="47" s="1"/>
  <c r="AI11" i="17"/>
  <c r="AM27" i="13"/>
  <c r="AM29" i="13" s="1"/>
  <c r="AM12" i="13"/>
  <c r="AH18" i="31"/>
  <c r="AB33" i="47" s="1"/>
  <c r="AI11" i="18"/>
  <c r="AN14" i="16"/>
  <c r="AN28" i="16"/>
  <c r="AH23" i="34"/>
  <c r="AB62" i="47" s="1"/>
  <c r="AM16" i="19"/>
  <c r="AM17" i="19" s="1"/>
  <c r="AM20" i="15"/>
  <c r="AM42" i="15"/>
  <c r="AM25" i="11"/>
  <c r="AM10" i="37"/>
  <c r="AM24" i="12"/>
  <c r="AM26" i="12" s="1"/>
  <c r="AN17" i="10"/>
  <c r="N10" i="39"/>
  <c r="S10" i="38"/>
  <c r="AK21" i="28"/>
  <c r="AE17" i="47" s="1"/>
  <c r="AK15" i="34" l="1"/>
  <c r="AE54" i="47" s="1"/>
  <c r="AG12" i="31"/>
  <c r="M12" i="33" s="1"/>
  <c r="AL14" i="20"/>
  <c r="AL15" i="20" s="1"/>
  <c r="AL25" i="20" s="1"/>
  <c r="AL27" i="20" s="1"/>
  <c r="AH82" i="20"/>
  <c r="AB15" i="47"/>
  <c r="AH22" i="28"/>
  <c r="Q12" i="32"/>
  <c r="AH26" i="34"/>
  <c r="AH21" i="31"/>
  <c r="AB36" i="47" s="1"/>
  <c r="AL17" i="31"/>
  <c r="AF32" i="47" s="1"/>
  <c r="AM11" i="16"/>
  <c r="AM30" i="13"/>
  <c r="AN26" i="13"/>
  <c r="AL19" i="31"/>
  <c r="AF34" i="47" s="1"/>
  <c r="AM29" i="19"/>
  <c r="AM31" i="19"/>
  <c r="AM38" i="19"/>
  <c r="AN20" i="34"/>
  <c r="AH59" i="47" s="1"/>
  <c r="AI40" i="17"/>
  <c r="AI41" i="17" s="1"/>
  <c r="AL24" i="34"/>
  <c r="AF63" i="47" s="1"/>
  <c r="AI40" i="18"/>
  <c r="AI41" i="18" s="1"/>
  <c r="AI27" i="18"/>
  <c r="AI28" i="18" s="1"/>
  <c r="AM21" i="19"/>
  <c r="AM21" i="15"/>
  <c r="AO22" i="15" s="1"/>
  <c r="AM43" i="15"/>
  <c r="AM45" i="15" s="1"/>
  <c r="AN25" i="10"/>
  <c r="AM17" i="37"/>
  <c r="AN61" i="12"/>
  <c r="AM17" i="11"/>
  <c r="AM18" i="11" s="1"/>
  <c r="S17" i="38"/>
  <c r="N17" i="39"/>
  <c r="AM11" i="37"/>
  <c r="AM20" i="18"/>
  <c r="AM22" i="18" s="1"/>
  <c r="AM20" i="17"/>
  <c r="AM22" i="17" s="1"/>
  <c r="AM13" i="15"/>
  <c r="AM14" i="15" s="1"/>
  <c r="AM19" i="13"/>
  <c r="AM21" i="13" s="1"/>
  <c r="AM39" i="12"/>
  <c r="AM41" i="12" s="1"/>
  <c r="AM31" i="12"/>
  <c r="AS32" i="12" s="1"/>
  <c r="AM17" i="9"/>
  <c r="AM18" i="9" s="1"/>
  <c r="S11" i="38"/>
  <c r="AM15" i="37"/>
  <c r="AN51" i="12"/>
  <c r="S15" i="38"/>
  <c r="N15" i="39"/>
  <c r="AM13" i="28"/>
  <c r="AG9" i="47" s="1"/>
  <c r="S13" i="29"/>
  <c r="AL66" i="20"/>
  <c r="AL68" i="20" s="1"/>
  <c r="K12" i="24" l="1"/>
  <c r="E27" i="50" s="1"/>
  <c r="AG22" i="9"/>
  <c r="AG24" i="9" s="1"/>
  <c r="M23" i="33" s="1"/>
  <c r="AA27" i="47"/>
  <c r="AL39" i="20"/>
  <c r="AH29" i="34"/>
  <c r="AB68" i="47" s="1"/>
  <c r="AB65" i="47"/>
  <c r="AH37" i="9"/>
  <c r="AH38" i="9" s="1"/>
  <c r="AH25" i="31" s="1"/>
  <c r="AB40" i="47" s="1"/>
  <c r="AB18" i="47"/>
  <c r="AH23" i="9"/>
  <c r="AO8" i="34"/>
  <c r="AI47" i="47" s="1"/>
  <c r="AO44" i="15"/>
  <c r="AM12" i="37"/>
  <c r="AN38" i="12"/>
  <c r="N12" i="39"/>
  <c r="S12" i="38"/>
  <c r="AM48" i="19"/>
  <c r="AM8" i="31"/>
  <c r="AG23" i="47" s="1"/>
  <c r="AN18" i="13"/>
  <c r="N8" i="33"/>
  <c r="S8" i="32"/>
  <c r="AM8" i="28"/>
  <c r="AM19" i="16"/>
  <c r="AM21" i="16" s="1"/>
  <c r="AM26" i="11"/>
  <c r="AM27" i="11" s="1"/>
  <c r="S8" i="29"/>
  <c r="AN24" i="10"/>
  <c r="AN26" i="10" s="1"/>
  <c r="AS13" i="37"/>
  <c r="AS40" i="12"/>
  <c r="AS52" i="12"/>
  <c r="U13" i="38"/>
  <c r="AL69" i="20"/>
  <c r="AL77" i="20"/>
  <c r="AM17" i="34"/>
  <c r="AG56" i="47" s="1"/>
  <c r="AM27" i="17"/>
  <c r="AS28" i="17" s="1"/>
  <c r="AM12" i="17"/>
  <c r="S17" i="35"/>
  <c r="AM9" i="31"/>
  <c r="AG24" i="47" s="1"/>
  <c r="S9" i="32"/>
  <c r="N9" i="33"/>
  <c r="AM21" i="34"/>
  <c r="AG60" i="47" s="1"/>
  <c r="AM12" i="18"/>
  <c r="S21" i="35"/>
  <c r="AL35" i="20"/>
  <c r="AL36" i="20" s="1"/>
  <c r="AM33" i="20" s="1"/>
  <c r="AL40" i="20"/>
  <c r="AI14" i="18"/>
  <c r="AI29" i="18"/>
  <c r="AM39" i="16"/>
  <c r="AM40" i="16" s="1"/>
  <c r="AI46" i="18"/>
  <c r="AI47" i="18" s="1"/>
  <c r="AI42" i="18"/>
  <c r="AI33" i="18"/>
  <c r="AI33" i="17"/>
  <c r="AI46" i="17"/>
  <c r="AI47" i="17" s="1"/>
  <c r="AI42" i="17"/>
  <c r="AM32" i="15"/>
  <c r="AM15" i="15"/>
  <c r="AM10" i="31"/>
  <c r="AG25" i="47" s="1"/>
  <c r="AN41" i="15"/>
  <c r="S10" i="32"/>
  <c r="N10" i="33"/>
  <c r="AM29" i="15"/>
  <c r="AM10" i="12"/>
  <c r="AM11" i="12" s="1"/>
  <c r="AM10" i="34"/>
  <c r="AG49" i="47" s="1"/>
  <c r="S10" i="35"/>
  <c r="K23" i="24" l="1"/>
  <c r="E38" i="50" s="1"/>
  <c r="AL41" i="20"/>
  <c r="AL46" i="20" s="1"/>
  <c r="AL47" i="20" s="1"/>
  <c r="AL81" i="20" s="1"/>
  <c r="Q23" i="32"/>
  <c r="AG23" i="31"/>
  <c r="AA38" i="47" s="1"/>
  <c r="AG15" i="22"/>
  <c r="AG17" i="22" s="1"/>
  <c r="AG21" i="22" s="1"/>
  <c r="AH28" i="9"/>
  <c r="AH30" i="9" s="1"/>
  <c r="AH27" i="31" s="1"/>
  <c r="AB42" i="47" s="1"/>
  <c r="AH12" i="9"/>
  <c r="AH13" i="9" s="1"/>
  <c r="AH11" i="31" s="1"/>
  <c r="AB26" i="47" s="1"/>
  <c r="AI36" i="9"/>
  <c r="AM11" i="28"/>
  <c r="AG7" i="47" s="1"/>
  <c r="AG4" i="47"/>
  <c r="AL76" i="20"/>
  <c r="AL78" i="20" s="1"/>
  <c r="AL48" i="20"/>
  <c r="AN25" i="12"/>
  <c r="AI34" i="18"/>
  <c r="AI35" i="18" s="1"/>
  <c r="AI13" i="18" s="1"/>
  <c r="AI15" i="18" s="1"/>
  <c r="AI48" i="18"/>
  <c r="AS29" i="17"/>
  <c r="AS14" i="17"/>
  <c r="AN44" i="12"/>
  <c r="AN45" i="12" s="1"/>
  <c r="AN11" i="11"/>
  <c r="AN12" i="11" s="1"/>
  <c r="AN20" i="10"/>
  <c r="AN21" i="10" s="1"/>
  <c r="AN10" i="13"/>
  <c r="AN11" i="13" s="1"/>
  <c r="AI18" i="28"/>
  <c r="AC14" i="47" s="1"/>
  <c r="AM32" i="16"/>
  <c r="AM45" i="16"/>
  <c r="AM46" i="16" s="1"/>
  <c r="AM41" i="16"/>
  <c r="AM26" i="20"/>
  <c r="AM14" i="34"/>
  <c r="AG53" i="47" s="1"/>
  <c r="S14" i="35"/>
  <c r="AM9" i="19"/>
  <c r="AM11" i="19" s="1"/>
  <c r="AM22" i="19" s="1"/>
  <c r="AM23" i="19" s="1"/>
  <c r="AM30" i="15"/>
  <c r="AM36" i="15" s="1"/>
  <c r="AI16" i="28"/>
  <c r="AC12" i="47" s="1"/>
  <c r="AI22" i="34"/>
  <c r="AC61" i="47" s="1"/>
  <c r="AL11" i="34"/>
  <c r="AM14" i="31"/>
  <c r="AG29" i="47" s="1"/>
  <c r="AN24" i="11"/>
  <c r="N14" i="33"/>
  <c r="S14" i="32"/>
  <c r="AI34" i="17"/>
  <c r="AI35" i="17" s="1"/>
  <c r="AI13" i="17" s="1"/>
  <c r="AI15" i="17" s="1"/>
  <c r="AI48" i="17"/>
  <c r="AM19" i="34"/>
  <c r="AG58" i="47" s="1"/>
  <c r="AM26" i="16"/>
  <c r="AO27" i="16" s="1"/>
  <c r="AM12" i="16"/>
  <c r="S19" i="35"/>
  <c r="AH9" i="8" l="1"/>
  <c r="AI11" i="9"/>
  <c r="AH16" i="22"/>
  <c r="AL12" i="34"/>
  <c r="AF51" i="47" s="1"/>
  <c r="AF50" i="47"/>
  <c r="S11" i="29"/>
  <c r="AM9" i="20"/>
  <c r="AM10" i="20" s="1"/>
  <c r="AM20" i="20" s="1"/>
  <c r="AM21" i="20" s="1"/>
  <c r="AM34" i="20" s="1"/>
  <c r="AM14" i="28"/>
  <c r="AG10" i="47" s="1"/>
  <c r="AI19" i="28"/>
  <c r="AH12" i="31"/>
  <c r="AI16" i="31"/>
  <c r="AC31" i="47" s="1"/>
  <c r="AJ11" i="17"/>
  <c r="AM15" i="31"/>
  <c r="AG30" i="47" s="1"/>
  <c r="AN28" i="15"/>
  <c r="S15" i="32"/>
  <c r="N15" i="33"/>
  <c r="AN16" i="37"/>
  <c r="AN62" i="12"/>
  <c r="AN64" i="12" s="1"/>
  <c r="AN53" i="12"/>
  <c r="AN56" i="12" s="1"/>
  <c r="AS18" i="34"/>
  <c r="AM57" i="47" s="1"/>
  <c r="U18" i="35"/>
  <c r="AI25" i="34"/>
  <c r="AC64" i="47" s="1"/>
  <c r="AI18" i="31"/>
  <c r="AC33" i="47" s="1"/>
  <c r="AJ11" i="18"/>
  <c r="AM17" i="28"/>
  <c r="AG13" i="47" s="1"/>
  <c r="S17" i="29"/>
  <c r="AN27" i="13"/>
  <c r="AN29" i="13" s="1"/>
  <c r="AN12" i="13"/>
  <c r="AL21" i="28"/>
  <c r="AF17" i="47" s="1"/>
  <c r="AM47" i="16"/>
  <c r="AM33" i="16"/>
  <c r="AM34" i="16" s="1"/>
  <c r="AM13" i="16" s="1"/>
  <c r="AM15" i="16" s="1"/>
  <c r="AN10" i="37"/>
  <c r="AN24" i="12"/>
  <c r="AN26" i="12" s="1"/>
  <c r="AO17" i="10"/>
  <c r="AM49" i="19"/>
  <c r="AM51" i="19" s="1"/>
  <c r="AM36" i="19" s="1"/>
  <c r="AN37" i="19" s="1"/>
  <c r="AM30" i="19"/>
  <c r="AM32" i="19" s="1"/>
  <c r="AO14" i="16"/>
  <c r="AO28" i="16"/>
  <c r="AI23" i="34"/>
  <c r="AC62" i="47" s="1"/>
  <c r="AN16" i="19"/>
  <c r="AN17" i="19" s="1"/>
  <c r="AN20" i="15"/>
  <c r="AN42" i="15"/>
  <c r="AN25" i="11"/>
  <c r="AL20" i="31"/>
  <c r="AF35" i="47" s="1"/>
  <c r="AM75" i="20"/>
  <c r="AL15" i="34" l="1"/>
  <c r="AF54" i="47" s="1"/>
  <c r="AM14" i="20"/>
  <c r="AM15" i="20" s="1"/>
  <c r="AM25" i="20" s="1"/>
  <c r="AM27" i="20" s="1"/>
  <c r="S14" i="29"/>
  <c r="AH22" i="9"/>
  <c r="AH24" i="9" s="1"/>
  <c r="AH23" i="31" s="1"/>
  <c r="AB38" i="47" s="1"/>
  <c r="AB27" i="47"/>
  <c r="AI22" i="28"/>
  <c r="AC18" i="47" s="1"/>
  <c r="AC15" i="47"/>
  <c r="AI82" i="20"/>
  <c r="AI26" i="34"/>
  <c r="AM17" i="31"/>
  <c r="AG32" i="47" s="1"/>
  <c r="AN11" i="16"/>
  <c r="S17" i="32"/>
  <c r="N17" i="33"/>
  <c r="AM39" i="20"/>
  <c r="AN31" i="19"/>
  <c r="AN38" i="19"/>
  <c r="AN13" i="28"/>
  <c r="AH9" i="47" s="1"/>
  <c r="AO25" i="10"/>
  <c r="AN11" i="37"/>
  <c r="AN20" i="18"/>
  <c r="AN22" i="18" s="1"/>
  <c r="AN20" i="17"/>
  <c r="AN22" i="17" s="1"/>
  <c r="AN13" i="15"/>
  <c r="AN14" i="15" s="1"/>
  <c r="AN19" i="13"/>
  <c r="AN21" i="13" s="1"/>
  <c r="AN31" i="12"/>
  <c r="AT32" i="12" s="1"/>
  <c r="AN39" i="12"/>
  <c r="AN41" i="12" s="1"/>
  <c r="AN17" i="9"/>
  <c r="AN18" i="9" s="1"/>
  <c r="AN15" i="37"/>
  <c r="AO51" i="12"/>
  <c r="AM19" i="31"/>
  <c r="AG34" i="47" s="1"/>
  <c r="AN29" i="19"/>
  <c r="N19" i="33"/>
  <c r="S19" i="32"/>
  <c r="AM66" i="20"/>
  <c r="AM68" i="20" s="1"/>
  <c r="AN30" i="13"/>
  <c r="AN9" i="31" s="1"/>
  <c r="AH24" i="47" s="1"/>
  <c r="AO26" i="13"/>
  <c r="AN17" i="37"/>
  <c r="AO61" i="12"/>
  <c r="AN17" i="11"/>
  <c r="AN18" i="11" s="1"/>
  <c r="AI37" i="9"/>
  <c r="AI38" i="9" s="1"/>
  <c r="AN21" i="19"/>
  <c r="AN43" i="15"/>
  <c r="AN45" i="15" s="1"/>
  <c r="AN21" i="15"/>
  <c r="AP22" i="15" s="1"/>
  <c r="AO20" i="34"/>
  <c r="AI59" i="47" s="1"/>
  <c r="AM24" i="34"/>
  <c r="AG63" i="47" s="1"/>
  <c r="S24" i="35"/>
  <c r="AJ27" i="18"/>
  <c r="AJ28" i="18" s="1"/>
  <c r="AJ40" i="18"/>
  <c r="AJ41" i="18" s="1"/>
  <c r="AJ40" i="17"/>
  <c r="AJ41" i="17" s="1"/>
  <c r="AI21" i="31"/>
  <c r="AC36" i="47" s="1"/>
  <c r="AH15" i="22" l="1"/>
  <c r="AH17" i="22" s="1"/>
  <c r="AH21" i="22" s="1"/>
  <c r="AI29" i="34"/>
  <c r="AC68" i="47" s="1"/>
  <c r="AC65" i="47"/>
  <c r="AI23" i="9"/>
  <c r="AP8" i="34"/>
  <c r="AJ47" i="47" s="1"/>
  <c r="AP44" i="15"/>
  <c r="T8" i="35"/>
  <c r="AN10" i="31"/>
  <c r="AH25" i="47" s="1"/>
  <c r="AO41" i="15"/>
  <c r="AN8" i="31"/>
  <c r="AH23" i="47" s="1"/>
  <c r="AO18" i="13"/>
  <c r="AN17" i="34"/>
  <c r="AH56" i="47" s="1"/>
  <c r="AN27" i="17"/>
  <c r="AT28" i="17" s="1"/>
  <c r="AN12" i="17"/>
  <c r="AI12" i="9"/>
  <c r="AI13" i="9" s="1"/>
  <c r="AN32" i="15"/>
  <c r="AN15" i="15"/>
  <c r="AJ42" i="18"/>
  <c r="AJ33" i="18"/>
  <c r="AJ46" i="18"/>
  <c r="AJ47" i="18" s="1"/>
  <c r="AN21" i="34"/>
  <c r="AH60" i="47" s="1"/>
  <c r="AN12" i="18"/>
  <c r="AN10" i="34"/>
  <c r="AH49" i="47" s="1"/>
  <c r="AI25" i="31"/>
  <c r="AC40" i="47" s="1"/>
  <c r="AI28" i="9"/>
  <c r="AI30" i="9" s="1"/>
  <c r="AJ36" i="9"/>
  <c r="AJ14" i="18"/>
  <c r="AJ29" i="18"/>
  <c r="AM77" i="20"/>
  <c r="AM69" i="20"/>
  <c r="AN29" i="15"/>
  <c r="AN10" i="12"/>
  <c r="AN11" i="12" s="1"/>
  <c r="AM40" i="20"/>
  <c r="AM41" i="20" s="1"/>
  <c r="AM46" i="20" s="1"/>
  <c r="AM47" i="20" s="1"/>
  <c r="AM35" i="20"/>
  <c r="AM36" i="20" s="1"/>
  <c r="AN33" i="20" s="1"/>
  <c r="AJ33" i="17"/>
  <c r="AJ46" i="17"/>
  <c r="AJ47" i="17" s="1"/>
  <c r="AJ42" i="17"/>
  <c r="AN8" i="28"/>
  <c r="AN19" i="16"/>
  <c r="AN21" i="16" s="1"/>
  <c r="AN26" i="11"/>
  <c r="AN27" i="11" s="1"/>
  <c r="AN12" i="37"/>
  <c r="AO38" i="12"/>
  <c r="AN39" i="16"/>
  <c r="AN40" i="16" s="1"/>
  <c r="AO24" i="10"/>
  <c r="AO26" i="10" s="1"/>
  <c r="AN48" i="19"/>
  <c r="AT13" i="37"/>
  <c r="AT40" i="12"/>
  <c r="AT52" i="12"/>
  <c r="AN11" i="28" l="1"/>
  <c r="AH7" i="47" s="1"/>
  <c r="AH4" i="47"/>
  <c r="AN19" i="34"/>
  <c r="AH58" i="47" s="1"/>
  <c r="AN26" i="16"/>
  <c r="AP27" i="16" s="1"/>
  <c r="AN12" i="16"/>
  <c r="AI27" i="31"/>
  <c r="AC42" i="47" s="1"/>
  <c r="AI16" i="22"/>
  <c r="AO10" i="13"/>
  <c r="AO11" i="13" s="1"/>
  <c r="AN32" i="16"/>
  <c r="AN45" i="16"/>
  <c r="AN46" i="16" s="1"/>
  <c r="AN41" i="16"/>
  <c r="AJ34" i="18"/>
  <c r="AJ35" i="18" s="1"/>
  <c r="AJ13" i="18" s="1"/>
  <c r="AJ15" i="18" s="1"/>
  <c r="AJ48" i="18"/>
  <c r="AI11" i="31"/>
  <c r="AC26" i="47" s="1"/>
  <c r="AJ11" i="9"/>
  <c r="AI9" i="8"/>
  <c r="AM81" i="20"/>
  <c r="AM48" i="20"/>
  <c r="AM76" i="20"/>
  <c r="AM78" i="20" s="1"/>
  <c r="AJ16" i="28"/>
  <c r="AD12" i="47" s="1"/>
  <c r="R16" i="29"/>
  <c r="AN14" i="31"/>
  <c r="AH29" i="47" s="1"/>
  <c r="AO24" i="11"/>
  <c r="AJ18" i="28"/>
  <c r="AD14" i="47" s="1"/>
  <c r="R18" i="29"/>
  <c r="AN9" i="19"/>
  <c r="AN11" i="19" s="1"/>
  <c r="AN22" i="19" s="1"/>
  <c r="AN23" i="19" s="1"/>
  <c r="AN30" i="15"/>
  <c r="AN36" i="15" s="1"/>
  <c r="AO25" i="12"/>
  <c r="AJ34" i="17"/>
  <c r="AJ35" i="17" s="1"/>
  <c r="AJ13" i="17" s="1"/>
  <c r="AJ15" i="17" s="1"/>
  <c r="AJ48" i="17"/>
  <c r="AM11" i="34"/>
  <c r="S11" i="35"/>
  <c r="AN14" i="34"/>
  <c r="AH53" i="47" s="1"/>
  <c r="AN26" i="20"/>
  <c r="AJ22" i="34"/>
  <c r="AD61" i="47" s="1"/>
  <c r="R22" i="35"/>
  <c r="AT29" i="17"/>
  <c r="AT14" i="17"/>
  <c r="AO44" i="12"/>
  <c r="AO45" i="12" s="1"/>
  <c r="AO11" i="11"/>
  <c r="AO12" i="11" s="1"/>
  <c r="AO20" i="10"/>
  <c r="AO21" i="10" s="1"/>
  <c r="AM12" i="34" l="1"/>
  <c r="AG51" i="47" s="1"/>
  <c r="AG50" i="47"/>
  <c r="AN9" i="20"/>
  <c r="AN10" i="20" s="1"/>
  <c r="AI12" i="31"/>
  <c r="AJ19" i="28"/>
  <c r="AN14" i="28"/>
  <c r="AH10" i="47" s="1"/>
  <c r="AJ16" i="31"/>
  <c r="AD31" i="47" s="1"/>
  <c r="AK11" i="17"/>
  <c r="R16" i="32"/>
  <c r="AJ18" i="31"/>
  <c r="AD33" i="47" s="1"/>
  <c r="AK11" i="18"/>
  <c r="R18" i="32"/>
  <c r="AN17" i="28"/>
  <c r="AH13" i="47" s="1"/>
  <c r="AN49" i="19"/>
  <c r="AN51" i="19" s="1"/>
  <c r="AN36" i="19" s="1"/>
  <c r="AO37" i="19" s="1"/>
  <c r="AN30" i="19"/>
  <c r="AN32" i="19" s="1"/>
  <c r="AN47" i="16"/>
  <c r="AN33" i="16"/>
  <c r="AN34" i="16" s="1"/>
  <c r="AN13" i="16" s="1"/>
  <c r="AN15" i="16" s="1"/>
  <c r="AO10" i="37"/>
  <c r="AO24" i="12"/>
  <c r="AO26" i="12" s="1"/>
  <c r="AP17" i="10"/>
  <c r="AO16" i="37"/>
  <c r="AO62" i="12"/>
  <c r="AO64" i="12" s="1"/>
  <c r="AO53" i="12"/>
  <c r="AO56" i="12" s="1"/>
  <c r="AJ25" i="34"/>
  <c r="AD64" i="47" s="1"/>
  <c r="R25" i="35"/>
  <c r="AT18" i="34"/>
  <c r="AN57" i="47" s="1"/>
  <c r="AM20" i="31"/>
  <c r="AG35" i="47" s="1"/>
  <c r="AN75" i="20"/>
  <c r="N20" i="33"/>
  <c r="S20" i="32"/>
  <c r="AN15" i="31"/>
  <c r="AH30" i="47" s="1"/>
  <c r="AO28" i="15"/>
  <c r="AO16" i="19"/>
  <c r="AO17" i="19" s="1"/>
  <c r="AO42" i="15"/>
  <c r="AO20" i="15"/>
  <c r="AO25" i="11"/>
  <c r="AM15" i="34"/>
  <c r="AG54" i="47" s="1"/>
  <c r="AJ23" i="34"/>
  <c r="AD62" i="47" s="1"/>
  <c r="R23" i="35"/>
  <c r="AM21" i="28"/>
  <c r="AG17" i="47" s="1"/>
  <c r="S21" i="29"/>
  <c r="AO27" i="13"/>
  <c r="AO29" i="13" s="1"/>
  <c r="AO12" i="13"/>
  <c r="AP14" i="16"/>
  <c r="AP28" i="16"/>
  <c r="AN14" i="20"/>
  <c r="AN15" i="20" s="1"/>
  <c r="AN20" i="20"/>
  <c r="AN21" i="20" s="1"/>
  <c r="AN34" i="20" s="1"/>
  <c r="S12" i="35" l="1"/>
  <c r="AI22" i="9"/>
  <c r="AI24" i="9" s="1"/>
  <c r="AI23" i="31" s="1"/>
  <c r="AC38" i="47" s="1"/>
  <c r="AC27" i="47"/>
  <c r="AJ22" i="28"/>
  <c r="AD18" i="47" s="1"/>
  <c r="AD15" i="47"/>
  <c r="AJ26" i="34"/>
  <c r="R19" i="29"/>
  <c r="AJ82" i="20"/>
  <c r="AN17" i="31"/>
  <c r="AH32" i="47" s="1"/>
  <c r="AO11" i="16"/>
  <c r="AN24" i="34"/>
  <c r="AH63" i="47" s="1"/>
  <c r="AN66" i="20"/>
  <c r="AN68" i="20" s="1"/>
  <c r="AO15" i="37"/>
  <c r="AP51" i="12"/>
  <c r="AO17" i="37"/>
  <c r="AP61" i="12"/>
  <c r="AO17" i="11"/>
  <c r="AO18" i="11" s="1"/>
  <c r="AK27" i="18"/>
  <c r="AK28" i="18" s="1"/>
  <c r="AK40" i="18"/>
  <c r="AK41" i="18" s="1"/>
  <c r="AO30" i="13"/>
  <c r="AO9" i="31" s="1"/>
  <c r="AI24" i="47" s="1"/>
  <c r="AP26" i="13"/>
  <c r="AN25" i="20"/>
  <c r="AN27" i="20" s="1"/>
  <c r="AN39" i="20"/>
  <c r="AN19" i="31"/>
  <c r="AH34" i="47" s="1"/>
  <c r="AO29" i="19"/>
  <c r="AP25" i="10"/>
  <c r="AO31" i="19"/>
  <c r="AO38" i="19"/>
  <c r="AO13" i="28"/>
  <c r="AI9" i="47" s="1"/>
  <c r="AO11" i="37"/>
  <c r="AO20" i="18"/>
  <c r="AO22" i="18" s="1"/>
  <c r="AO20" i="17"/>
  <c r="AO22" i="17" s="1"/>
  <c r="AO13" i="15"/>
  <c r="AO14" i="15" s="1"/>
  <c r="AO39" i="12"/>
  <c r="AO41" i="12" s="1"/>
  <c r="AO19" i="13"/>
  <c r="AO21" i="13" s="1"/>
  <c r="AO31" i="12"/>
  <c r="AU32" i="12" s="1"/>
  <c r="AO17" i="9"/>
  <c r="AO18" i="9" s="1"/>
  <c r="AK40" i="17"/>
  <c r="AK41" i="17" s="1"/>
  <c r="AO21" i="19"/>
  <c r="AO43" i="15"/>
  <c r="AO45" i="15" s="1"/>
  <c r="AO21" i="15"/>
  <c r="AQ22" i="15" s="1"/>
  <c r="AP20" i="34"/>
  <c r="AJ59" i="47" s="1"/>
  <c r="T20" i="35"/>
  <c r="S15" i="35"/>
  <c r="AJ37" i="9"/>
  <c r="AJ38" i="9" s="1"/>
  <c r="AJ21" i="31"/>
  <c r="AD36" i="47" s="1"/>
  <c r="R22" i="29" l="1"/>
  <c r="AI15" i="22"/>
  <c r="AI17" i="22" s="1"/>
  <c r="AI21" i="22" s="1"/>
  <c r="AJ29" i="34"/>
  <c r="AD68" i="47" s="1"/>
  <c r="AD65" i="47"/>
  <c r="R26" i="35"/>
  <c r="AQ8" i="34"/>
  <c r="AK47" i="47" s="1"/>
  <c r="AQ44" i="15"/>
  <c r="AO10" i="31"/>
  <c r="AI25" i="47" s="1"/>
  <c r="AP41" i="15"/>
  <c r="AK33" i="17"/>
  <c r="AK46" i="17"/>
  <c r="AK47" i="17" s="1"/>
  <c r="AK42" i="17"/>
  <c r="AO17" i="34"/>
  <c r="AI56" i="47" s="1"/>
  <c r="AO27" i="17"/>
  <c r="AU28" i="17" s="1"/>
  <c r="AO12" i="17"/>
  <c r="AO15" i="15"/>
  <c r="AO32" i="15"/>
  <c r="AO48" i="19"/>
  <c r="AP24" i="10"/>
  <c r="AP26" i="10" s="1"/>
  <c r="AJ23" i="9"/>
  <c r="R21" i="32"/>
  <c r="AK33" i="18"/>
  <c r="AK46" i="18"/>
  <c r="AK47" i="18" s="1"/>
  <c r="AK42" i="18"/>
  <c r="AO21" i="34"/>
  <c r="AI60" i="47" s="1"/>
  <c r="AO12" i="18"/>
  <c r="AO29" i="15"/>
  <c r="AO10" i="12"/>
  <c r="AO11" i="12" s="1"/>
  <c r="AU13" i="37"/>
  <c r="AU52" i="12"/>
  <c r="AU40" i="12"/>
  <c r="AK14" i="18"/>
  <c r="AK29" i="18"/>
  <c r="AN69" i="20"/>
  <c r="AN77" i="20"/>
  <c r="AO8" i="31"/>
  <c r="AI23" i="47" s="1"/>
  <c r="AP18" i="13"/>
  <c r="AO8" i="28"/>
  <c r="AO19" i="16"/>
  <c r="AO21" i="16" s="1"/>
  <c r="AO26" i="11"/>
  <c r="AO27" i="11" s="1"/>
  <c r="AO39" i="16"/>
  <c r="AO40" i="16" s="1"/>
  <c r="AJ25" i="31"/>
  <c r="AD40" i="47" s="1"/>
  <c r="AJ28" i="9"/>
  <c r="AJ30" i="9" s="1"/>
  <c r="AK36" i="9"/>
  <c r="R25" i="32"/>
  <c r="AO12" i="37"/>
  <c r="AP38" i="12"/>
  <c r="AO10" i="34"/>
  <c r="AI49" i="47" s="1"/>
  <c r="AN35" i="20"/>
  <c r="AN36" i="20" s="1"/>
  <c r="AO33" i="20" s="1"/>
  <c r="AN40" i="20"/>
  <c r="AN41" i="20" s="1"/>
  <c r="AN46" i="20" s="1"/>
  <c r="AN47" i="20" s="1"/>
  <c r="R29" i="35" l="1"/>
  <c r="AJ12" i="9"/>
  <c r="AJ13" i="9" s="1"/>
  <c r="R11" i="32" s="1"/>
  <c r="AO11" i="28"/>
  <c r="AI7" i="47" s="1"/>
  <c r="AI4" i="47"/>
  <c r="AN76" i="20"/>
  <c r="AN78" i="20" s="1"/>
  <c r="AN81" i="20"/>
  <c r="AN48" i="20"/>
  <c r="AP10" i="13"/>
  <c r="AP11" i="13" s="1"/>
  <c r="AO14" i="34"/>
  <c r="AI53" i="47" s="1"/>
  <c r="AP25" i="12"/>
  <c r="AO32" i="16"/>
  <c r="AO45" i="16"/>
  <c r="AO46" i="16" s="1"/>
  <c r="AO41" i="16"/>
  <c r="AO9" i="19"/>
  <c r="AO11" i="19" s="1"/>
  <c r="AO22" i="19" s="1"/>
  <c r="AO23" i="19" s="1"/>
  <c r="AO30" i="15"/>
  <c r="AO36" i="15" s="1"/>
  <c r="AK22" i="34"/>
  <c r="AE61" i="47" s="1"/>
  <c r="AP44" i="12"/>
  <c r="AP45" i="12" s="1"/>
  <c r="AP11" i="11"/>
  <c r="AP12" i="11" s="1"/>
  <c r="AP20" i="10"/>
  <c r="AP21" i="10" s="1"/>
  <c r="AK48" i="17"/>
  <c r="AK34" i="17"/>
  <c r="AK35" i="17" s="1"/>
  <c r="AK13" i="17" s="1"/>
  <c r="AK15" i="17" s="1"/>
  <c r="AO19" i="34"/>
  <c r="AI58" i="47" s="1"/>
  <c r="AO12" i="16"/>
  <c r="AO26" i="16"/>
  <c r="AQ27" i="16" s="1"/>
  <c r="AU14" i="17"/>
  <c r="AU29" i="17"/>
  <c r="AO26" i="20"/>
  <c r="AJ27" i="31"/>
  <c r="AD42" i="47" s="1"/>
  <c r="AJ16" i="22"/>
  <c r="R27" i="32"/>
  <c r="AK18" i="28"/>
  <c r="AE14" i="47" s="1"/>
  <c r="AO14" i="31"/>
  <c r="AI29" i="47" s="1"/>
  <c r="AP24" i="11"/>
  <c r="AN11" i="34"/>
  <c r="AK48" i="18"/>
  <c r="AK34" i="18"/>
  <c r="AK35" i="18" s="1"/>
  <c r="AK13" i="18" s="1"/>
  <c r="AK15" i="18" s="1"/>
  <c r="AK16" i="28"/>
  <c r="AE12" i="47" s="1"/>
  <c r="AJ11" i="31" l="1"/>
  <c r="AD26" i="47" s="1"/>
  <c r="AK11" i="9"/>
  <c r="AJ9" i="8"/>
  <c r="AO14" i="28"/>
  <c r="AI10" i="47" s="1"/>
  <c r="AO9" i="20"/>
  <c r="AO10" i="20" s="1"/>
  <c r="AO14" i="20" s="1"/>
  <c r="AO15" i="20" s="1"/>
  <c r="AN12" i="34"/>
  <c r="AH51" i="47" s="1"/>
  <c r="AH50" i="47"/>
  <c r="AK19" i="28"/>
  <c r="AK18" i="31"/>
  <c r="AE33" i="47" s="1"/>
  <c r="AL11" i="18"/>
  <c r="AO15" i="31"/>
  <c r="AI30" i="47" s="1"/>
  <c r="AP28" i="15"/>
  <c r="AU18" i="34"/>
  <c r="AO57" i="47" s="1"/>
  <c r="AK23" i="34"/>
  <c r="AE62" i="47" s="1"/>
  <c r="AO17" i="28"/>
  <c r="AI13" i="47" s="1"/>
  <c r="AK25" i="34"/>
  <c r="AE64" i="47" s="1"/>
  <c r="AP10" i="37"/>
  <c r="AP24" i="12"/>
  <c r="AP26" i="12" s="1"/>
  <c r="AQ17" i="10"/>
  <c r="T10" i="38"/>
  <c r="AO47" i="16"/>
  <c r="AO33" i="16"/>
  <c r="AO34" i="16" s="1"/>
  <c r="AO13" i="16" s="1"/>
  <c r="AO15" i="16" s="1"/>
  <c r="AP27" i="13"/>
  <c r="AP29" i="13" s="1"/>
  <c r="AP12" i="13"/>
  <c r="AP16" i="19"/>
  <c r="AP17" i="19" s="1"/>
  <c r="AP42" i="15"/>
  <c r="AP20" i="15"/>
  <c r="AP25" i="11"/>
  <c r="AN21" i="28"/>
  <c r="AH17" i="47" s="1"/>
  <c r="AK16" i="31"/>
  <c r="AE31" i="47" s="1"/>
  <c r="AL11" i="17"/>
  <c r="AP16" i="37"/>
  <c r="AP62" i="12"/>
  <c r="AP64" i="12" s="1"/>
  <c r="AP53" i="12"/>
  <c r="AP56" i="12" s="1"/>
  <c r="T16" i="38"/>
  <c r="AQ14" i="16"/>
  <c r="AQ28" i="16"/>
  <c r="AO49" i="19"/>
  <c r="AO51" i="19" s="1"/>
  <c r="AO36" i="19" s="1"/>
  <c r="AP37" i="19" s="1"/>
  <c r="AO30" i="19"/>
  <c r="AO32" i="19" s="1"/>
  <c r="AN20" i="31"/>
  <c r="AH35" i="47" s="1"/>
  <c r="AO75" i="20"/>
  <c r="AJ12" i="31" l="1"/>
  <c r="AN15" i="34"/>
  <c r="AH54" i="47" s="1"/>
  <c r="AO20" i="20"/>
  <c r="AO21" i="20" s="1"/>
  <c r="AO34" i="20" s="1"/>
  <c r="R12" i="32"/>
  <c r="AD27" i="47"/>
  <c r="AK22" i="28"/>
  <c r="AE18" i="47" s="1"/>
  <c r="AE15" i="47"/>
  <c r="AK82" i="20"/>
  <c r="AJ22" i="9"/>
  <c r="AJ24" i="9" s="1"/>
  <c r="AJ15" i="22" s="1"/>
  <c r="AJ17" i="22" s="1"/>
  <c r="AJ21" i="22" s="1"/>
  <c r="AK21" i="31"/>
  <c r="AE36" i="47" s="1"/>
  <c r="AK26" i="34"/>
  <c r="AO17" i="31"/>
  <c r="AI32" i="47" s="1"/>
  <c r="AP11" i="16"/>
  <c r="AQ20" i="34"/>
  <c r="AK59" i="47" s="1"/>
  <c r="AP30" i="13"/>
  <c r="AQ26" i="13"/>
  <c r="AO39" i="20"/>
  <c r="AO25" i="20"/>
  <c r="AO27" i="20" s="1"/>
  <c r="AP13" i="28"/>
  <c r="AJ9" i="47" s="1"/>
  <c r="T13" i="29"/>
  <c r="AP15" i="37"/>
  <c r="AQ51" i="12"/>
  <c r="T15" i="38"/>
  <c r="AO24" i="34"/>
  <c r="AI63" i="47" s="1"/>
  <c r="AQ25" i="10"/>
  <c r="AO66" i="20"/>
  <c r="AO68" i="20" s="1"/>
  <c r="AP17" i="37"/>
  <c r="AQ61" i="12"/>
  <c r="AP17" i="11"/>
  <c r="AP18" i="11" s="1"/>
  <c r="T17" i="38"/>
  <c r="AO19" i="31"/>
  <c r="AI34" i="47" s="1"/>
  <c r="AP29" i="19"/>
  <c r="AL40" i="17"/>
  <c r="AL41" i="17" s="1"/>
  <c r="AP11" i="37"/>
  <c r="AP20" i="18"/>
  <c r="AP22" i="18" s="1"/>
  <c r="AP20" i="17"/>
  <c r="AP22" i="17" s="1"/>
  <c r="AP13" i="15"/>
  <c r="AP14" i="15" s="1"/>
  <c r="AP19" i="13"/>
  <c r="AP21" i="13" s="1"/>
  <c r="AP31" i="12"/>
  <c r="AV32" i="12" s="1"/>
  <c r="AP39" i="12"/>
  <c r="AP41" i="12" s="1"/>
  <c r="AP17" i="9"/>
  <c r="AP18" i="9" s="1"/>
  <c r="T11" i="38"/>
  <c r="AL40" i="18"/>
  <c r="AL41" i="18" s="1"/>
  <c r="AL27" i="18"/>
  <c r="AL28" i="18" s="1"/>
  <c r="AP31" i="19"/>
  <c r="AP38" i="19"/>
  <c r="AP21" i="19"/>
  <c r="AP43" i="15"/>
  <c r="AP45" i="15" s="1"/>
  <c r="AP21" i="15"/>
  <c r="AR22" i="15" s="1"/>
  <c r="AJ23" i="31" l="1"/>
  <c r="AD38" i="47" s="1"/>
  <c r="R23" i="32"/>
  <c r="AK29" i="34"/>
  <c r="AE68" i="47" s="1"/>
  <c r="AE65" i="47"/>
  <c r="AK37" i="9"/>
  <c r="AK38" i="9" s="1"/>
  <c r="AK28" i="9" s="1"/>
  <c r="AK30" i="9" s="1"/>
  <c r="AK23" i="9"/>
  <c r="AR8" i="34"/>
  <c r="AL47" i="47" s="1"/>
  <c r="AR44" i="15"/>
  <c r="AP9" i="31"/>
  <c r="AJ24" i="47" s="1"/>
  <c r="T9" i="32"/>
  <c r="AP8" i="28"/>
  <c r="AP19" i="16"/>
  <c r="AP21" i="16" s="1"/>
  <c r="AP26" i="11"/>
  <c r="AP27" i="11" s="1"/>
  <c r="T8" i="29"/>
  <c r="AP12" i="37"/>
  <c r="AQ38" i="12"/>
  <c r="T12" i="38"/>
  <c r="AP29" i="15"/>
  <c r="AP10" i="12"/>
  <c r="AP11" i="12" s="1"/>
  <c r="AO77" i="20"/>
  <c r="AO69" i="20"/>
  <c r="AP8" i="31"/>
  <c r="AJ23" i="47" s="1"/>
  <c r="AQ18" i="13"/>
  <c r="T8" i="32"/>
  <c r="AP48" i="19"/>
  <c r="AP39" i="16"/>
  <c r="AP40" i="16" s="1"/>
  <c r="AV13" i="37"/>
  <c r="AV40" i="12"/>
  <c r="AV52" i="12"/>
  <c r="V13" i="38"/>
  <c r="AL46" i="17"/>
  <c r="AL47" i="17" s="1"/>
  <c r="AL42" i="17"/>
  <c r="AL33" i="17"/>
  <c r="AL29" i="18"/>
  <c r="AL14" i="18"/>
  <c r="AP15" i="15"/>
  <c r="AP32" i="15"/>
  <c r="AO40" i="20"/>
  <c r="AO41" i="20" s="1"/>
  <c r="AO46" i="20" s="1"/>
  <c r="AO47" i="20" s="1"/>
  <c r="AO35" i="20"/>
  <c r="AO36" i="20" s="1"/>
  <c r="AP33" i="20" s="1"/>
  <c r="AP21" i="34"/>
  <c r="AJ60" i="47" s="1"/>
  <c r="AP12" i="18"/>
  <c r="T21" i="35"/>
  <c r="AQ24" i="10"/>
  <c r="AQ26" i="10" s="1"/>
  <c r="AP10" i="31"/>
  <c r="AJ25" i="47" s="1"/>
  <c r="AQ41" i="15"/>
  <c r="T10" i="32"/>
  <c r="AP10" i="34"/>
  <c r="AJ49" i="47" s="1"/>
  <c r="T10" i="35"/>
  <c r="AL46" i="18"/>
  <c r="AL47" i="18" s="1"/>
  <c r="AL33" i="18"/>
  <c r="AL42" i="18"/>
  <c r="AP17" i="34"/>
  <c r="AJ56" i="47" s="1"/>
  <c r="AP12" i="17"/>
  <c r="AP27" i="17"/>
  <c r="AV28" i="17" s="1"/>
  <c r="T17" i="35"/>
  <c r="AK12" i="9" l="1"/>
  <c r="AK13" i="9" s="1"/>
  <c r="AK11" i="31" s="1"/>
  <c r="AE26" i="47" s="1"/>
  <c r="AL36" i="9"/>
  <c r="AK25" i="31"/>
  <c r="AE40" i="47" s="1"/>
  <c r="AP11" i="28"/>
  <c r="AJ7" i="47" s="1"/>
  <c r="AJ4" i="47"/>
  <c r="AO81" i="20"/>
  <c r="AO48" i="20"/>
  <c r="AO76" i="20"/>
  <c r="AO78" i="20" s="1"/>
  <c r="AL48" i="18"/>
  <c r="AL34" i="18"/>
  <c r="AL35" i="18" s="1"/>
  <c r="AL13" i="18" s="1"/>
  <c r="AL15" i="18" s="1"/>
  <c r="AQ10" i="13"/>
  <c r="AQ11" i="13" s="1"/>
  <c r="AP14" i="31"/>
  <c r="AJ29" i="47" s="1"/>
  <c r="AQ24" i="11"/>
  <c r="T14" i="32"/>
  <c r="AK27" i="31"/>
  <c r="AE42" i="47" s="1"/>
  <c r="AK16" i="22"/>
  <c r="AL22" i="34"/>
  <c r="AF61" i="47" s="1"/>
  <c r="AL11" i="9"/>
  <c r="AP19" i="34"/>
  <c r="AJ58" i="47" s="1"/>
  <c r="AP12" i="16"/>
  <c r="AP26" i="16"/>
  <c r="AR27" i="16" s="1"/>
  <c r="T19" i="35"/>
  <c r="AP14" i="34"/>
  <c r="AJ53" i="47" s="1"/>
  <c r="T14" i="35"/>
  <c r="AL18" i="28"/>
  <c r="AF14" i="47" s="1"/>
  <c r="AQ11" i="11"/>
  <c r="AQ12" i="11" s="1"/>
  <c r="AQ20" i="10"/>
  <c r="AQ21" i="10" s="1"/>
  <c r="AQ44" i="12"/>
  <c r="AQ45" i="12" s="1"/>
  <c r="AO11" i="34"/>
  <c r="AV29" i="17"/>
  <c r="AV14" i="17"/>
  <c r="AL16" i="28"/>
  <c r="AF12" i="47" s="1"/>
  <c r="AQ25" i="12"/>
  <c r="AP26" i="20"/>
  <c r="AL48" i="17"/>
  <c r="AL34" i="17"/>
  <c r="AL35" i="17" s="1"/>
  <c r="AL13" i="17" s="1"/>
  <c r="AL15" i="17" s="1"/>
  <c r="AP45" i="16"/>
  <c r="AP46" i="16" s="1"/>
  <c r="AP32" i="16"/>
  <c r="AP41" i="16"/>
  <c r="AP9" i="19"/>
  <c r="AP11" i="19" s="1"/>
  <c r="AP22" i="19" s="1"/>
  <c r="AP23" i="19" s="1"/>
  <c r="AP30" i="15"/>
  <c r="AP36" i="15" s="1"/>
  <c r="AK9" i="8" l="1"/>
  <c r="AO12" i="34"/>
  <c r="AI51" i="47" s="1"/>
  <c r="AI50" i="47"/>
  <c r="T11" i="29"/>
  <c r="AP14" i="28"/>
  <c r="AJ10" i="47" s="1"/>
  <c r="AP9" i="20"/>
  <c r="AP10" i="20" s="1"/>
  <c r="AP20" i="20" s="1"/>
  <c r="AP21" i="20" s="1"/>
  <c r="AP34" i="20" s="1"/>
  <c r="AK12" i="31"/>
  <c r="AL19" i="28"/>
  <c r="AL16" i="31"/>
  <c r="AF31" i="47" s="1"/>
  <c r="AM11" i="17"/>
  <c r="AP15" i="31"/>
  <c r="AJ30" i="47" s="1"/>
  <c r="AQ28" i="15"/>
  <c r="T15" i="32"/>
  <c r="AP47" i="16"/>
  <c r="AP33" i="16"/>
  <c r="AP34" i="16" s="1"/>
  <c r="AP13" i="16" s="1"/>
  <c r="AP15" i="16" s="1"/>
  <c r="AQ27" i="13"/>
  <c r="AQ29" i="13" s="1"/>
  <c r="AQ12" i="13"/>
  <c r="AR28" i="16"/>
  <c r="AR14" i="16"/>
  <c r="AQ10" i="37"/>
  <c r="AQ24" i="12"/>
  <c r="AQ26" i="12" s="1"/>
  <c r="AR17" i="10"/>
  <c r="AV18" i="34"/>
  <c r="AP57" i="47" s="1"/>
  <c r="V18" i="35"/>
  <c r="AL18" i="31"/>
  <c r="AF33" i="47" s="1"/>
  <c r="AM11" i="18"/>
  <c r="AL25" i="34"/>
  <c r="AF64" i="47" s="1"/>
  <c r="AQ16" i="19"/>
  <c r="AQ17" i="19" s="1"/>
  <c r="AQ42" i="15"/>
  <c r="AQ20" i="15"/>
  <c r="AQ25" i="11"/>
  <c r="AO20" i="31"/>
  <c r="AI35" i="47" s="1"/>
  <c r="AP75" i="20"/>
  <c r="AL23" i="34"/>
  <c r="AF62" i="47" s="1"/>
  <c r="AP49" i="19"/>
  <c r="AP51" i="19" s="1"/>
  <c r="AP36" i="19" s="1"/>
  <c r="AQ37" i="19" s="1"/>
  <c r="AP30" i="19"/>
  <c r="AP32" i="19" s="1"/>
  <c r="AP17" i="28"/>
  <c r="AJ13" i="47" s="1"/>
  <c r="T17" i="29"/>
  <c r="AO21" i="28"/>
  <c r="AI17" i="47" s="1"/>
  <c r="AQ16" i="37"/>
  <c r="AQ62" i="12"/>
  <c r="AQ64" i="12" s="1"/>
  <c r="AQ53" i="12"/>
  <c r="AQ56" i="12" s="1"/>
  <c r="AP14" i="20" l="1"/>
  <c r="AP15" i="20" s="1"/>
  <c r="AP39" i="20" s="1"/>
  <c r="AO15" i="34"/>
  <c r="AI54" i="47" s="1"/>
  <c r="T14" i="29"/>
  <c r="AK22" i="9"/>
  <c r="AK24" i="9" s="1"/>
  <c r="AK15" i="22" s="1"/>
  <c r="AK17" i="22" s="1"/>
  <c r="AK21" i="22" s="1"/>
  <c r="AE27" i="47"/>
  <c r="AL82" i="20"/>
  <c r="AF15" i="47"/>
  <c r="AL22" i="28"/>
  <c r="AL26" i="34"/>
  <c r="AP17" i="31"/>
  <c r="AJ32" i="47" s="1"/>
  <c r="AQ11" i="16"/>
  <c r="T17" i="32"/>
  <c r="AQ30" i="13"/>
  <c r="AQ9" i="31" s="1"/>
  <c r="AK24" i="47" s="1"/>
  <c r="AR26" i="13"/>
  <c r="AQ17" i="37"/>
  <c r="AR61" i="12"/>
  <c r="AQ17" i="11"/>
  <c r="AQ18" i="11" s="1"/>
  <c r="AQ21" i="19"/>
  <c r="AQ43" i="15"/>
  <c r="AQ45" i="15" s="1"/>
  <c r="AQ21" i="15"/>
  <c r="AS22" i="15" s="1"/>
  <c r="AR25" i="10"/>
  <c r="AQ11" i="37"/>
  <c r="AQ20" i="18"/>
  <c r="AQ22" i="18" s="1"/>
  <c r="AQ20" i="17"/>
  <c r="AQ22" i="17" s="1"/>
  <c r="AQ13" i="15"/>
  <c r="AQ14" i="15" s="1"/>
  <c r="AQ19" i="13"/>
  <c r="AQ21" i="13" s="1"/>
  <c r="AQ39" i="12"/>
  <c r="AQ41" i="12" s="1"/>
  <c r="AQ31" i="12"/>
  <c r="AW32" i="12" s="1"/>
  <c r="AQ17" i="9"/>
  <c r="AQ18" i="9" s="1"/>
  <c r="AP24" i="34"/>
  <c r="AJ63" i="47" s="1"/>
  <c r="T24" i="35"/>
  <c r="AQ15" i="37"/>
  <c r="AR51" i="12"/>
  <c r="AP66" i="20"/>
  <c r="AP68" i="20" s="1"/>
  <c r="AM27" i="18"/>
  <c r="AM28" i="18" s="1"/>
  <c r="AM40" i="18"/>
  <c r="AM41" i="18" s="1"/>
  <c r="AP19" i="31"/>
  <c r="AJ34" i="47" s="1"/>
  <c r="AQ29" i="19"/>
  <c r="T19" i="32"/>
  <c r="AR20" i="34"/>
  <c r="AL59" i="47" s="1"/>
  <c r="AM40" i="17"/>
  <c r="AM41" i="17" s="1"/>
  <c r="AQ31" i="19"/>
  <c r="AQ38" i="19"/>
  <c r="AQ13" i="28"/>
  <c r="AK9" i="47" s="1"/>
  <c r="AL21" i="31"/>
  <c r="AF36" i="47" s="1"/>
  <c r="AP25" i="20" l="1"/>
  <c r="AP27" i="20" s="1"/>
  <c r="AP35" i="20" s="1"/>
  <c r="AP36" i="20" s="1"/>
  <c r="AQ33" i="20" s="1"/>
  <c r="AK23" i="31"/>
  <c r="AE38" i="47" s="1"/>
  <c r="AL29" i="34"/>
  <c r="AF68" i="47" s="1"/>
  <c r="AF65" i="47"/>
  <c r="AL37" i="9"/>
  <c r="AL38" i="9" s="1"/>
  <c r="AL25" i="31" s="1"/>
  <c r="AF40" i="47" s="1"/>
  <c r="AF18" i="47"/>
  <c r="AL23" i="9"/>
  <c r="AQ10" i="31"/>
  <c r="AK25" i="47" s="1"/>
  <c r="AR41" i="15"/>
  <c r="AQ29" i="15"/>
  <c r="AQ10" i="12"/>
  <c r="AQ11" i="12" s="1"/>
  <c r="AS8" i="34"/>
  <c r="AM47" i="47" s="1"/>
  <c r="AS44" i="15"/>
  <c r="U8" i="35"/>
  <c r="AR24" i="10"/>
  <c r="AR26" i="10" s="1"/>
  <c r="AW13" i="37"/>
  <c r="AW52" i="12"/>
  <c r="AW40" i="12"/>
  <c r="AQ10" i="34"/>
  <c r="AK49" i="47" s="1"/>
  <c r="AQ12" i="37"/>
  <c r="AR38" i="12"/>
  <c r="AM42" i="18"/>
  <c r="AM33" i="18"/>
  <c r="AM46" i="18"/>
  <c r="AM47" i="18" s="1"/>
  <c r="AQ8" i="31"/>
  <c r="AK23" i="47" s="1"/>
  <c r="AR18" i="13"/>
  <c r="AQ48" i="19"/>
  <c r="AQ15" i="15"/>
  <c r="AQ32" i="15"/>
  <c r="AQ39" i="16"/>
  <c r="AQ40" i="16" s="1"/>
  <c r="AM14" i="18"/>
  <c r="AM29" i="18"/>
  <c r="AM42" i="17"/>
  <c r="AM33" i="17"/>
  <c r="AM46" i="17"/>
  <c r="AM47" i="17" s="1"/>
  <c r="AQ17" i="34"/>
  <c r="AK56" i="47" s="1"/>
  <c r="AQ12" i="17"/>
  <c r="AQ27" i="17"/>
  <c r="AW28" i="17" s="1"/>
  <c r="AQ8" i="28"/>
  <c r="AQ19" i="16"/>
  <c r="AQ21" i="16" s="1"/>
  <c r="AQ26" i="11"/>
  <c r="AQ27" i="11" s="1"/>
  <c r="AQ21" i="34"/>
  <c r="AK60" i="47" s="1"/>
  <c r="AQ12" i="18"/>
  <c r="AP77" i="20"/>
  <c r="AP69" i="20"/>
  <c r="AP40" i="20" l="1"/>
  <c r="AP41" i="20" s="1"/>
  <c r="AP46" i="20" s="1"/>
  <c r="AP47" i="20" s="1"/>
  <c r="AP76" i="20" s="1"/>
  <c r="AP78" i="20" s="1"/>
  <c r="AL12" i="9"/>
  <c r="AL13" i="9" s="1"/>
  <c r="AL11" i="31" s="1"/>
  <c r="AF26" i="47" s="1"/>
  <c r="AM36" i="9"/>
  <c r="AL28" i="9"/>
  <c r="AL30" i="9" s="1"/>
  <c r="AL16" i="22" s="1"/>
  <c r="AQ11" i="28"/>
  <c r="AK7" i="47" s="1"/>
  <c r="AK4" i="47"/>
  <c r="AR25" i="12"/>
  <c r="AW29" i="17"/>
  <c r="AW14" i="17"/>
  <c r="AQ9" i="19"/>
  <c r="AQ11" i="19" s="1"/>
  <c r="AQ22" i="19" s="1"/>
  <c r="AQ23" i="19" s="1"/>
  <c r="AQ30" i="15"/>
  <c r="AQ36" i="15" s="1"/>
  <c r="AQ14" i="31"/>
  <c r="AK29" i="47" s="1"/>
  <c r="AR24" i="11"/>
  <c r="AQ32" i="16"/>
  <c r="AQ41" i="16"/>
  <c r="AQ45" i="16"/>
  <c r="AQ46" i="16" s="1"/>
  <c r="AM34" i="18"/>
  <c r="AM35" i="18" s="1"/>
  <c r="AM13" i="18" s="1"/>
  <c r="AM15" i="18" s="1"/>
  <c r="AM48" i="18"/>
  <c r="AR44" i="12"/>
  <c r="AR45" i="12" s="1"/>
  <c r="AR11" i="11"/>
  <c r="AR12" i="11" s="1"/>
  <c r="AR20" i="10"/>
  <c r="AR21" i="10" s="1"/>
  <c r="AQ14" i="34"/>
  <c r="AK53" i="47" s="1"/>
  <c r="AM16" i="28"/>
  <c r="AG12" i="47" s="1"/>
  <c r="S16" i="29"/>
  <c r="AQ19" i="34"/>
  <c r="AK58" i="47" s="1"/>
  <c r="AQ12" i="16"/>
  <c r="AQ26" i="16"/>
  <c r="AS27" i="16" s="1"/>
  <c r="AQ26" i="20"/>
  <c r="AM22" i="34"/>
  <c r="AG61" i="47" s="1"/>
  <c r="S22" i="35"/>
  <c r="AP11" i="34"/>
  <c r="T11" i="35"/>
  <c r="AR10" i="13"/>
  <c r="AR11" i="13" s="1"/>
  <c r="AM48" i="17"/>
  <c r="AM34" i="17"/>
  <c r="AM35" i="17" s="1"/>
  <c r="AM13" i="17" s="1"/>
  <c r="AM15" i="17" s="1"/>
  <c r="AM18" i="28"/>
  <c r="AG14" i="47" s="1"/>
  <c r="S18" i="29"/>
  <c r="AP48" i="20" l="1"/>
  <c r="AP81" i="20"/>
  <c r="AL27" i="31"/>
  <c r="AF42" i="47" s="1"/>
  <c r="AL9" i="8"/>
  <c r="AM11" i="9"/>
  <c r="AP12" i="34"/>
  <c r="AJ51" i="47" s="1"/>
  <c r="AJ50" i="47"/>
  <c r="AQ14" i="28"/>
  <c r="AK10" i="47" s="1"/>
  <c r="AQ9" i="20"/>
  <c r="AQ10" i="20" s="1"/>
  <c r="AQ14" i="20" s="1"/>
  <c r="AQ15" i="20" s="1"/>
  <c r="AL12" i="31"/>
  <c r="AM16" i="31"/>
  <c r="AG31" i="47" s="1"/>
  <c r="AN11" i="17"/>
  <c r="N16" i="33"/>
  <c r="S16" i="32"/>
  <c r="AQ15" i="31"/>
  <c r="AK30" i="47" s="1"/>
  <c r="AR28" i="15"/>
  <c r="AR10" i="37"/>
  <c r="AR24" i="12"/>
  <c r="AR26" i="12" s="1"/>
  <c r="AS17" i="10"/>
  <c r="AS28" i="16"/>
  <c r="AS14" i="16"/>
  <c r="AR16" i="19"/>
  <c r="AR17" i="19" s="1"/>
  <c r="AR42" i="15"/>
  <c r="AR20" i="15"/>
  <c r="AR25" i="11"/>
  <c r="AQ17" i="28"/>
  <c r="AK13" i="47" s="1"/>
  <c r="AR16" i="37"/>
  <c r="AR53" i="12"/>
  <c r="AR56" i="12" s="1"/>
  <c r="AR62" i="12"/>
  <c r="AR64" i="12" s="1"/>
  <c r="AM18" i="31"/>
  <c r="AG33" i="47" s="1"/>
  <c r="AN11" i="18"/>
  <c r="N18" i="33"/>
  <c r="S18" i="32"/>
  <c r="AM19" i="28"/>
  <c r="AG15" i="47" s="1"/>
  <c r="AP21" i="28"/>
  <c r="AJ17" i="47" s="1"/>
  <c r="T21" i="29"/>
  <c r="AM25" i="34"/>
  <c r="AG64" i="47" s="1"/>
  <c r="S25" i="35"/>
  <c r="AQ30" i="19"/>
  <c r="AQ32" i="19" s="1"/>
  <c r="AQ49" i="19"/>
  <c r="AQ51" i="19" s="1"/>
  <c r="AQ36" i="19" s="1"/>
  <c r="AR37" i="19" s="1"/>
  <c r="AW18" i="34"/>
  <c r="AQ57" i="47" s="1"/>
  <c r="AM23" i="34"/>
  <c r="AG62" i="47" s="1"/>
  <c r="S23" i="35"/>
  <c r="AR27" i="13"/>
  <c r="AR29" i="13" s="1"/>
  <c r="AR12" i="13"/>
  <c r="AP20" i="31"/>
  <c r="AJ35" i="47" s="1"/>
  <c r="AQ75" i="20"/>
  <c r="T20" i="32"/>
  <c r="AQ33" i="16"/>
  <c r="AQ34" i="16" s="1"/>
  <c r="AQ13" i="16" s="1"/>
  <c r="AQ15" i="16" s="1"/>
  <c r="AQ47" i="16"/>
  <c r="T12" i="35" l="1"/>
  <c r="AP15" i="34"/>
  <c r="AJ54" i="47" s="1"/>
  <c r="AQ20" i="20"/>
  <c r="AQ21" i="20" s="1"/>
  <c r="AQ34" i="20" s="1"/>
  <c r="AL22" i="9"/>
  <c r="AL24" i="9" s="1"/>
  <c r="AL23" i="31" s="1"/>
  <c r="AF38" i="47" s="1"/>
  <c r="AF27" i="47"/>
  <c r="AM26" i="34"/>
  <c r="AQ17" i="31"/>
  <c r="AK32" i="47" s="1"/>
  <c r="AR11" i="16"/>
  <c r="AR21" i="19"/>
  <c r="AR43" i="15"/>
  <c r="AR45" i="15" s="1"/>
  <c r="AR21" i="15"/>
  <c r="AT22" i="15" s="1"/>
  <c r="AR38" i="19"/>
  <c r="AR31" i="19"/>
  <c r="AQ19" i="31"/>
  <c r="AK34" i="47" s="1"/>
  <c r="AR29" i="19"/>
  <c r="AQ39" i="20"/>
  <c r="AQ25" i="20"/>
  <c r="AQ27" i="20" s="1"/>
  <c r="AS20" i="34"/>
  <c r="AM59" i="47" s="1"/>
  <c r="U20" i="35"/>
  <c r="AM22" i="28"/>
  <c r="AG18" i="47" s="1"/>
  <c r="AM82" i="20"/>
  <c r="S19" i="29"/>
  <c r="AQ24" i="34"/>
  <c r="AK63" i="47" s="1"/>
  <c r="AR17" i="37"/>
  <c r="AS61" i="12"/>
  <c r="AR17" i="11"/>
  <c r="AR18" i="11" s="1"/>
  <c r="AR13" i="28"/>
  <c r="AL9" i="47" s="1"/>
  <c r="AN40" i="18"/>
  <c r="AN41" i="18" s="1"/>
  <c r="AN27" i="18"/>
  <c r="AN28" i="18" s="1"/>
  <c r="AR15" i="37"/>
  <c r="AS51" i="12"/>
  <c r="AS25" i="10"/>
  <c r="AN40" i="17"/>
  <c r="AN41" i="17" s="1"/>
  <c r="AQ66" i="20"/>
  <c r="AQ68" i="20" s="1"/>
  <c r="AR30" i="13"/>
  <c r="AR9" i="31" s="1"/>
  <c r="AL24" i="47" s="1"/>
  <c r="AS26" i="13"/>
  <c r="AR11" i="37"/>
  <c r="AR20" i="18"/>
  <c r="AR22" i="18" s="1"/>
  <c r="AR20" i="17"/>
  <c r="AR22" i="17" s="1"/>
  <c r="AR13" i="15"/>
  <c r="AR14" i="15" s="1"/>
  <c r="AR19" i="13"/>
  <c r="AR21" i="13" s="1"/>
  <c r="AR39" i="12"/>
  <c r="AR41" i="12" s="1"/>
  <c r="AR31" i="12"/>
  <c r="AX32" i="12" s="1"/>
  <c r="AR17" i="9"/>
  <c r="AR18" i="9" s="1"/>
  <c r="AM21" i="31"/>
  <c r="AG36" i="47" s="1"/>
  <c r="T15" i="35" l="1"/>
  <c r="AL15" i="22"/>
  <c r="AL17" i="22" s="1"/>
  <c r="AL21" i="22" s="1"/>
  <c r="S26" i="35"/>
  <c r="AG65" i="47"/>
  <c r="AM29" i="34"/>
  <c r="AG68" i="47" s="1"/>
  <c r="AR21" i="34"/>
  <c r="AL60" i="47" s="1"/>
  <c r="AR12" i="18"/>
  <c r="AR10" i="34"/>
  <c r="AL49" i="47" s="1"/>
  <c r="AR29" i="15"/>
  <c r="AR10" i="12"/>
  <c r="AR11" i="12" s="1"/>
  <c r="AR10" i="31"/>
  <c r="AL25" i="47" s="1"/>
  <c r="AS41" i="15"/>
  <c r="AS24" i="10"/>
  <c r="AS26" i="10" s="1"/>
  <c r="AR12" i="37"/>
  <c r="AS38" i="12"/>
  <c r="AR8" i="28"/>
  <c r="AR19" i="16"/>
  <c r="AR21" i="16" s="1"/>
  <c r="AR26" i="11"/>
  <c r="AR27" i="11" s="1"/>
  <c r="AM23" i="9"/>
  <c r="S21" i="32"/>
  <c r="N21" i="33"/>
  <c r="AN33" i="17"/>
  <c r="AN46" i="17"/>
  <c r="AN47" i="17" s="1"/>
  <c r="AN42" i="17"/>
  <c r="AX13" i="37"/>
  <c r="AX52" i="12"/>
  <c r="AX40" i="12"/>
  <c r="AR8" i="31"/>
  <c r="AL23" i="47" s="1"/>
  <c r="AS18" i="13"/>
  <c r="AM37" i="9"/>
  <c r="AM38" i="9" s="1"/>
  <c r="S22" i="29"/>
  <c r="AQ40" i="20"/>
  <c r="AQ41" i="20" s="1"/>
  <c r="AQ46" i="20" s="1"/>
  <c r="AQ47" i="20" s="1"/>
  <c r="AQ35" i="20"/>
  <c r="AQ36" i="20" s="1"/>
  <c r="AR33" i="20" s="1"/>
  <c r="AT8" i="34"/>
  <c r="AN47" i="47" s="1"/>
  <c r="AT44" i="15"/>
  <c r="AR15" i="15"/>
  <c r="AR32" i="15"/>
  <c r="AR39" i="16"/>
  <c r="AR40" i="16" s="1"/>
  <c r="AQ69" i="20"/>
  <c r="AQ77" i="20"/>
  <c r="AN14" i="18"/>
  <c r="AN29" i="18"/>
  <c r="AR17" i="34"/>
  <c r="AL56" i="47" s="1"/>
  <c r="AR27" i="17"/>
  <c r="AX28" i="17" s="1"/>
  <c r="AR12" i="17"/>
  <c r="AN33" i="18"/>
  <c r="AN46" i="18"/>
  <c r="AN47" i="18" s="1"/>
  <c r="AN42" i="18"/>
  <c r="AR48" i="19"/>
  <c r="S29" i="35" l="1"/>
  <c r="AM12" i="9"/>
  <c r="AM13" i="9" s="1"/>
  <c r="AN11" i="9" s="1"/>
  <c r="AR11" i="28"/>
  <c r="AL7" i="47" s="1"/>
  <c r="AL4" i="47"/>
  <c r="AN16" i="28"/>
  <c r="AH12" i="47" s="1"/>
  <c r="AR19" i="34"/>
  <c r="AL58" i="47" s="1"/>
  <c r="AR12" i="16"/>
  <c r="AR26" i="16"/>
  <c r="AT27" i="16" s="1"/>
  <c r="AR32" i="16"/>
  <c r="AR41" i="16"/>
  <c r="AR45" i="16"/>
  <c r="AR46" i="16" s="1"/>
  <c r="AN48" i="17"/>
  <c r="AN34" i="17"/>
  <c r="AN35" i="17" s="1"/>
  <c r="AN13" i="17" s="1"/>
  <c r="AN15" i="17" s="1"/>
  <c r="AR9" i="19"/>
  <c r="AR11" i="19" s="1"/>
  <c r="AR22" i="19" s="1"/>
  <c r="AR23" i="19" s="1"/>
  <c r="AR30" i="15"/>
  <c r="AR36" i="15" s="1"/>
  <c r="AS25" i="12"/>
  <c r="AS10" i="13"/>
  <c r="AS11" i="13" s="1"/>
  <c r="AQ76" i="20"/>
  <c r="AQ78" i="20" s="1"/>
  <c r="AQ81" i="20"/>
  <c r="AQ48" i="20"/>
  <c r="AS44" i="12"/>
  <c r="AS45" i="12" s="1"/>
  <c r="AS11" i="11"/>
  <c r="AS12" i="11" s="1"/>
  <c r="AS20" i="10"/>
  <c r="AS21" i="10" s="1"/>
  <c r="AX29" i="17"/>
  <c r="AX14" i="17"/>
  <c r="AM11" i="31"/>
  <c r="AG26" i="47" s="1"/>
  <c r="AR14" i="34"/>
  <c r="AL53" i="47" s="1"/>
  <c r="AN18" i="28"/>
  <c r="AH14" i="47" s="1"/>
  <c r="AM25" i="31"/>
  <c r="AG40" i="47" s="1"/>
  <c r="AN36" i="9"/>
  <c r="AM28" i="9"/>
  <c r="AM30" i="9" s="1"/>
  <c r="S25" i="32"/>
  <c r="N25" i="33"/>
  <c r="AR26" i="20"/>
  <c r="AN22" i="34"/>
  <c r="AH61" i="47" s="1"/>
  <c r="AN34" i="18"/>
  <c r="AN35" i="18" s="1"/>
  <c r="AN13" i="18" s="1"/>
  <c r="AN15" i="18" s="1"/>
  <c r="AN48" i="18"/>
  <c r="AQ11" i="34"/>
  <c r="AR14" i="31"/>
  <c r="AL29" i="47" s="1"/>
  <c r="AS24" i="11"/>
  <c r="N11" i="33" l="1"/>
  <c r="AM9" i="8"/>
  <c r="S11" i="32"/>
  <c r="AQ12" i="34"/>
  <c r="AK51" i="47" s="1"/>
  <c r="AK50" i="47"/>
  <c r="AR9" i="20"/>
  <c r="AR10" i="20" s="1"/>
  <c r="AR14" i="20" s="1"/>
  <c r="AR15" i="20" s="1"/>
  <c r="AR14" i="28"/>
  <c r="AL10" i="47" s="1"/>
  <c r="AM12" i="31"/>
  <c r="AN18" i="31"/>
  <c r="AH33" i="47" s="1"/>
  <c r="AO11" i="18"/>
  <c r="AN16" i="31"/>
  <c r="AH31" i="47" s="1"/>
  <c r="AO11" i="17"/>
  <c r="AS16" i="37"/>
  <c r="AS62" i="12"/>
  <c r="AS64" i="12" s="1"/>
  <c r="AS53" i="12"/>
  <c r="AS56" i="12" s="1"/>
  <c r="U16" i="38"/>
  <c r="AR15" i="31"/>
  <c r="AL30" i="47" s="1"/>
  <c r="AS28" i="15"/>
  <c r="AT14" i="16"/>
  <c r="AT28" i="16"/>
  <c r="AN23" i="34"/>
  <c r="AH62" i="47" s="1"/>
  <c r="AQ21" i="28"/>
  <c r="AK17" i="47" s="1"/>
  <c r="AM27" i="31"/>
  <c r="AG42" i="47" s="1"/>
  <c r="AM16" i="22"/>
  <c r="S27" i="32"/>
  <c r="N27" i="33"/>
  <c r="AS16" i="19"/>
  <c r="AS17" i="19" s="1"/>
  <c r="AS42" i="15"/>
  <c r="AS20" i="15"/>
  <c r="AS25" i="11"/>
  <c r="AX18" i="34"/>
  <c r="AR57" i="47" s="1"/>
  <c r="AQ20" i="31"/>
  <c r="AK35" i="47" s="1"/>
  <c r="AR75" i="20"/>
  <c r="AR30" i="19"/>
  <c r="AR32" i="19" s="1"/>
  <c r="AR49" i="19"/>
  <c r="AR51" i="19" s="1"/>
  <c r="AR36" i="19" s="1"/>
  <c r="AS37" i="19" s="1"/>
  <c r="AR47" i="16"/>
  <c r="AR33" i="16"/>
  <c r="AR34" i="16" s="1"/>
  <c r="AR13" i="16" s="1"/>
  <c r="AR15" i="16" s="1"/>
  <c r="AS27" i="13"/>
  <c r="AS29" i="13" s="1"/>
  <c r="AS12" i="13"/>
  <c r="AN25" i="34"/>
  <c r="AH64" i="47" s="1"/>
  <c r="AS10" i="37"/>
  <c r="AS24" i="12"/>
  <c r="AS26" i="12" s="1"/>
  <c r="AT17" i="10"/>
  <c r="O10" i="39"/>
  <c r="L10" i="26"/>
  <c r="U10" i="38"/>
  <c r="AR17" i="28"/>
  <c r="AL13" i="47" s="1"/>
  <c r="AN19" i="28"/>
  <c r="AH15" i="47" s="1"/>
  <c r="AQ15" i="34" l="1"/>
  <c r="AK54" i="47" s="1"/>
  <c r="N12" i="33"/>
  <c r="AG27" i="47"/>
  <c r="AR20" i="20"/>
  <c r="AR21" i="20" s="1"/>
  <c r="AR34" i="20" s="1"/>
  <c r="AN26" i="34"/>
  <c r="AN21" i="31"/>
  <c r="AH36" i="47" s="1"/>
  <c r="S12" i="32"/>
  <c r="AM22" i="9"/>
  <c r="AM24" i="9" s="1"/>
  <c r="AM23" i="31" s="1"/>
  <c r="AG38" i="47" s="1"/>
  <c r="AT20" i="34"/>
  <c r="AN59" i="47" s="1"/>
  <c r="AS15" i="37"/>
  <c r="AT51" i="12"/>
  <c r="O15" i="39"/>
  <c r="U15" i="38"/>
  <c r="L15" i="26"/>
  <c r="AS17" i="37"/>
  <c r="AT61" i="12"/>
  <c r="AS17" i="11"/>
  <c r="AS18" i="11" s="1"/>
  <c r="O17" i="39"/>
  <c r="U17" i="38"/>
  <c r="L17" i="26"/>
  <c r="AS21" i="19"/>
  <c r="AS43" i="15"/>
  <c r="AS45" i="15" s="1"/>
  <c r="AS21" i="15"/>
  <c r="AU22" i="15" s="1"/>
  <c r="AR17" i="31"/>
  <c r="AL32" i="47" s="1"/>
  <c r="AS11" i="16"/>
  <c r="AO40" i="17"/>
  <c r="AO41" i="17" s="1"/>
  <c r="AS38" i="19"/>
  <c r="AS31" i="19"/>
  <c r="AR24" i="34"/>
  <c r="AL63" i="47" s="1"/>
  <c r="AR25" i="20"/>
  <c r="AR27" i="20" s="1"/>
  <c r="AR39" i="20"/>
  <c r="AR66" i="20"/>
  <c r="AR68" i="20" s="1"/>
  <c r="AT25" i="10"/>
  <c r="AS13" i="28"/>
  <c r="AM9" i="47" s="1"/>
  <c r="U13" i="29"/>
  <c r="AO27" i="18"/>
  <c r="AO28" i="18" s="1"/>
  <c r="AO40" i="18"/>
  <c r="AO41" i="18" s="1"/>
  <c r="AR19" i="31"/>
  <c r="AL34" i="47" s="1"/>
  <c r="AS29" i="19"/>
  <c r="AS11" i="37"/>
  <c r="AS20" i="18"/>
  <c r="AS22" i="18" s="1"/>
  <c r="AS20" i="17"/>
  <c r="AS22" i="17" s="1"/>
  <c r="AS13" i="15"/>
  <c r="AS14" i="15" s="1"/>
  <c r="AS19" i="13"/>
  <c r="AS21" i="13" s="1"/>
  <c r="AS31" i="12"/>
  <c r="AY32" i="12" s="1"/>
  <c r="AS39" i="12"/>
  <c r="AS41" i="12" s="1"/>
  <c r="AS17" i="9"/>
  <c r="AS18" i="9" s="1"/>
  <c r="U11" i="38"/>
  <c r="AS30" i="13"/>
  <c r="AT26" i="13"/>
  <c r="AN22" i="28"/>
  <c r="AH18" i="47" s="1"/>
  <c r="AN82" i="20"/>
  <c r="AN29" i="34" l="1"/>
  <c r="AH68" i="47" s="1"/>
  <c r="AH65" i="47"/>
  <c r="S23" i="32"/>
  <c r="N23" i="33"/>
  <c r="AM15" i="22"/>
  <c r="AM17" i="22" s="1"/>
  <c r="AM21" i="22" s="1"/>
  <c r="AN23" i="9"/>
  <c r="AS10" i="31"/>
  <c r="AM25" i="47" s="1"/>
  <c r="AT41" i="15"/>
  <c r="U10" i="32"/>
  <c r="L10" i="24"/>
  <c r="F25" i="50" s="1"/>
  <c r="O10" i="33"/>
  <c r="AS17" i="34"/>
  <c r="AM56" i="47" s="1"/>
  <c r="AS27" i="17"/>
  <c r="AY28" i="17" s="1"/>
  <c r="AS12" i="17"/>
  <c r="U17" i="35"/>
  <c r="AS10" i="34"/>
  <c r="AM49" i="47" s="1"/>
  <c r="U10" i="35"/>
  <c r="AN37" i="9"/>
  <c r="AN38" i="9" s="1"/>
  <c r="AR69" i="20"/>
  <c r="AR77" i="20"/>
  <c r="AS21" i="34"/>
  <c r="AM60" i="47" s="1"/>
  <c r="AS12" i="18"/>
  <c r="U21" i="35"/>
  <c r="AO29" i="18"/>
  <c r="AO14" i="18"/>
  <c r="AO33" i="17"/>
  <c r="AO46" i="17"/>
  <c r="AO47" i="17" s="1"/>
  <c r="AO42" i="17"/>
  <c r="AR35" i="20"/>
  <c r="AR36" i="20" s="1"/>
  <c r="AS33" i="20" s="1"/>
  <c r="AR40" i="20"/>
  <c r="AR41" i="20" s="1"/>
  <c r="AR46" i="20" s="1"/>
  <c r="AR47" i="20" s="1"/>
  <c r="AS39" i="16"/>
  <c r="AS40" i="16" s="1"/>
  <c r="AS8" i="28"/>
  <c r="AS19" i="16"/>
  <c r="AS21" i="16" s="1"/>
  <c r="AS26" i="11"/>
  <c r="AS27" i="11" s="1"/>
  <c r="U8" i="29"/>
  <c r="AS15" i="15"/>
  <c r="AS32" i="15"/>
  <c r="AU8" i="34"/>
  <c r="AO47" i="47" s="1"/>
  <c r="AU44" i="15"/>
  <c r="AS12" i="37"/>
  <c r="AT38" i="12"/>
  <c r="L12" i="26"/>
  <c r="O12" i="39"/>
  <c r="U12" i="38"/>
  <c r="AS9" i="31"/>
  <c r="AM24" i="47" s="1"/>
  <c r="L9" i="24"/>
  <c r="F24" i="50" s="1"/>
  <c r="O9" i="33"/>
  <c r="U9" i="32"/>
  <c r="AO46" i="18"/>
  <c r="AO47" i="18" s="1"/>
  <c r="AO33" i="18"/>
  <c r="AO42" i="18"/>
  <c r="AS29" i="15"/>
  <c r="AS10" i="12"/>
  <c r="AS11" i="12" s="1"/>
  <c r="AY13" i="37"/>
  <c r="AY52" i="12"/>
  <c r="AY40" i="12"/>
  <c r="W13" i="38"/>
  <c r="AS8" i="31"/>
  <c r="AM23" i="47" s="1"/>
  <c r="AT18" i="13"/>
  <c r="U8" i="32"/>
  <c r="L8" i="24"/>
  <c r="F23" i="50" s="1"/>
  <c r="O8" i="33"/>
  <c r="AS48" i="19"/>
  <c r="AT24" i="10"/>
  <c r="AT26" i="10" s="1"/>
  <c r="AN12" i="9" l="1"/>
  <c r="AN13" i="9" s="1"/>
  <c r="AO11" i="9" s="1"/>
  <c r="AS11" i="28"/>
  <c r="AM7" i="47" s="1"/>
  <c r="AM4" i="47"/>
  <c r="AY29" i="17"/>
  <c r="AY14" i="17"/>
  <c r="AT10" i="13"/>
  <c r="AT11" i="13" s="1"/>
  <c r="AS9" i="19"/>
  <c r="AS11" i="19" s="1"/>
  <c r="AS22" i="19" s="1"/>
  <c r="AS23" i="19" s="1"/>
  <c r="AS30" i="15"/>
  <c r="AS36" i="15" s="1"/>
  <c r="AO18" i="28"/>
  <c r="AI14" i="47" s="1"/>
  <c r="AS45" i="16"/>
  <c r="AS46" i="16" s="1"/>
  <c r="AS41" i="16"/>
  <c r="AS32" i="16"/>
  <c r="AO22" i="34"/>
  <c r="AI61" i="47" s="1"/>
  <c r="AN25" i="31"/>
  <c r="AH40" i="47" s="1"/>
  <c r="AO36" i="9"/>
  <c r="AN28" i="9"/>
  <c r="AN30" i="9" s="1"/>
  <c r="AO34" i="18"/>
  <c r="AO35" i="18" s="1"/>
  <c r="AO13" i="18" s="1"/>
  <c r="AO15" i="18" s="1"/>
  <c r="AO48" i="18"/>
  <c r="AT25" i="12"/>
  <c r="AS14" i="34"/>
  <c r="AM53" i="47" s="1"/>
  <c r="U14" i="35"/>
  <c r="AS26" i="20"/>
  <c r="AO16" i="28"/>
  <c r="AI12" i="47" s="1"/>
  <c r="AS14" i="31"/>
  <c r="AM29" i="47" s="1"/>
  <c r="AT24" i="11"/>
  <c r="O14" i="33"/>
  <c r="L14" i="24"/>
  <c r="F29" i="50" s="1"/>
  <c r="U14" i="32"/>
  <c r="AO48" i="17"/>
  <c r="AO34" i="17"/>
  <c r="AO35" i="17" s="1"/>
  <c r="AO13" i="17" s="1"/>
  <c r="AO15" i="17" s="1"/>
  <c r="AR81" i="20"/>
  <c r="AR48" i="20"/>
  <c r="AR76" i="20"/>
  <c r="AR78" i="20" s="1"/>
  <c r="AT11" i="11"/>
  <c r="AT12" i="11" s="1"/>
  <c r="AT44" i="12"/>
  <c r="AT45" i="12" s="1"/>
  <c r="AT20" i="10"/>
  <c r="AT21" i="10" s="1"/>
  <c r="AS19" i="34"/>
  <c r="AM58" i="47" s="1"/>
  <c r="AS12" i="16"/>
  <c r="AS26" i="16"/>
  <c r="AU27" i="16" s="1"/>
  <c r="U19" i="35"/>
  <c r="AR11" i="34"/>
  <c r="AN9" i="8" l="1"/>
  <c r="AN11" i="31"/>
  <c r="AH26" i="47" s="1"/>
  <c r="AR12" i="34"/>
  <c r="AL51" i="47" s="1"/>
  <c r="AL50" i="47"/>
  <c r="AO19" i="28"/>
  <c r="AN12" i="31"/>
  <c r="U11" i="29"/>
  <c r="AS9" i="20"/>
  <c r="AS10" i="20" s="1"/>
  <c r="AS20" i="20" s="1"/>
  <c r="AS21" i="20" s="1"/>
  <c r="AS34" i="20" s="1"/>
  <c r="AS14" i="28"/>
  <c r="AM10" i="47" s="1"/>
  <c r="AO16" i="31"/>
  <c r="AI31" i="47" s="1"/>
  <c r="AP11" i="17"/>
  <c r="AS17" i="28"/>
  <c r="AM13" i="47" s="1"/>
  <c r="U17" i="29"/>
  <c r="AS15" i="31"/>
  <c r="AM30" i="47" s="1"/>
  <c r="AT28" i="15"/>
  <c r="U15" i="32"/>
  <c r="L15" i="24"/>
  <c r="F30" i="50" s="1"/>
  <c r="O15" i="33"/>
  <c r="AT10" i="37"/>
  <c r="AT24" i="12"/>
  <c r="AT26" i="12" s="1"/>
  <c r="AU17" i="10"/>
  <c r="AO23" i="34"/>
  <c r="AI62" i="47" s="1"/>
  <c r="AN27" i="31"/>
  <c r="AH42" i="47" s="1"/>
  <c r="AN16" i="22"/>
  <c r="AS47" i="16"/>
  <c r="AS33" i="16"/>
  <c r="AS34" i="16" s="1"/>
  <c r="AS13" i="16" s="1"/>
  <c r="AS15" i="16" s="1"/>
  <c r="AT27" i="13"/>
  <c r="AT29" i="13" s="1"/>
  <c r="AT12" i="13"/>
  <c r="AO18" i="31"/>
  <c r="AI33" i="47" s="1"/>
  <c r="AP11" i="18"/>
  <c r="AR20" i="31"/>
  <c r="AL35" i="47" s="1"/>
  <c r="AS75" i="20"/>
  <c r="AT16" i="19"/>
  <c r="AT17" i="19" s="1"/>
  <c r="AT42" i="15"/>
  <c r="AT20" i="15"/>
  <c r="AT25" i="11"/>
  <c r="AR21" i="28"/>
  <c r="AL17" i="47" s="1"/>
  <c r="AU14" i="16"/>
  <c r="AU28" i="16"/>
  <c r="AT16" i="37"/>
  <c r="AT62" i="12"/>
  <c r="AT64" i="12" s="1"/>
  <c r="AT53" i="12"/>
  <c r="AT56" i="12" s="1"/>
  <c r="AO25" i="34"/>
  <c r="AI64" i="47" s="1"/>
  <c r="AS49" i="19"/>
  <c r="AS51" i="19" s="1"/>
  <c r="AS36" i="19" s="1"/>
  <c r="AT37" i="19" s="1"/>
  <c r="AS30" i="19"/>
  <c r="AS32" i="19" s="1"/>
  <c r="AY18" i="34"/>
  <c r="AS57" i="47" s="1"/>
  <c r="W18" i="35"/>
  <c r="AR15" i="34" l="1"/>
  <c r="AL54" i="47" s="1"/>
  <c r="AN22" i="9"/>
  <c r="AN24" i="9" s="1"/>
  <c r="AN15" i="22" s="1"/>
  <c r="AN17" i="22" s="1"/>
  <c r="AN21" i="22" s="1"/>
  <c r="AH27" i="47"/>
  <c r="AO82" i="20"/>
  <c r="AI15" i="47"/>
  <c r="AS14" i="20"/>
  <c r="AS15" i="20" s="1"/>
  <c r="AS25" i="20" s="1"/>
  <c r="AS27" i="20" s="1"/>
  <c r="AO22" i="28"/>
  <c r="U14" i="29"/>
  <c r="AO26" i="34"/>
  <c r="AS17" i="31"/>
  <c r="AM32" i="47" s="1"/>
  <c r="AT11" i="16"/>
  <c r="L17" i="24"/>
  <c r="F32" i="50" s="1"/>
  <c r="U17" i="32"/>
  <c r="O17" i="33"/>
  <c r="AU25" i="10"/>
  <c r="AU20" i="34"/>
  <c r="AO59" i="47" s="1"/>
  <c r="AT11" i="37"/>
  <c r="AT20" i="18"/>
  <c r="AT22" i="18" s="1"/>
  <c r="AT20" i="17"/>
  <c r="AT22" i="17" s="1"/>
  <c r="AT13" i="15"/>
  <c r="AT14" i="15" s="1"/>
  <c r="AT19" i="13"/>
  <c r="AT21" i="13" s="1"/>
  <c r="AT39" i="12"/>
  <c r="AT41" i="12" s="1"/>
  <c r="AT31" i="12"/>
  <c r="AZ32" i="12" s="1"/>
  <c r="AT17" i="9"/>
  <c r="AT18" i="9" s="1"/>
  <c r="AS24" i="34"/>
  <c r="AM63" i="47" s="1"/>
  <c r="U24" i="35"/>
  <c r="AT15" i="37"/>
  <c r="AU51" i="12"/>
  <c r="AP27" i="18"/>
  <c r="AP28" i="18" s="1"/>
  <c r="AP40" i="18"/>
  <c r="AP41" i="18" s="1"/>
  <c r="AT38" i="19"/>
  <c r="AT31" i="19"/>
  <c r="AT17" i="37"/>
  <c r="AU61" i="12"/>
  <c r="AT17" i="11"/>
  <c r="AT18" i="11" s="1"/>
  <c r="AT21" i="19"/>
  <c r="AT43" i="15"/>
  <c r="AT45" i="15" s="1"/>
  <c r="AT21" i="15"/>
  <c r="AV22" i="15" s="1"/>
  <c r="AT13" i="28"/>
  <c r="AN9" i="47" s="1"/>
  <c r="AP40" i="17"/>
  <c r="AP41" i="17" s="1"/>
  <c r="AS19" i="31"/>
  <c r="AM34" i="47" s="1"/>
  <c r="AT29" i="19"/>
  <c r="L19" i="24"/>
  <c r="F34" i="50" s="1"/>
  <c r="O19" i="33"/>
  <c r="U19" i="32"/>
  <c r="AS66" i="20"/>
  <c r="AS68" i="20" s="1"/>
  <c r="AT30" i="13"/>
  <c r="AT9" i="31" s="1"/>
  <c r="AN24" i="47" s="1"/>
  <c r="AU26" i="13"/>
  <c r="AO21" i="31"/>
  <c r="AI36" i="47" s="1"/>
  <c r="AN23" i="31" l="1"/>
  <c r="AH38" i="47" s="1"/>
  <c r="AO29" i="34"/>
  <c r="AI68" i="47" s="1"/>
  <c r="AI65" i="47"/>
  <c r="AO37" i="9"/>
  <c r="AO38" i="9" s="1"/>
  <c r="AO28" i="9" s="1"/>
  <c r="AO30" i="9" s="1"/>
  <c r="AI18" i="47"/>
  <c r="AS39" i="20"/>
  <c r="AO23" i="9"/>
  <c r="AV8" i="34"/>
  <c r="AP47" i="47" s="1"/>
  <c r="AV44" i="15"/>
  <c r="V8" i="35"/>
  <c r="AT8" i="28"/>
  <c r="AT19" i="16"/>
  <c r="AT21" i="16" s="1"/>
  <c r="AT26" i="11"/>
  <c r="AT27" i="11" s="1"/>
  <c r="AT29" i="15"/>
  <c r="AT10" i="12"/>
  <c r="AT11" i="12" s="1"/>
  <c r="AZ13" i="37"/>
  <c r="AZ52" i="12"/>
  <c r="AZ40" i="12"/>
  <c r="AP42" i="18"/>
  <c r="AP33" i="18"/>
  <c r="AP46" i="18"/>
  <c r="AP47" i="18" s="1"/>
  <c r="AT12" i="37"/>
  <c r="AU38" i="12"/>
  <c r="AS77" i="20"/>
  <c r="AS69" i="20"/>
  <c r="AT48" i="19"/>
  <c r="AT10" i="34"/>
  <c r="AN49" i="47" s="1"/>
  <c r="AS35" i="20"/>
  <c r="AS36" i="20" s="1"/>
  <c r="AT33" i="20" s="1"/>
  <c r="AS40" i="20"/>
  <c r="AT15" i="15"/>
  <c r="AT32" i="15"/>
  <c r="AP29" i="18"/>
  <c r="AP14" i="18"/>
  <c r="AT17" i="34"/>
  <c r="AN56" i="47" s="1"/>
  <c r="AT27" i="17"/>
  <c r="AZ28" i="17" s="1"/>
  <c r="AT12" i="17"/>
  <c r="AT39" i="16"/>
  <c r="AT40" i="16" s="1"/>
  <c r="AT10" i="31"/>
  <c r="AN25" i="47" s="1"/>
  <c r="AU41" i="15"/>
  <c r="AU24" i="10"/>
  <c r="AU26" i="10" s="1"/>
  <c r="AT8" i="31"/>
  <c r="AN23" i="47" s="1"/>
  <c r="AU18" i="13"/>
  <c r="AP33" i="17"/>
  <c r="AP46" i="17"/>
  <c r="AP47" i="17" s="1"/>
  <c r="AP42" i="17"/>
  <c r="AT21" i="34"/>
  <c r="AN60" i="47" s="1"/>
  <c r="AT12" i="18"/>
  <c r="AO12" i="9" l="1"/>
  <c r="AO13" i="9" s="1"/>
  <c r="AO11" i="31" s="1"/>
  <c r="AI26" i="47" s="1"/>
  <c r="AO25" i="31"/>
  <c r="AI40" i="47" s="1"/>
  <c r="AP36" i="9"/>
  <c r="AS41" i="20"/>
  <c r="AS46" i="20" s="1"/>
  <c r="AS47" i="20" s="1"/>
  <c r="AS48" i="20" s="1"/>
  <c r="AT11" i="28"/>
  <c r="AN7" i="47" s="1"/>
  <c r="AN4" i="47"/>
  <c r="AZ29" i="17"/>
  <c r="AZ14" i="17"/>
  <c r="AS11" i="34"/>
  <c r="U11" i="35"/>
  <c r="AO27" i="31"/>
  <c r="AI42" i="47" s="1"/>
  <c r="AO16" i="22"/>
  <c r="AU44" i="12"/>
  <c r="AU45" i="12" s="1"/>
  <c r="AU11" i="11"/>
  <c r="AU12" i="11" s="1"/>
  <c r="AU20" i="10"/>
  <c r="AU21" i="10" s="1"/>
  <c r="AP16" i="28"/>
  <c r="AJ12" i="47" s="1"/>
  <c r="T16" i="29"/>
  <c r="AP48" i="17"/>
  <c r="AP34" i="17"/>
  <c r="AP35" i="17" s="1"/>
  <c r="AP13" i="17" s="1"/>
  <c r="AP15" i="17" s="1"/>
  <c r="AT9" i="19"/>
  <c r="AT11" i="19" s="1"/>
  <c r="AT22" i="19" s="1"/>
  <c r="AT23" i="19" s="1"/>
  <c r="AT30" i="15"/>
  <c r="AT36" i="15" s="1"/>
  <c r="AU25" i="12"/>
  <c r="AU10" i="13"/>
  <c r="AU11" i="13" s="1"/>
  <c r="AP48" i="18"/>
  <c r="AP34" i="18"/>
  <c r="AP35" i="18" s="1"/>
  <c r="AP13" i="18" s="1"/>
  <c r="AP15" i="18" s="1"/>
  <c r="AT14" i="31"/>
  <c r="AN29" i="47" s="1"/>
  <c r="AU24" i="11"/>
  <c r="AT14" i="34"/>
  <c r="AN53" i="47" s="1"/>
  <c r="AT19" i="34"/>
  <c r="AN58" i="47" s="1"/>
  <c r="AT26" i="16"/>
  <c r="AV27" i="16" s="1"/>
  <c r="AT12" i="16"/>
  <c r="AT26" i="20"/>
  <c r="AT41" i="16"/>
  <c r="AT45" i="16"/>
  <c r="AT46" i="16" s="1"/>
  <c r="AT32" i="16"/>
  <c r="AP22" i="34"/>
  <c r="AJ61" i="47" s="1"/>
  <c r="T22" i="35"/>
  <c r="AP18" i="28"/>
  <c r="AJ14" i="47" s="1"/>
  <c r="T18" i="29"/>
  <c r="AP11" i="9" l="1"/>
  <c r="AO9" i="8"/>
  <c r="AS76" i="20"/>
  <c r="AS78" i="20" s="1"/>
  <c r="O20" i="33" s="1"/>
  <c r="AS81" i="20"/>
  <c r="AS12" i="34"/>
  <c r="AM51" i="47" s="1"/>
  <c r="AM50" i="47"/>
  <c r="AT14" i="28"/>
  <c r="AN10" i="47" s="1"/>
  <c r="AT9" i="20"/>
  <c r="AT10" i="20" s="1"/>
  <c r="AT20" i="20" s="1"/>
  <c r="AT21" i="20" s="1"/>
  <c r="AT34" i="20" s="1"/>
  <c r="AO12" i="31"/>
  <c r="AP19" i="28"/>
  <c r="AP18" i="31"/>
  <c r="AJ33" i="47" s="1"/>
  <c r="AQ11" i="18"/>
  <c r="T18" i="32"/>
  <c r="AT15" i="31"/>
  <c r="AN30" i="47" s="1"/>
  <c r="AU28" i="15"/>
  <c r="AP25" i="34"/>
  <c r="AJ64" i="47" s="1"/>
  <c r="T25" i="35"/>
  <c r="AT49" i="19"/>
  <c r="AT51" i="19" s="1"/>
  <c r="AT36" i="19" s="1"/>
  <c r="AU37" i="19" s="1"/>
  <c r="AT30" i="19"/>
  <c r="AT32" i="19" s="1"/>
  <c r="AU10" i="37"/>
  <c r="AU24" i="12"/>
  <c r="AU26" i="12" s="1"/>
  <c r="AV17" i="10"/>
  <c r="AU16" i="19"/>
  <c r="AU17" i="19" s="1"/>
  <c r="AU42" i="15"/>
  <c r="AU20" i="15"/>
  <c r="AU25" i="11"/>
  <c r="AU16" i="37"/>
  <c r="AU53" i="12"/>
  <c r="AU56" i="12" s="1"/>
  <c r="AU62" i="12"/>
  <c r="AU64" i="12" s="1"/>
  <c r="AS15" i="34"/>
  <c r="AM54" i="47" s="1"/>
  <c r="U12" i="35"/>
  <c r="AS21" i="28"/>
  <c r="AM17" i="47" s="1"/>
  <c r="U21" i="29"/>
  <c r="AV14" i="16"/>
  <c r="AV28" i="16"/>
  <c r="AP23" i="34"/>
  <c r="AJ62" i="47" s="1"/>
  <c r="T23" i="35"/>
  <c r="AU27" i="13"/>
  <c r="AU29" i="13" s="1"/>
  <c r="AU12" i="13"/>
  <c r="AZ18" i="34"/>
  <c r="AT57" i="47" s="1"/>
  <c r="AP16" i="31"/>
  <c r="AJ31" i="47" s="1"/>
  <c r="AQ11" i="17"/>
  <c r="T16" i="32"/>
  <c r="AT47" i="16"/>
  <c r="AT33" i="16"/>
  <c r="AT34" i="16" s="1"/>
  <c r="AT13" i="16" s="1"/>
  <c r="AT15" i="16" s="1"/>
  <c r="AT17" i="28"/>
  <c r="AN13" i="47" s="1"/>
  <c r="U20" i="32" l="1"/>
  <c r="AT75" i="20"/>
  <c r="AS20" i="31"/>
  <c r="AM35" i="47" s="1"/>
  <c r="L20" i="24"/>
  <c r="F35" i="50" s="1"/>
  <c r="AO22" i="9"/>
  <c r="AO24" i="9" s="1"/>
  <c r="AO23" i="31" s="1"/>
  <c r="AI38" i="47" s="1"/>
  <c r="AI27" i="47"/>
  <c r="AP22" i="28"/>
  <c r="AJ18" i="47" s="1"/>
  <c r="AJ15" i="47"/>
  <c r="AT14" i="20"/>
  <c r="AT15" i="20" s="1"/>
  <c r="AT25" i="20" s="1"/>
  <c r="AT27" i="20" s="1"/>
  <c r="T19" i="29"/>
  <c r="AP82" i="20"/>
  <c r="AP26" i="34"/>
  <c r="AP21" i="31"/>
  <c r="AJ36" i="47" s="1"/>
  <c r="AT17" i="31"/>
  <c r="AN32" i="47" s="1"/>
  <c r="AU11" i="16"/>
  <c r="AQ40" i="17"/>
  <c r="AQ41" i="17" s="1"/>
  <c r="AU30" i="13"/>
  <c r="AU9" i="31" s="1"/>
  <c r="AO24" i="47" s="1"/>
  <c r="AV26" i="13"/>
  <c r="AT19" i="31"/>
  <c r="AN34" i="47" s="1"/>
  <c r="AU29" i="19"/>
  <c r="AT66" i="20"/>
  <c r="AT68" i="20" s="1"/>
  <c r="AU13" i="28"/>
  <c r="AO9" i="47" s="1"/>
  <c r="AU17" i="37"/>
  <c r="AU17" i="11"/>
  <c r="AU18" i="11" s="1"/>
  <c r="AV61" i="12"/>
  <c r="AU31" i="19"/>
  <c r="AU38" i="19"/>
  <c r="AU15" i="37"/>
  <c r="AV51" i="12"/>
  <c r="AT24" i="34"/>
  <c r="AN63" i="47" s="1"/>
  <c r="AU21" i="19"/>
  <c r="AU43" i="15"/>
  <c r="AU45" i="15" s="1"/>
  <c r="AU21" i="15"/>
  <c r="AW22" i="15" s="1"/>
  <c r="U15" i="35"/>
  <c r="AV25" i="10"/>
  <c r="AQ40" i="18"/>
  <c r="AQ41" i="18" s="1"/>
  <c r="AQ27" i="18"/>
  <c r="AQ28" i="18" s="1"/>
  <c r="AV20" i="34"/>
  <c r="AP59" i="47" s="1"/>
  <c r="V20" i="35"/>
  <c r="AU11" i="37"/>
  <c r="AU20" i="18"/>
  <c r="AU22" i="18" s="1"/>
  <c r="AU20" i="17"/>
  <c r="AU22" i="17" s="1"/>
  <c r="AU13" i="15"/>
  <c r="AU14" i="15" s="1"/>
  <c r="AU19" i="13"/>
  <c r="AU21" i="13" s="1"/>
  <c r="AU31" i="12"/>
  <c r="BA32" i="12" s="1"/>
  <c r="AU39" i="12"/>
  <c r="AU41" i="12" s="1"/>
  <c r="AU17" i="9"/>
  <c r="AU18" i="9" s="1"/>
  <c r="T22" i="29" l="1"/>
  <c r="AO15" i="22"/>
  <c r="AO17" i="22" s="1"/>
  <c r="AO21" i="22" s="1"/>
  <c r="AP37" i="9"/>
  <c r="AP38" i="9" s="1"/>
  <c r="AP25" i="31" s="1"/>
  <c r="AJ40" i="47" s="1"/>
  <c r="AP29" i="34"/>
  <c r="AJ68" i="47" s="1"/>
  <c r="AJ65" i="47"/>
  <c r="T26" i="35"/>
  <c r="AT39" i="20"/>
  <c r="T21" i="32"/>
  <c r="AP23" i="9"/>
  <c r="AU17" i="34"/>
  <c r="AO56" i="47" s="1"/>
  <c r="AU27" i="17"/>
  <c r="BA28" i="17" s="1"/>
  <c r="AU12" i="17"/>
  <c r="AU10" i="34"/>
  <c r="AO49" i="47" s="1"/>
  <c r="AQ14" i="18"/>
  <c r="AQ29" i="18"/>
  <c r="AU12" i="37"/>
  <c r="AV38" i="12"/>
  <c r="AT35" i="20"/>
  <c r="AT36" i="20" s="1"/>
  <c r="AU33" i="20" s="1"/>
  <c r="AT40" i="20"/>
  <c r="AT69" i="20"/>
  <c r="AT77" i="20"/>
  <c r="AU21" i="34"/>
  <c r="AO60" i="47" s="1"/>
  <c r="AU12" i="18"/>
  <c r="AU29" i="15"/>
  <c r="AU10" i="12"/>
  <c r="AU11" i="12" s="1"/>
  <c r="BA13" i="37"/>
  <c r="BA40" i="12"/>
  <c r="BA52" i="12"/>
  <c r="AU10" i="31"/>
  <c r="AO25" i="47" s="1"/>
  <c r="AV41" i="15"/>
  <c r="AQ33" i="17"/>
  <c r="AQ46" i="17"/>
  <c r="AQ47" i="17" s="1"/>
  <c r="AQ42" i="17"/>
  <c r="AV24" i="10"/>
  <c r="AV26" i="10" s="1"/>
  <c r="AU48" i="19"/>
  <c r="AU8" i="31"/>
  <c r="AO23" i="47" s="1"/>
  <c r="AV18" i="13"/>
  <c r="AU8" i="28"/>
  <c r="AU19" i="16"/>
  <c r="AU21" i="16" s="1"/>
  <c r="AU26" i="11"/>
  <c r="AU27" i="11" s="1"/>
  <c r="AU39" i="16"/>
  <c r="AU40" i="16" s="1"/>
  <c r="AQ46" i="18"/>
  <c r="AQ47" i="18" s="1"/>
  <c r="AQ42" i="18"/>
  <c r="AQ33" i="18"/>
  <c r="AU32" i="15"/>
  <c r="AU15" i="15"/>
  <c r="AW8" i="34"/>
  <c r="AQ47" i="47" s="1"/>
  <c r="AW44" i="15"/>
  <c r="T25" i="32" l="1"/>
  <c r="AQ36" i="9"/>
  <c r="AT41" i="20"/>
  <c r="AT46" i="20" s="1"/>
  <c r="AT47" i="20" s="1"/>
  <c r="AT81" i="20" s="1"/>
  <c r="AP28" i="9"/>
  <c r="AP30" i="9" s="1"/>
  <c r="AP27" i="31" s="1"/>
  <c r="AJ42" i="47" s="1"/>
  <c r="T29" i="35"/>
  <c r="AP12" i="9"/>
  <c r="AP13" i="9" s="1"/>
  <c r="AQ11" i="9" s="1"/>
  <c r="AU11" i="28"/>
  <c r="AO7" i="47" s="1"/>
  <c r="AO4" i="47"/>
  <c r="AV25" i="12"/>
  <c r="AQ48" i="18"/>
  <c r="AQ34" i="18"/>
  <c r="AQ35" i="18" s="1"/>
  <c r="AQ13" i="18" s="1"/>
  <c r="AQ15" i="18" s="1"/>
  <c r="AQ22" i="34"/>
  <c r="AK61" i="47" s="1"/>
  <c r="AV10" i="13"/>
  <c r="AV11" i="13" s="1"/>
  <c r="AQ18" i="28"/>
  <c r="AK14" i="47" s="1"/>
  <c r="AQ34" i="17"/>
  <c r="AQ35" i="17" s="1"/>
  <c r="AQ13" i="17" s="1"/>
  <c r="AQ15" i="17" s="1"/>
  <c r="AQ48" i="17"/>
  <c r="AU45" i="16"/>
  <c r="AU46" i="16" s="1"/>
  <c r="AU32" i="16"/>
  <c r="AU41" i="16"/>
  <c r="AU26" i="20"/>
  <c r="AV44" i="12"/>
  <c r="AV45" i="12" s="1"/>
  <c r="AV11" i="11"/>
  <c r="AV12" i="11" s="1"/>
  <c r="AV20" i="10"/>
  <c r="AV21" i="10" s="1"/>
  <c r="AU19" i="34"/>
  <c r="AO58" i="47" s="1"/>
  <c r="AU26" i="16"/>
  <c r="AW27" i="16" s="1"/>
  <c r="AU12" i="16"/>
  <c r="AU9" i="19"/>
  <c r="AU11" i="19" s="1"/>
  <c r="AU22" i="19" s="1"/>
  <c r="AU23" i="19" s="1"/>
  <c r="AU30" i="15"/>
  <c r="AU36" i="15" s="1"/>
  <c r="AT11" i="34"/>
  <c r="BA29" i="17"/>
  <c r="BA14" i="17"/>
  <c r="AU14" i="31"/>
  <c r="AO29" i="47" s="1"/>
  <c r="AV24" i="11"/>
  <c r="AQ16" i="28"/>
  <c r="AK12" i="47" s="1"/>
  <c r="AU14" i="34"/>
  <c r="AO53" i="47" s="1"/>
  <c r="T27" i="32" l="1"/>
  <c r="AT48" i="20"/>
  <c r="AT21" i="28" s="1"/>
  <c r="AN17" i="47" s="1"/>
  <c r="AP16" i="22"/>
  <c r="AT76" i="20"/>
  <c r="AT78" i="20" s="1"/>
  <c r="AT20" i="31" s="1"/>
  <c r="AN35" i="47" s="1"/>
  <c r="T11" i="32"/>
  <c r="AP11" i="31"/>
  <c r="AJ26" i="47" s="1"/>
  <c r="AP9" i="8"/>
  <c r="AT12" i="34"/>
  <c r="AN51" i="47" s="1"/>
  <c r="AN50" i="47"/>
  <c r="AU9" i="20"/>
  <c r="AU10" i="20" s="1"/>
  <c r="AU20" i="20" s="1"/>
  <c r="AU21" i="20" s="1"/>
  <c r="AU34" i="20" s="1"/>
  <c r="AU14" i="28"/>
  <c r="AO10" i="47" s="1"/>
  <c r="AQ19" i="28"/>
  <c r="AQ18" i="31"/>
  <c r="AK33" i="47" s="1"/>
  <c r="AR11" i="18"/>
  <c r="AV10" i="37"/>
  <c r="AV24" i="12"/>
  <c r="AV26" i="12" s="1"/>
  <c r="AW17" i="10"/>
  <c r="V10" i="38"/>
  <c r="AQ25" i="34"/>
  <c r="AK64" i="47" s="1"/>
  <c r="AU49" i="19"/>
  <c r="AU51" i="19" s="1"/>
  <c r="AU36" i="19" s="1"/>
  <c r="AV37" i="19" s="1"/>
  <c r="AU30" i="19"/>
  <c r="AU32" i="19" s="1"/>
  <c r="AV16" i="19"/>
  <c r="AV17" i="19" s="1"/>
  <c r="AV42" i="15"/>
  <c r="AV20" i="15"/>
  <c r="AV25" i="11"/>
  <c r="AU17" i="28"/>
  <c r="AO13" i="47" s="1"/>
  <c r="AQ16" i="31"/>
  <c r="AK31" i="47" s="1"/>
  <c r="AR11" i="17"/>
  <c r="AV16" i="37"/>
  <c r="AV62" i="12"/>
  <c r="AV64" i="12" s="1"/>
  <c r="AV53" i="12"/>
  <c r="AV56" i="12" s="1"/>
  <c r="V16" i="38"/>
  <c r="AV27" i="13"/>
  <c r="AV29" i="13" s="1"/>
  <c r="AV12" i="13"/>
  <c r="BA18" i="34"/>
  <c r="AU57" i="47" s="1"/>
  <c r="AU47" i="16"/>
  <c r="AU33" i="16"/>
  <c r="AU34" i="16" s="1"/>
  <c r="AU13" i="16" s="1"/>
  <c r="AU15" i="16" s="1"/>
  <c r="AQ23" i="34"/>
  <c r="AK62" i="47" s="1"/>
  <c r="AU15" i="31"/>
  <c r="AO30" i="47" s="1"/>
  <c r="AV28" i="15"/>
  <c r="AW14" i="16"/>
  <c r="AW28" i="16"/>
  <c r="AU75" i="20" l="1"/>
  <c r="AT15" i="34"/>
  <c r="AN54" i="47" s="1"/>
  <c r="AP12" i="31"/>
  <c r="AJ27" i="47" s="1"/>
  <c r="AU14" i="20"/>
  <c r="AU15" i="20" s="1"/>
  <c r="AU39" i="20" s="1"/>
  <c r="AQ82" i="20"/>
  <c r="AK15" i="47"/>
  <c r="AQ22" i="28"/>
  <c r="AQ26" i="34"/>
  <c r="AQ21" i="31"/>
  <c r="AK36" i="47" s="1"/>
  <c r="AU17" i="31"/>
  <c r="AO32" i="47" s="1"/>
  <c r="AV11" i="16"/>
  <c r="AU19" i="31"/>
  <c r="AO34" i="47" s="1"/>
  <c r="AV29" i="19"/>
  <c r="AV31" i="19"/>
  <c r="AV38" i="19"/>
  <c r="AU66" i="20"/>
  <c r="AU68" i="20" s="1"/>
  <c r="AV15" i="37"/>
  <c r="AW51" i="12"/>
  <c r="V15" i="38"/>
  <c r="AV21" i="19"/>
  <c r="AV43" i="15"/>
  <c r="AV45" i="15" s="1"/>
  <c r="AV21" i="15"/>
  <c r="AX22" i="15" s="1"/>
  <c r="AU24" i="34"/>
  <c r="AO63" i="47" s="1"/>
  <c r="AV17" i="37"/>
  <c r="AW61" i="12"/>
  <c r="AV17" i="11"/>
  <c r="AV18" i="11" s="1"/>
  <c r="V17" i="38"/>
  <c r="AW20" i="34"/>
  <c r="AQ59" i="47" s="1"/>
  <c r="AV11" i="37"/>
  <c r="AV20" i="18"/>
  <c r="AV22" i="18" s="1"/>
  <c r="AV20" i="17"/>
  <c r="AV22" i="17" s="1"/>
  <c r="AV13" i="15"/>
  <c r="AV14" i="15" s="1"/>
  <c r="AV19" i="13"/>
  <c r="AV21" i="13" s="1"/>
  <c r="AV39" i="12"/>
  <c r="AV41" i="12" s="1"/>
  <c r="AV31" i="12"/>
  <c r="BB32" i="12" s="1"/>
  <c r="AV17" i="9"/>
  <c r="AV18" i="9" s="1"/>
  <c r="V11" i="38"/>
  <c r="AV13" i="28"/>
  <c r="AP9" i="47" s="1"/>
  <c r="V13" i="29"/>
  <c r="AR27" i="18"/>
  <c r="AR28" i="18" s="1"/>
  <c r="AR40" i="18"/>
  <c r="AR41" i="18" s="1"/>
  <c r="AV30" i="13"/>
  <c r="AW26" i="13"/>
  <c r="AR40" i="17"/>
  <c r="AR41" i="17" s="1"/>
  <c r="AW25" i="10"/>
  <c r="T12" i="32" l="1"/>
  <c r="AP22" i="9"/>
  <c r="AP24" i="9" s="1"/>
  <c r="AP23" i="31" s="1"/>
  <c r="AJ38" i="47" s="1"/>
  <c r="T23" i="32"/>
  <c r="AU25" i="20"/>
  <c r="AU27" i="20" s="1"/>
  <c r="AU40" i="20" s="1"/>
  <c r="AU41" i="20" s="1"/>
  <c r="AU46" i="20" s="1"/>
  <c r="AU47" i="20" s="1"/>
  <c r="AQ29" i="34"/>
  <c r="AK68" i="47" s="1"/>
  <c r="AK65" i="47"/>
  <c r="AQ37" i="9"/>
  <c r="AQ38" i="9" s="1"/>
  <c r="AR36" i="9" s="1"/>
  <c r="AK18" i="47"/>
  <c r="AQ23" i="9"/>
  <c r="AV10" i="34"/>
  <c r="AP49" i="47" s="1"/>
  <c r="V10" i="35"/>
  <c r="AX8" i="34"/>
  <c r="AR47" i="47" s="1"/>
  <c r="AX44" i="15"/>
  <c r="AV9" i="31"/>
  <c r="AP24" i="47" s="1"/>
  <c r="V9" i="32"/>
  <c r="BB13" i="37"/>
  <c r="BB40" i="12"/>
  <c r="BB52" i="12"/>
  <c r="X13" i="38"/>
  <c r="AV48" i="19"/>
  <c r="AU77" i="20"/>
  <c r="AU69" i="20"/>
  <c r="AV10" i="31"/>
  <c r="AP25" i="47" s="1"/>
  <c r="AW41" i="15"/>
  <c r="V10" i="32"/>
  <c r="AV12" i="37"/>
  <c r="AW38" i="12"/>
  <c r="V12" i="38"/>
  <c r="AV8" i="31"/>
  <c r="AP23" i="47" s="1"/>
  <c r="AW18" i="13"/>
  <c r="V8" i="32"/>
  <c r="AW24" i="10"/>
  <c r="AW26" i="10" s="1"/>
  <c r="AV39" i="16"/>
  <c r="AV40" i="16" s="1"/>
  <c r="AV29" i="15"/>
  <c r="AV10" i="12"/>
  <c r="AV11" i="12" s="1"/>
  <c r="AR42" i="18"/>
  <c r="AR33" i="18"/>
  <c r="AR46" i="18"/>
  <c r="AR47" i="18" s="1"/>
  <c r="AV32" i="15"/>
  <c r="AV15" i="15"/>
  <c r="AV21" i="34"/>
  <c r="AP60" i="47" s="1"/>
  <c r="AV12" i="18"/>
  <c r="V21" i="35"/>
  <c r="AR33" i="17"/>
  <c r="AR46" i="17"/>
  <c r="AR47" i="17" s="1"/>
  <c r="AR42" i="17"/>
  <c r="AR14" i="18"/>
  <c r="AR29" i="18"/>
  <c r="AV17" i="34"/>
  <c r="AP56" i="47" s="1"/>
  <c r="AV27" i="17"/>
  <c r="BB28" i="17" s="1"/>
  <c r="AV12" i="17"/>
  <c r="V17" i="35"/>
  <c r="AV8" i="28"/>
  <c r="AV19" i="16"/>
  <c r="AV21" i="16" s="1"/>
  <c r="AV26" i="11"/>
  <c r="AV27" i="11" s="1"/>
  <c r="V8" i="29"/>
  <c r="AP15" i="22" l="1"/>
  <c r="AP17" i="22" s="1"/>
  <c r="AP21" i="22" s="1"/>
  <c r="AU35" i="20"/>
  <c r="AU36" i="20" s="1"/>
  <c r="AV33" i="20" s="1"/>
  <c r="AQ28" i="9"/>
  <c r="AQ30" i="9" s="1"/>
  <c r="AQ27" i="31" s="1"/>
  <c r="AK42" i="47" s="1"/>
  <c r="AQ25" i="31"/>
  <c r="AK40" i="47" s="1"/>
  <c r="AQ12" i="9"/>
  <c r="AQ13" i="9" s="1"/>
  <c r="AQ11" i="31" s="1"/>
  <c r="AK26" i="47" s="1"/>
  <c r="AV11" i="28"/>
  <c r="AP7" i="47" s="1"/>
  <c r="AP4" i="47"/>
  <c r="AU81" i="20"/>
  <c r="AU76" i="20"/>
  <c r="AU78" i="20" s="1"/>
  <c r="AU48" i="20"/>
  <c r="AV45" i="16"/>
  <c r="AV46" i="16" s="1"/>
  <c r="AV32" i="16"/>
  <c r="AV41" i="16"/>
  <c r="AR34" i="17"/>
  <c r="AR35" i="17" s="1"/>
  <c r="AR13" i="17" s="1"/>
  <c r="AR15" i="17" s="1"/>
  <c r="AR48" i="17"/>
  <c r="BB29" i="17"/>
  <c r="BB14" i="17"/>
  <c r="AW25" i="12"/>
  <c r="AV14" i="31"/>
  <c r="AP29" i="47" s="1"/>
  <c r="AW24" i="11"/>
  <c r="V14" i="32"/>
  <c r="AR18" i="28"/>
  <c r="AL14" i="47" s="1"/>
  <c r="AV9" i="19"/>
  <c r="AV11" i="19" s="1"/>
  <c r="AV22" i="19" s="1"/>
  <c r="AV23" i="19" s="1"/>
  <c r="AV30" i="15"/>
  <c r="AV36" i="15" s="1"/>
  <c r="AW10" i="13"/>
  <c r="AW11" i="13" s="1"/>
  <c r="AU11" i="34"/>
  <c r="AR34" i="18"/>
  <c r="AR35" i="18" s="1"/>
  <c r="AR13" i="18" s="1"/>
  <c r="AR15" i="18" s="1"/>
  <c r="AR48" i="18"/>
  <c r="AW44" i="12"/>
  <c r="AW45" i="12" s="1"/>
  <c r="AW11" i="11"/>
  <c r="AW12" i="11" s="1"/>
  <c r="AW20" i="10"/>
  <c r="AW21" i="10" s="1"/>
  <c r="AV19" i="34"/>
  <c r="AP58" i="47" s="1"/>
  <c r="AV26" i="16"/>
  <c r="AX27" i="16" s="1"/>
  <c r="AV12" i="16"/>
  <c r="V19" i="35"/>
  <c r="AR22" i="34"/>
  <c r="AL61" i="47" s="1"/>
  <c r="AR16" i="28"/>
  <c r="AL12" i="47" s="1"/>
  <c r="AV14" i="34"/>
  <c r="AP53" i="47" s="1"/>
  <c r="V14" i="35"/>
  <c r="AV26" i="20"/>
  <c r="AQ9" i="8" l="1"/>
  <c r="AR11" i="9"/>
  <c r="AQ16" i="22"/>
  <c r="V11" i="29"/>
  <c r="AU12" i="34"/>
  <c r="AO51" i="47" s="1"/>
  <c r="AO50" i="47"/>
  <c r="AV9" i="20"/>
  <c r="AV10" i="20" s="1"/>
  <c r="AV14" i="20" s="1"/>
  <c r="AV15" i="20" s="1"/>
  <c r="AV14" i="28"/>
  <c r="AP10" i="47" s="1"/>
  <c r="AQ12" i="31"/>
  <c r="AR19" i="28"/>
  <c r="AV17" i="28"/>
  <c r="AP13" i="47" s="1"/>
  <c r="V17" i="29"/>
  <c r="AW16" i="19"/>
  <c r="AW17" i="19" s="1"/>
  <c r="AW42" i="15"/>
  <c r="AW20" i="15"/>
  <c r="AW25" i="11"/>
  <c r="AR18" i="31"/>
  <c r="AL33" i="47" s="1"/>
  <c r="AS11" i="18"/>
  <c r="BB18" i="34"/>
  <c r="AV57" i="47" s="1"/>
  <c r="X18" i="35"/>
  <c r="AV47" i="16"/>
  <c r="AV33" i="16"/>
  <c r="AV34" i="16" s="1"/>
  <c r="AV13" i="16" s="1"/>
  <c r="AV15" i="16" s="1"/>
  <c r="AR23" i="34"/>
  <c r="AL62" i="47" s="1"/>
  <c r="AR16" i="31"/>
  <c r="AL31" i="47" s="1"/>
  <c r="AS11" i="17"/>
  <c r="AW10" i="37"/>
  <c r="AW24" i="12"/>
  <c r="AW26" i="12" s="1"/>
  <c r="AX17" i="10"/>
  <c r="AW16" i="37"/>
  <c r="AW62" i="12"/>
  <c r="AW64" i="12" s="1"/>
  <c r="AW53" i="12"/>
  <c r="AW56" i="12" s="1"/>
  <c r="AR25" i="34"/>
  <c r="AL64" i="47" s="1"/>
  <c r="AW27" i="13"/>
  <c r="AW29" i="13" s="1"/>
  <c r="AW12" i="13"/>
  <c r="AU21" i="28"/>
  <c r="AO17" i="47" s="1"/>
  <c r="AV15" i="31"/>
  <c r="AP30" i="47" s="1"/>
  <c r="AW28" i="15"/>
  <c r="V15" i="32"/>
  <c r="AX14" i="16"/>
  <c r="AX28" i="16"/>
  <c r="AU20" i="31"/>
  <c r="AO35" i="47" s="1"/>
  <c r="AV75" i="20"/>
  <c r="AV49" i="19"/>
  <c r="AV51" i="19" s="1"/>
  <c r="AV36" i="19" s="1"/>
  <c r="AW37" i="19" s="1"/>
  <c r="AV30" i="19"/>
  <c r="AV32" i="19" s="1"/>
  <c r="V14" i="29" l="1"/>
  <c r="AU15" i="34"/>
  <c r="AO54" i="47" s="1"/>
  <c r="AQ22" i="9"/>
  <c r="AQ24" i="9" s="1"/>
  <c r="AQ23" i="31" s="1"/>
  <c r="AK38" i="47" s="1"/>
  <c r="AK27" i="47"/>
  <c r="AR22" i="28"/>
  <c r="AL18" i="47" s="1"/>
  <c r="AL15" i="47"/>
  <c r="AV20" i="20"/>
  <c r="AV21" i="20" s="1"/>
  <c r="AV34" i="20" s="1"/>
  <c r="AR82" i="20"/>
  <c r="AR26" i="34"/>
  <c r="AV17" i="31"/>
  <c r="AP32" i="47" s="1"/>
  <c r="AW11" i="16"/>
  <c r="V17" i="32"/>
  <c r="AW31" i="19"/>
  <c r="AW38" i="19"/>
  <c r="AX25" i="10"/>
  <c r="AW11" i="37"/>
  <c r="AW20" i="18"/>
  <c r="AW22" i="18" s="1"/>
  <c r="AW20" i="17"/>
  <c r="AW22" i="17" s="1"/>
  <c r="AW13" i="15"/>
  <c r="AW14" i="15" s="1"/>
  <c r="AW39" i="12"/>
  <c r="AW41" i="12" s="1"/>
  <c r="AW19" i="13"/>
  <c r="AW21" i="13" s="1"/>
  <c r="AW31" i="12"/>
  <c r="BC32" i="12" s="1"/>
  <c r="AW17" i="9"/>
  <c r="AW18" i="9" s="1"/>
  <c r="AV25" i="20"/>
  <c r="AV27" i="20" s="1"/>
  <c r="AV39" i="20"/>
  <c r="AV24" i="34"/>
  <c r="AP63" i="47" s="1"/>
  <c r="V24" i="35"/>
  <c r="AV66" i="20"/>
  <c r="AV68" i="20" s="1"/>
  <c r="AX20" i="34"/>
  <c r="AR59" i="47" s="1"/>
  <c r="AW15" i="37"/>
  <c r="AX51" i="12"/>
  <c r="AR21" i="31"/>
  <c r="AL36" i="47" s="1"/>
  <c r="AW13" i="28"/>
  <c r="AQ9" i="47" s="1"/>
  <c r="AW17" i="37"/>
  <c r="AX61" i="12"/>
  <c r="AW17" i="11"/>
  <c r="AW18" i="11" s="1"/>
  <c r="AW21" i="19"/>
  <c r="AW43" i="15"/>
  <c r="AW45" i="15" s="1"/>
  <c r="AW21" i="15"/>
  <c r="AY22" i="15" s="1"/>
  <c r="AS40" i="17"/>
  <c r="AS41" i="17" s="1"/>
  <c r="AV19" i="31"/>
  <c r="AP34" i="47" s="1"/>
  <c r="AW29" i="19"/>
  <c r="V19" i="32"/>
  <c r="AW30" i="13"/>
  <c r="AW9" i="31" s="1"/>
  <c r="AQ24" i="47" s="1"/>
  <c r="AX26" i="13"/>
  <c r="AS27" i="18"/>
  <c r="AS28" i="18" s="1"/>
  <c r="AS40" i="18"/>
  <c r="AS41" i="18" s="1"/>
  <c r="AQ15" i="22" l="1"/>
  <c r="AQ17" i="22" s="1"/>
  <c r="AQ21" i="22" s="1"/>
  <c r="AR37" i="9"/>
  <c r="AR38" i="9" s="1"/>
  <c r="AR25" i="31" s="1"/>
  <c r="AL40" i="47" s="1"/>
  <c r="AR29" i="34"/>
  <c r="AL68" i="47" s="1"/>
  <c r="AL65" i="47"/>
  <c r="AR23" i="9"/>
  <c r="AW10" i="31"/>
  <c r="AQ25" i="47" s="1"/>
  <c r="AX41" i="15"/>
  <c r="AV35" i="20"/>
  <c r="AV36" i="20" s="1"/>
  <c r="AW33" i="20" s="1"/>
  <c r="AV40" i="20"/>
  <c r="AV41" i="20" s="1"/>
  <c r="AV46" i="20" s="1"/>
  <c r="AV47" i="20" s="1"/>
  <c r="AW12" i="37"/>
  <c r="AX38" i="12"/>
  <c r="AW15" i="15"/>
  <c r="AW32" i="15"/>
  <c r="AW8" i="31"/>
  <c r="AQ23" i="47" s="1"/>
  <c r="AX18" i="13"/>
  <c r="AS33" i="18"/>
  <c r="AS46" i="18"/>
  <c r="AS47" i="18" s="1"/>
  <c r="AS42" i="18"/>
  <c r="AS33" i="17"/>
  <c r="AS46" i="17"/>
  <c r="AS47" i="17" s="1"/>
  <c r="AS42" i="17"/>
  <c r="AY8" i="34"/>
  <c r="AS47" i="47" s="1"/>
  <c r="AY44" i="15"/>
  <c r="W8" i="35"/>
  <c r="AW17" i="34"/>
  <c r="AQ56" i="47" s="1"/>
  <c r="AW27" i="17"/>
  <c r="BC28" i="17" s="1"/>
  <c r="AW12" i="17"/>
  <c r="AW21" i="34"/>
  <c r="AQ60" i="47" s="1"/>
  <c r="AW12" i="18"/>
  <c r="AV69" i="20"/>
  <c r="AV77" i="20"/>
  <c r="AW8" i="28"/>
  <c r="AW19" i="16"/>
  <c r="AW21" i="16" s="1"/>
  <c r="AW26" i="11"/>
  <c r="AW27" i="11" s="1"/>
  <c r="AW29" i="15"/>
  <c r="AW10" i="12"/>
  <c r="AW11" i="12" s="1"/>
  <c r="AW39" i="16"/>
  <c r="AW40" i="16" s="1"/>
  <c r="AW10" i="34"/>
  <c r="AQ49" i="47" s="1"/>
  <c r="AS29" i="18"/>
  <c r="AS14" i="18"/>
  <c r="AW48" i="19"/>
  <c r="AX24" i="10"/>
  <c r="AX26" i="10" s="1"/>
  <c r="BC13" i="37"/>
  <c r="BC52" i="12"/>
  <c r="BC40" i="12"/>
  <c r="AS36" i="9" l="1"/>
  <c r="AR12" i="9"/>
  <c r="AR13" i="9" s="1"/>
  <c r="AS11" i="9" s="1"/>
  <c r="AR28" i="9"/>
  <c r="AR30" i="9" s="1"/>
  <c r="AR27" i="31" s="1"/>
  <c r="AL42" i="47" s="1"/>
  <c r="AW11" i="28"/>
  <c r="AQ7" i="47" s="1"/>
  <c r="AQ4" i="47"/>
  <c r="AW32" i="16"/>
  <c r="AW41" i="16"/>
  <c r="AW45" i="16"/>
  <c r="AW46" i="16" s="1"/>
  <c r="AS16" i="28"/>
  <c r="AM12" i="47" s="1"/>
  <c r="U16" i="29"/>
  <c r="AW14" i="34"/>
  <c r="AQ53" i="47" s="1"/>
  <c r="AS22" i="34"/>
  <c r="AM61" i="47" s="1"/>
  <c r="U22" i="35"/>
  <c r="AV11" i="34"/>
  <c r="V11" i="35"/>
  <c r="AX25" i="12"/>
  <c r="AS48" i="17"/>
  <c r="AS34" i="17"/>
  <c r="AS35" i="17" s="1"/>
  <c r="AS13" i="17" s="1"/>
  <c r="AS15" i="17" s="1"/>
  <c r="AR9" i="8"/>
  <c r="AS18" i="28"/>
  <c r="AM14" i="47" s="1"/>
  <c r="U18" i="29"/>
  <c r="BC14" i="17"/>
  <c r="BC29" i="17"/>
  <c r="AW9" i="19"/>
  <c r="AW11" i="19" s="1"/>
  <c r="AW22" i="19" s="1"/>
  <c r="AW23" i="19" s="1"/>
  <c r="AW30" i="15"/>
  <c r="AW36" i="15" s="1"/>
  <c r="AX44" i="12"/>
  <c r="AX45" i="12" s="1"/>
  <c r="AX11" i="11"/>
  <c r="AX12" i="11" s="1"/>
  <c r="AX20" i="10"/>
  <c r="AX21" i="10" s="1"/>
  <c r="AV76" i="20"/>
  <c r="AV78" i="20" s="1"/>
  <c r="AV48" i="20"/>
  <c r="AV81" i="20"/>
  <c r="AS48" i="18"/>
  <c r="AS34" i="18"/>
  <c r="AS35" i="18" s="1"/>
  <c r="AS13" i="18" s="1"/>
  <c r="AS15" i="18" s="1"/>
  <c r="AW26" i="20"/>
  <c r="AW14" i="31"/>
  <c r="AQ29" i="47" s="1"/>
  <c r="AX24" i="11"/>
  <c r="AX10" i="13"/>
  <c r="AX11" i="13" s="1"/>
  <c r="AW19" i="34"/>
  <c r="AQ58" i="47" s="1"/>
  <c r="AW12" i="16"/>
  <c r="AW26" i="16"/>
  <c r="AY27" i="16" s="1"/>
  <c r="AR11" i="31" l="1"/>
  <c r="AL26" i="47" s="1"/>
  <c r="AR16" i="22"/>
  <c r="AV12" i="34"/>
  <c r="AP51" i="47" s="1"/>
  <c r="AP50" i="47"/>
  <c r="AW9" i="20"/>
  <c r="AW10" i="20" s="1"/>
  <c r="AW14" i="20" s="1"/>
  <c r="AW15" i="20" s="1"/>
  <c r="AW14" i="28"/>
  <c r="AQ10" i="47" s="1"/>
  <c r="AS16" i="31"/>
  <c r="AM31" i="47" s="1"/>
  <c r="AT11" i="17"/>
  <c r="O16" i="33"/>
  <c r="U16" i="32"/>
  <c r="L16" i="24"/>
  <c r="F31" i="50" s="1"/>
  <c r="AW15" i="31"/>
  <c r="AQ30" i="47" s="1"/>
  <c r="AX28" i="15"/>
  <c r="AS18" i="31"/>
  <c r="AM33" i="47" s="1"/>
  <c r="AT11" i="18"/>
  <c r="O18" i="33"/>
  <c r="L18" i="24"/>
  <c r="F33" i="50" s="1"/>
  <c r="U18" i="32"/>
  <c r="BC18" i="34"/>
  <c r="AW57" i="47" s="1"/>
  <c r="AS19" i="28"/>
  <c r="AM15" i="47" s="1"/>
  <c r="AX16" i="19"/>
  <c r="AX17" i="19" s="1"/>
  <c r="AX42" i="15"/>
  <c r="AX20" i="15"/>
  <c r="AX25" i="11"/>
  <c r="AX27" i="13"/>
  <c r="AX29" i="13" s="1"/>
  <c r="AX12" i="13"/>
  <c r="AY14" i="16"/>
  <c r="AY28" i="16"/>
  <c r="AV21" i="28"/>
  <c r="AP17" i="47" s="1"/>
  <c r="V21" i="29"/>
  <c r="AW47" i="16"/>
  <c r="AW33" i="16"/>
  <c r="AW34" i="16" s="1"/>
  <c r="AW13" i="16" s="1"/>
  <c r="AW15" i="16" s="1"/>
  <c r="AS25" i="34"/>
  <c r="AM64" i="47" s="1"/>
  <c r="U25" i="35"/>
  <c r="AV20" i="31"/>
  <c r="AP35" i="47" s="1"/>
  <c r="AW75" i="20"/>
  <c r="V20" i="32"/>
  <c r="AS23" i="34"/>
  <c r="AM62" i="47" s="1"/>
  <c r="U23" i="35"/>
  <c r="AW17" i="28"/>
  <c r="AQ13" i="47" s="1"/>
  <c r="AX16" i="37"/>
  <c r="AX62" i="12"/>
  <c r="AX64" i="12" s="1"/>
  <c r="AX53" i="12"/>
  <c r="AX56" i="12" s="1"/>
  <c r="AW49" i="19"/>
  <c r="AW51" i="19" s="1"/>
  <c r="AW36" i="19" s="1"/>
  <c r="AX37" i="19" s="1"/>
  <c r="AW30" i="19"/>
  <c r="AW32" i="19" s="1"/>
  <c r="AX10" i="37"/>
  <c r="AX24" i="12"/>
  <c r="AX26" i="12" s="1"/>
  <c r="AY17" i="10"/>
  <c r="AR12" i="31" l="1"/>
  <c r="AR22" i="9" s="1"/>
  <c r="AR24" i="9" s="1"/>
  <c r="AR23" i="31" s="1"/>
  <c r="AL38" i="47" s="1"/>
  <c r="V12" i="35"/>
  <c r="AV15" i="34"/>
  <c r="AP54" i="47" s="1"/>
  <c r="AW20" i="20"/>
  <c r="AW21" i="20" s="1"/>
  <c r="AW34" i="20" s="1"/>
  <c r="AS26" i="34"/>
  <c r="AS21" i="31"/>
  <c r="AM36" i="47" s="1"/>
  <c r="AX17" i="37"/>
  <c r="AY61" i="12"/>
  <c r="AX17" i="11"/>
  <c r="AX18" i="11" s="1"/>
  <c r="AX21" i="19"/>
  <c r="AX43" i="15"/>
  <c r="AX45" i="15" s="1"/>
  <c r="AX21" i="15"/>
  <c r="AZ22" i="15" s="1"/>
  <c r="AW39" i="20"/>
  <c r="AW25" i="20"/>
  <c r="AW27" i="20" s="1"/>
  <c r="AW17" i="31"/>
  <c r="AQ32" i="47" s="1"/>
  <c r="AX11" i="16"/>
  <c r="AX15" i="37"/>
  <c r="AY51" i="12"/>
  <c r="AY20" i="34"/>
  <c r="AS59" i="47" s="1"/>
  <c r="W20" i="35"/>
  <c r="AS22" i="28"/>
  <c r="AM18" i="47" s="1"/>
  <c r="AS82" i="20"/>
  <c r="U19" i="29"/>
  <c r="AW66" i="20"/>
  <c r="AW68" i="20" s="1"/>
  <c r="V15" i="35"/>
  <c r="AX13" i="28"/>
  <c r="AR9" i="47" s="1"/>
  <c r="AT40" i="18"/>
  <c r="AT41" i="18" s="1"/>
  <c r="AT27" i="18"/>
  <c r="AT28" i="18" s="1"/>
  <c r="AY25" i="10"/>
  <c r="AW19" i="31"/>
  <c r="AQ34" i="47" s="1"/>
  <c r="AX29" i="19"/>
  <c r="AW24" i="34"/>
  <c r="AQ63" i="47" s="1"/>
  <c r="AY26" i="13"/>
  <c r="AX30" i="13"/>
  <c r="AX9" i="31" s="1"/>
  <c r="AR24" i="47" s="1"/>
  <c r="AX11" i="37"/>
  <c r="AX20" i="17"/>
  <c r="AX22" i="17" s="1"/>
  <c r="AX20" i="18"/>
  <c r="AX22" i="18" s="1"/>
  <c r="AX13" i="15"/>
  <c r="AX14" i="15" s="1"/>
  <c r="AX19" i="13"/>
  <c r="AX21" i="13" s="1"/>
  <c r="AX39" i="12"/>
  <c r="AX41" i="12" s="1"/>
  <c r="AX31" i="12"/>
  <c r="BD32" i="12" s="1"/>
  <c r="AX17" i="9"/>
  <c r="AX18" i="9" s="1"/>
  <c r="AX31" i="19"/>
  <c r="AX38" i="19"/>
  <c r="AT40" i="17"/>
  <c r="AT41" i="17" s="1"/>
  <c r="AL27" i="47" l="1"/>
  <c r="AS29" i="34"/>
  <c r="AM68" i="47" s="1"/>
  <c r="AM65" i="47"/>
  <c r="AR15" i="22"/>
  <c r="AR17" i="22" s="1"/>
  <c r="AR21" i="22" s="1"/>
  <c r="O21" i="33"/>
  <c r="U21" i="32"/>
  <c r="L21" i="24"/>
  <c r="F36" i="50" s="1"/>
  <c r="U26" i="35"/>
  <c r="AS23" i="9"/>
  <c r="AZ8" i="34"/>
  <c r="AT47" i="47" s="1"/>
  <c r="AZ44" i="15"/>
  <c r="AS37" i="9"/>
  <c r="AS38" i="9" s="1"/>
  <c r="U22" i="29"/>
  <c r="AW40" i="20"/>
  <c r="AW41" i="20" s="1"/>
  <c r="AW46" i="20" s="1"/>
  <c r="AW47" i="20" s="1"/>
  <c r="AW35" i="20"/>
  <c r="AW36" i="20" s="1"/>
  <c r="AX33" i="20" s="1"/>
  <c r="AX29" i="15"/>
  <c r="AX10" i="12"/>
  <c r="AX11" i="12" s="1"/>
  <c r="AX10" i="31"/>
  <c r="AR25" i="47" s="1"/>
  <c r="AY41" i="15"/>
  <c r="BD13" i="37"/>
  <c r="BD40" i="12"/>
  <c r="BD52" i="12"/>
  <c r="AX8" i="31"/>
  <c r="AR23" i="47" s="1"/>
  <c r="AY18" i="13"/>
  <c r="AT29" i="18"/>
  <c r="AT14" i="18"/>
  <c r="AY24" i="10"/>
  <c r="AY26" i="10" s="1"/>
  <c r="AX12" i="37"/>
  <c r="AY38" i="12"/>
  <c r="AT46" i="17"/>
  <c r="AT47" i="17" s="1"/>
  <c r="AT42" i="17"/>
  <c r="AT33" i="17"/>
  <c r="AX15" i="15"/>
  <c r="AX32" i="15"/>
  <c r="AT46" i="18"/>
  <c r="AT47" i="18" s="1"/>
  <c r="AT42" i="18"/>
  <c r="AT33" i="18"/>
  <c r="AW77" i="20"/>
  <c r="AW69" i="20"/>
  <c r="AX21" i="34"/>
  <c r="AR60" i="47" s="1"/>
  <c r="AX12" i="18"/>
  <c r="AX39" i="16"/>
  <c r="AX40" i="16" s="1"/>
  <c r="AX8" i="28"/>
  <c r="AX19" i="16"/>
  <c r="AX21" i="16" s="1"/>
  <c r="AX26" i="11"/>
  <c r="AX27" i="11" s="1"/>
  <c r="AX10" i="34"/>
  <c r="AR49" i="47" s="1"/>
  <c r="AX17" i="34"/>
  <c r="AR56" i="47" s="1"/>
  <c r="AX27" i="17"/>
  <c r="BD28" i="17" s="1"/>
  <c r="AX12" i="17"/>
  <c r="AX48" i="19"/>
  <c r="U29" i="35" l="1"/>
  <c r="AS12" i="9"/>
  <c r="AS13" i="9" s="1"/>
  <c r="AS11" i="31" s="1"/>
  <c r="AM26" i="47" s="1"/>
  <c r="AX11" i="28"/>
  <c r="AR7" i="47" s="1"/>
  <c r="AR4" i="47"/>
  <c r="AX26" i="20"/>
  <c r="AY11" i="11"/>
  <c r="AY12" i="11" s="1"/>
  <c r="AY20" i="10"/>
  <c r="AY21" i="10" s="1"/>
  <c r="AY44" i="12"/>
  <c r="AY45" i="12" s="1"/>
  <c r="AX14" i="34"/>
  <c r="AR53" i="47" s="1"/>
  <c r="AX14" i="31"/>
  <c r="AR29" i="47" s="1"/>
  <c r="AY24" i="11"/>
  <c r="AS25" i="31"/>
  <c r="AM40" i="47" s="1"/>
  <c r="AS28" i="9"/>
  <c r="AS30" i="9" s="1"/>
  <c r="AT36" i="9"/>
  <c r="O25" i="33"/>
  <c r="L25" i="24"/>
  <c r="F40" i="50" s="1"/>
  <c r="U25" i="32"/>
  <c r="AT22" i="34"/>
  <c r="AN61" i="47" s="1"/>
  <c r="AX19" i="34"/>
  <c r="AR58" i="47" s="1"/>
  <c r="AX12" i="16"/>
  <c r="AX26" i="16"/>
  <c r="AZ27" i="16" s="1"/>
  <c r="AT16" i="28"/>
  <c r="AN12" i="47" s="1"/>
  <c r="AT48" i="17"/>
  <c r="AT34" i="17"/>
  <c r="AT35" i="17" s="1"/>
  <c r="AT13" i="17" s="1"/>
  <c r="AT15" i="17" s="1"/>
  <c r="AY10" i="13"/>
  <c r="AY11" i="13" s="1"/>
  <c r="AW81" i="20"/>
  <c r="AW76" i="20"/>
  <c r="AW78" i="20" s="1"/>
  <c r="AW48" i="20"/>
  <c r="AT48" i="18"/>
  <c r="AT34" i="18"/>
  <c r="AT35" i="18" s="1"/>
  <c r="AT13" i="18" s="1"/>
  <c r="AT15" i="18" s="1"/>
  <c r="AW11" i="34"/>
  <c r="BD29" i="17"/>
  <c r="BD14" i="17"/>
  <c r="AY25" i="12"/>
  <c r="AX9" i="19"/>
  <c r="AX11" i="19" s="1"/>
  <c r="AX22" i="19" s="1"/>
  <c r="AX23" i="19" s="1"/>
  <c r="AX30" i="15"/>
  <c r="AX36" i="15" s="1"/>
  <c r="AX45" i="16"/>
  <c r="AX46" i="16" s="1"/>
  <c r="AX32" i="16"/>
  <c r="AX41" i="16"/>
  <c r="AT18" i="28"/>
  <c r="AN14" i="47" s="1"/>
  <c r="O11" i="33" l="1"/>
  <c r="U11" i="32"/>
  <c r="L11" i="24"/>
  <c r="F26" i="50" s="1"/>
  <c r="AS9" i="8"/>
  <c r="AT11" i="9"/>
  <c r="AX14" i="28"/>
  <c r="AR10" i="47" s="1"/>
  <c r="AW12" i="34"/>
  <c r="AQ51" i="47" s="1"/>
  <c r="AQ50" i="47"/>
  <c r="AS12" i="31"/>
  <c r="AX9" i="20"/>
  <c r="AX10" i="20" s="1"/>
  <c r="AX14" i="20" s="1"/>
  <c r="AX15" i="20" s="1"/>
  <c r="AT16" i="31"/>
  <c r="AN31" i="47" s="1"/>
  <c r="AU11" i="17"/>
  <c r="AX15" i="31"/>
  <c r="AR30" i="47" s="1"/>
  <c r="AY28" i="15"/>
  <c r="AZ28" i="16"/>
  <c r="AZ14" i="16"/>
  <c r="AX17" i="28"/>
  <c r="AR13" i="47" s="1"/>
  <c r="AT18" i="31"/>
  <c r="AN33" i="47" s="1"/>
  <c r="AU11" i="18"/>
  <c r="AT25" i="34"/>
  <c r="AN64" i="47" s="1"/>
  <c r="AW21" i="28"/>
  <c r="AQ17" i="47" s="1"/>
  <c r="AW20" i="31"/>
  <c r="AQ35" i="47" s="1"/>
  <c r="AX75" i="20"/>
  <c r="AS27" i="31"/>
  <c r="AM42" i="47" s="1"/>
  <c r="AS16" i="22"/>
  <c r="O27" i="33"/>
  <c r="L27" i="24"/>
  <c r="F42" i="50" s="1"/>
  <c r="U27" i="32"/>
  <c r="AX33" i="16"/>
  <c r="AX34" i="16" s="1"/>
  <c r="AX13" i="16" s="1"/>
  <c r="AX15" i="16" s="1"/>
  <c r="AX47" i="16"/>
  <c r="AY16" i="37"/>
  <c r="AY62" i="12"/>
  <c r="AY64" i="12" s="1"/>
  <c r="AY53" i="12"/>
  <c r="AY56" i="12" s="1"/>
  <c r="W16" i="38"/>
  <c r="AX49" i="19"/>
  <c r="AX51" i="19" s="1"/>
  <c r="AX36" i="19" s="1"/>
  <c r="AY37" i="19" s="1"/>
  <c r="AX30" i="19"/>
  <c r="AX32" i="19" s="1"/>
  <c r="AY27" i="13"/>
  <c r="AY29" i="13" s="1"/>
  <c r="AY12" i="13"/>
  <c r="AY10" i="37"/>
  <c r="AY24" i="12"/>
  <c r="AY26" i="12" s="1"/>
  <c r="AZ17" i="10"/>
  <c r="W10" i="38"/>
  <c r="P10" i="39"/>
  <c r="BD18" i="34"/>
  <c r="AX57" i="47" s="1"/>
  <c r="AT19" i="28"/>
  <c r="AN15" i="47" s="1"/>
  <c r="AY16" i="19"/>
  <c r="AY17" i="19" s="1"/>
  <c r="AY42" i="15"/>
  <c r="AY20" i="15"/>
  <c r="AY25" i="11"/>
  <c r="AT23" i="34"/>
  <c r="AN62" i="47" s="1"/>
  <c r="AW15" i="34" l="1"/>
  <c r="AQ54" i="47" s="1"/>
  <c r="AS22" i="9"/>
  <c r="AS24" i="9" s="1"/>
  <c r="AS23" i="31" s="1"/>
  <c r="AM38" i="47" s="1"/>
  <c r="AM27" i="47"/>
  <c r="AX20" i="20"/>
  <c r="AX21" i="20" s="1"/>
  <c r="AX34" i="20" s="1"/>
  <c r="O12" i="33"/>
  <c r="L12" i="24"/>
  <c r="F27" i="50" s="1"/>
  <c r="U12" i="32"/>
  <c r="AT26" i="34"/>
  <c r="AT21" i="31"/>
  <c r="AN36" i="47" s="1"/>
  <c r="AY31" i="19"/>
  <c r="AY38" i="19"/>
  <c r="AT22" i="28"/>
  <c r="AN18" i="47" s="1"/>
  <c r="AT82" i="20"/>
  <c r="AX17" i="31"/>
  <c r="AR32" i="47" s="1"/>
  <c r="AY11" i="16"/>
  <c r="AZ25" i="10"/>
  <c r="AY15" i="37"/>
  <c r="AZ51" i="12"/>
  <c r="W15" i="38"/>
  <c r="P15" i="39"/>
  <c r="AY11" i="37"/>
  <c r="AY20" i="17"/>
  <c r="AY22" i="17" s="1"/>
  <c r="AY20" i="18"/>
  <c r="AY22" i="18" s="1"/>
  <c r="AY13" i="15"/>
  <c r="AY14" i="15" s="1"/>
  <c r="AY19" i="13"/>
  <c r="AY21" i="13" s="1"/>
  <c r="AY39" i="12"/>
  <c r="AY41" i="12" s="1"/>
  <c r="AY31" i="12"/>
  <c r="BE32" i="12" s="1"/>
  <c r="AY17" i="9"/>
  <c r="AY18" i="9" s="1"/>
  <c r="W11" i="38"/>
  <c r="AY17" i="37"/>
  <c r="AZ61" i="12"/>
  <c r="AY17" i="11"/>
  <c r="AY18" i="11" s="1"/>
  <c r="P17" i="39"/>
  <c r="W17" i="38"/>
  <c r="AX39" i="20"/>
  <c r="AX25" i="20"/>
  <c r="AX27" i="20" s="1"/>
  <c r="AZ20" i="34"/>
  <c r="AT59" i="47" s="1"/>
  <c r="AY13" i="28"/>
  <c r="AS9" i="47" s="1"/>
  <c r="W13" i="29"/>
  <c r="AX24" i="34"/>
  <c r="AR63" i="47" s="1"/>
  <c r="AU27" i="18"/>
  <c r="AU28" i="18" s="1"/>
  <c r="AU40" i="18"/>
  <c r="AU41" i="18" s="1"/>
  <c r="AZ26" i="13"/>
  <c r="AY30" i="13"/>
  <c r="AU40" i="17"/>
  <c r="AU41" i="17" s="1"/>
  <c r="AY21" i="19"/>
  <c r="AY21" i="15"/>
  <c r="BA22" i="15" s="1"/>
  <c r="AY43" i="15"/>
  <c r="AY45" i="15" s="1"/>
  <c r="AX19" i="31"/>
  <c r="AR34" i="47" s="1"/>
  <c r="AY29" i="19"/>
  <c r="AX66" i="20"/>
  <c r="AX68" i="20" s="1"/>
  <c r="O23" i="33" l="1"/>
  <c r="U23" i="32"/>
  <c r="L23" i="24"/>
  <c r="F38" i="50" s="1"/>
  <c r="AS15" i="22"/>
  <c r="AS17" i="22" s="1"/>
  <c r="AS21" i="22" s="1"/>
  <c r="AT29" i="34"/>
  <c r="AN68" i="47" s="1"/>
  <c r="AN65" i="47"/>
  <c r="AT23" i="9"/>
  <c r="BA8" i="34"/>
  <c r="AU47" i="47" s="1"/>
  <c r="BA44" i="15"/>
  <c r="AY21" i="34"/>
  <c r="AS60" i="47" s="1"/>
  <c r="AY12" i="18"/>
  <c r="W21" i="35"/>
  <c r="AY17" i="34"/>
  <c r="AS56" i="47" s="1"/>
  <c r="AY27" i="17"/>
  <c r="BE28" i="17" s="1"/>
  <c r="AY12" i="17"/>
  <c r="W17" i="35"/>
  <c r="AX35" i="20"/>
  <c r="AX36" i="20" s="1"/>
  <c r="AY33" i="20" s="1"/>
  <c r="AX40" i="20"/>
  <c r="AX41" i="20" s="1"/>
  <c r="AX46" i="20" s="1"/>
  <c r="AX47" i="20" s="1"/>
  <c r="AY29" i="15"/>
  <c r="AY10" i="12"/>
  <c r="AY11" i="12" s="1"/>
  <c r="AU42" i="17"/>
  <c r="AU33" i="17"/>
  <c r="AU46" i="17"/>
  <c r="AU47" i="17" s="1"/>
  <c r="BE13" i="37"/>
  <c r="BE52" i="12"/>
  <c r="BE40" i="12"/>
  <c r="Y13" i="38"/>
  <c r="AT37" i="9"/>
  <c r="AT38" i="9" s="1"/>
  <c r="AY12" i="37"/>
  <c r="AZ38" i="12"/>
  <c r="W12" i="38"/>
  <c r="P12" i="39"/>
  <c r="AY10" i="34"/>
  <c r="AS49" i="47" s="1"/>
  <c r="W10" i="35"/>
  <c r="AX77" i="20"/>
  <c r="AX69" i="20"/>
  <c r="AY10" i="31"/>
  <c r="AS25" i="47" s="1"/>
  <c r="AZ41" i="15"/>
  <c r="P10" i="33"/>
  <c r="W10" i="32"/>
  <c r="AU29" i="18"/>
  <c r="AU14" i="18"/>
  <c r="AY8" i="31"/>
  <c r="AS23" i="47" s="1"/>
  <c r="AZ18" i="13"/>
  <c r="W8" i="32"/>
  <c r="P8" i="33"/>
  <c r="AZ24" i="10"/>
  <c r="AZ26" i="10" s="1"/>
  <c r="AY39" i="16"/>
  <c r="AY40" i="16" s="1"/>
  <c r="AY9" i="31"/>
  <c r="AS24" i="47" s="1"/>
  <c r="W9" i="32"/>
  <c r="P9" i="33"/>
  <c r="AY48" i="19"/>
  <c r="AU42" i="18"/>
  <c r="AU33" i="18"/>
  <c r="AU46" i="18"/>
  <c r="AU47" i="18" s="1"/>
  <c r="AY8" i="28"/>
  <c r="AY19" i="16"/>
  <c r="AY21" i="16" s="1"/>
  <c r="AY26" i="11"/>
  <c r="AY27" i="11" s="1"/>
  <c r="W8" i="29"/>
  <c r="AY15" i="15"/>
  <c r="AY32" i="15"/>
  <c r="AT12" i="9" l="1"/>
  <c r="AT13" i="9" s="1"/>
  <c r="AU11" i="9" s="1"/>
  <c r="AY11" i="28"/>
  <c r="AS7" i="47" s="1"/>
  <c r="AS4" i="47"/>
  <c r="AU34" i="18"/>
  <c r="AU35" i="18" s="1"/>
  <c r="AU13" i="18" s="1"/>
  <c r="AU15" i="18" s="1"/>
  <c r="AU48" i="18"/>
  <c r="AY32" i="16"/>
  <c r="AY41" i="16"/>
  <c r="AY45" i="16"/>
  <c r="AY46" i="16" s="1"/>
  <c r="AU22" i="34"/>
  <c r="AO61" i="47" s="1"/>
  <c r="AZ25" i="12"/>
  <c r="AZ44" i="12"/>
  <c r="AZ45" i="12" s="1"/>
  <c r="AZ11" i="11"/>
  <c r="AZ12" i="11" s="1"/>
  <c r="AZ20" i="10"/>
  <c r="AZ21" i="10" s="1"/>
  <c r="AU18" i="28"/>
  <c r="AO14" i="47" s="1"/>
  <c r="AY26" i="20"/>
  <c r="AY14" i="34"/>
  <c r="AS53" i="47" s="1"/>
  <c r="W14" i="35"/>
  <c r="AX76" i="20"/>
  <c r="AX78" i="20" s="1"/>
  <c r="AX81" i="20"/>
  <c r="AX48" i="20"/>
  <c r="AU48" i="17"/>
  <c r="AU34" i="17"/>
  <c r="AU35" i="17" s="1"/>
  <c r="AU13" i="17" s="1"/>
  <c r="AU15" i="17" s="1"/>
  <c r="BE29" i="17"/>
  <c r="BE14" i="17"/>
  <c r="AY14" i="31"/>
  <c r="AS29" i="47" s="1"/>
  <c r="AZ24" i="11"/>
  <c r="W14" i="32"/>
  <c r="P14" i="33"/>
  <c r="AY19" i="34"/>
  <c r="AS58" i="47" s="1"/>
  <c r="AY12" i="16"/>
  <c r="AY26" i="16"/>
  <c r="BA27" i="16" s="1"/>
  <c r="W19" i="35"/>
  <c r="AZ10" i="13"/>
  <c r="AZ11" i="13" s="1"/>
  <c r="AT11" i="31"/>
  <c r="AN26" i="47" s="1"/>
  <c r="AT25" i="31"/>
  <c r="AN40" i="47" s="1"/>
  <c r="AT28" i="9"/>
  <c r="AT30" i="9" s="1"/>
  <c r="AU36" i="9"/>
  <c r="AU16" i="28"/>
  <c r="AO12" i="47" s="1"/>
  <c r="AX11" i="34"/>
  <c r="AY9" i="19"/>
  <c r="AY11" i="19" s="1"/>
  <c r="AY22" i="19" s="1"/>
  <c r="AY23" i="19" s="1"/>
  <c r="AY30" i="15"/>
  <c r="AY36" i="15" s="1"/>
  <c r="AT9" i="8" l="1"/>
  <c r="AX12" i="34"/>
  <c r="AR51" i="47" s="1"/>
  <c r="AR50" i="47"/>
  <c r="W11" i="29"/>
  <c r="AT12" i="31"/>
  <c r="AY9" i="20"/>
  <c r="AY10" i="20" s="1"/>
  <c r="AY20" i="20" s="1"/>
  <c r="AY21" i="20" s="1"/>
  <c r="AY34" i="20" s="1"/>
  <c r="AY14" i="28"/>
  <c r="AS10" i="47" s="1"/>
  <c r="AU19" i="28"/>
  <c r="AY15" i="31"/>
  <c r="AS30" i="47" s="1"/>
  <c r="AZ28" i="15"/>
  <c r="W15" i="32"/>
  <c r="P15" i="33"/>
  <c r="AU16" i="31"/>
  <c r="AO31" i="47" s="1"/>
  <c r="AV11" i="17"/>
  <c r="AZ27" i="13"/>
  <c r="AZ29" i="13" s="1"/>
  <c r="AZ12" i="13"/>
  <c r="AX21" i="28"/>
  <c r="AR17" i="47" s="1"/>
  <c r="AU18" i="31"/>
  <c r="AO33" i="47" s="1"/>
  <c r="AV11" i="18"/>
  <c r="BA28" i="16"/>
  <c r="BA14" i="16"/>
  <c r="BE18" i="34"/>
  <c r="AY57" i="47" s="1"/>
  <c r="Y18" i="35"/>
  <c r="AX20" i="31"/>
  <c r="AR35" i="47" s="1"/>
  <c r="AY75" i="20"/>
  <c r="AU25" i="34"/>
  <c r="AO64" i="47" s="1"/>
  <c r="AT27" i="31"/>
  <c r="AN42" i="47" s="1"/>
  <c r="AT16" i="22"/>
  <c r="AZ10" i="37"/>
  <c r="AZ24" i="12"/>
  <c r="AZ26" i="12" s="1"/>
  <c r="BA17" i="10"/>
  <c r="AU23" i="34"/>
  <c r="AO62" i="47" s="1"/>
  <c r="AZ16" i="19"/>
  <c r="AZ17" i="19" s="1"/>
  <c r="AZ42" i="15"/>
  <c r="AZ20" i="15"/>
  <c r="AZ25" i="11"/>
  <c r="AY33" i="16"/>
  <c r="AY34" i="16" s="1"/>
  <c r="AY13" i="16" s="1"/>
  <c r="AY15" i="16" s="1"/>
  <c r="AY47" i="16"/>
  <c r="AY30" i="19"/>
  <c r="AY32" i="19" s="1"/>
  <c r="AY49" i="19"/>
  <c r="AY51" i="19" s="1"/>
  <c r="AY36" i="19" s="1"/>
  <c r="AZ37" i="19" s="1"/>
  <c r="AZ16" i="37"/>
  <c r="AZ53" i="12"/>
  <c r="AZ56" i="12" s="1"/>
  <c r="AZ62" i="12"/>
  <c r="AZ64" i="12" s="1"/>
  <c r="AY17" i="28"/>
  <c r="AS13" i="47" s="1"/>
  <c r="W17" i="29"/>
  <c r="AX15" i="34" l="1"/>
  <c r="AR54" i="47" s="1"/>
  <c r="AT22" i="9"/>
  <c r="AT24" i="9" s="1"/>
  <c r="AT23" i="31" s="1"/>
  <c r="AN38" i="47" s="1"/>
  <c r="AN27" i="47"/>
  <c r="AU82" i="20"/>
  <c r="AO15" i="47"/>
  <c r="AY14" i="20"/>
  <c r="AY15" i="20" s="1"/>
  <c r="AY25" i="20" s="1"/>
  <c r="AY27" i="20" s="1"/>
  <c r="W14" i="29"/>
  <c r="AU22" i="28"/>
  <c r="AU26" i="34"/>
  <c r="AY17" i="31"/>
  <c r="AS32" i="47" s="1"/>
  <c r="AZ11" i="16"/>
  <c r="P17" i="33"/>
  <c r="W17" i="32"/>
  <c r="AV40" i="17"/>
  <c r="AV41" i="17" s="1"/>
  <c r="AY24" i="34"/>
  <c r="AS63" i="47" s="1"/>
  <c r="W24" i="35"/>
  <c r="AZ13" i="28"/>
  <c r="AT9" i="47" s="1"/>
  <c r="AU21" i="31"/>
  <c r="AO36" i="47" s="1"/>
  <c r="AZ17" i="37"/>
  <c r="AZ17" i="11"/>
  <c r="AZ18" i="11" s="1"/>
  <c r="BA61" i="12"/>
  <c r="AZ38" i="19"/>
  <c r="AZ31" i="19"/>
  <c r="BA25" i="10"/>
  <c r="BA20" i="34"/>
  <c r="AU59" i="47" s="1"/>
  <c r="AZ30" i="13"/>
  <c r="AZ9" i="31" s="1"/>
  <c r="AT24" i="47" s="1"/>
  <c r="BA26" i="13"/>
  <c r="AZ15" i="37"/>
  <c r="BA51" i="12"/>
  <c r="AZ11" i="37"/>
  <c r="AZ20" i="18"/>
  <c r="AZ22" i="18" s="1"/>
  <c r="AZ20" i="17"/>
  <c r="AZ22" i="17" s="1"/>
  <c r="AZ13" i="15"/>
  <c r="AZ14" i="15" s="1"/>
  <c r="AZ19" i="13"/>
  <c r="AZ21" i="13" s="1"/>
  <c r="AZ39" i="12"/>
  <c r="AZ41" i="12" s="1"/>
  <c r="AZ31" i="12"/>
  <c r="BF32" i="12" s="1"/>
  <c r="AZ17" i="9"/>
  <c r="AZ18" i="9" s="1"/>
  <c r="AY19" i="31"/>
  <c r="AS34" i="47" s="1"/>
  <c r="AZ29" i="19"/>
  <c r="W19" i="32"/>
  <c r="P19" i="33"/>
  <c r="AZ21" i="19"/>
  <c r="AZ21" i="15"/>
  <c r="BB22" i="15" s="1"/>
  <c r="AZ43" i="15"/>
  <c r="AZ45" i="15" s="1"/>
  <c r="AV40" i="18"/>
  <c r="AV41" i="18" s="1"/>
  <c r="AV27" i="18"/>
  <c r="AV28" i="18" s="1"/>
  <c r="AY66" i="20"/>
  <c r="AY68" i="20" s="1"/>
  <c r="AT15" i="22" l="1"/>
  <c r="AT17" i="22" s="1"/>
  <c r="AT21" i="22" s="1"/>
  <c r="AU29" i="34"/>
  <c r="AO68" i="47" s="1"/>
  <c r="AO65" i="47"/>
  <c r="AY39" i="20"/>
  <c r="AU37" i="9"/>
  <c r="AU38" i="9" s="1"/>
  <c r="AU25" i="31" s="1"/>
  <c r="AO40" i="47" s="1"/>
  <c r="AO18" i="47"/>
  <c r="AU23" i="9"/>
  <c r="AZ10" i="31"/>
  <c r="AT25" i="47" s="1"/>
  <c r="BA41" i="15"/>
  <c r="BB8" i="34"/>
  <c r="AV47" i="47" s="1"/>
  <c r="BB44" i="15"/>
  <c r="X8" i="35"/>
  <c r="AY40" i="20"/>
  <c r="AY35" i="20"/>
  <c r="AY36" i="20" s="1"/>
  <c r="AZ33" i="20" s="1"/>
  <c r="AZ21" i="34"/>
  <c r="AT60" i="47" s="1"/>
  <c r="AZ12" i="18"/>
  <c r="BF13" i="37"/>
  <c r="BF52" i="12"/>
  <c r="BF40" i="12"/>
  <c r="AZ12" i="37"/>
  <c r="BA38" i="12"/>
  <c r="AZ29" i="15"/>
  <c r="AZ10" i="12"/>
  <c r="AZ11" i="12" s="1"/>
  <c r="AZ8" i="31"/>
  <c r="AT23" i="47" s="1"/>
  <c r="BA18" i="13"/>
  <c r="AZ10" i="34"/>
  <c r="AT49" i="47" s="1"/>
  <c r="AZ48" i="19"/>
  <c r="AV29" i="18"/>
  <c r="AV14" i="18"/>
  <c r="AZ15" i="15"/>
  <c r="AZ32" i="15"/>
  <c r="AV33" i="17"/>
  <c r="AV46" i="17"/>
  <c r="AV47" i="17" s="1"/>
  <c r="AV42" i="17"/>
  <c r="AZ39" i="16"/>
  <c r="AZ40" i="16" s="1"/>
  <c r="BA24" i="10"/>
  <c r="BA26" i="10" s="1"/>
  <c r="AY69" i="20"/>
  <c r="AY77" i="20"/>
  <c r="AV33" i="18"/>
  <c r="AV42" i="18"/>
  <c r="AV46" i="18"/>
  <c r="AV47" i="18" s="1"/>
  <c r="AZ17" i="34"/>
  <c r="AT56" i="47" s="1"/>
  <c r="AZ27" i="17"/>
  <c r="BF28" i="17" s="1"/>
  <c r="AZ12" i="17"/>
  <c r="AZ8" i="28"/>
  <c r="AZ19" i="16"/>
  <c r="AZ21" i="16" s="1"/>
  <c r="AZ26" i="11"/>
  <c r="AZ27" i="11" s="1"/>
  <c r="AU28" i="9" l="1"/>
  <c r="AU30" i="9" s="1"/>
  <c r="AU12" i="9"/>
  <c r="AU13" i="9" s="1"/>
  <c r="AU11" i="31" s="1"/>
  <c r="AO26" i="47" s="1"/>
  <c r="AV36" i="9"/>
  <c r="AY41" i="20"/>
  <c r="AY46" i="20" s="1"/>
  <c r="AY47" i="20" s="1"/>
  <c r="AY81" i="20" s="1"/>
  <c r="AZ11" i="28"/>
  <c r="AT7" i="47" s="1"/>
  <c r="AT4" i="47"/>
  <c r="AZ19" i="34"/>
  <c r="AT58" i="47" s="1"/>
  <c r="AZ12" i="16"/>
  <c r="AZ26" i="16"/>
  <c r="BB27" i="16" s="1"/>
  <c r="AZ14" i="31"/>
  <c r="AT29" i="47" s="1"/>
  <c r="BA24" i="11"/>
  <c r="AV34" i="18"/>
  <c r="AV35" i="18" s="1"/>
  <c r="AV13" i="18" s="1"/>
  <c r="AV15" i="18" s="1"/>
  <c r="AV48" i="18"/>
  <c r="AZ26" i="20"/>
  <c r="BA44" i="12"/>
  <c r="BA45" i="12" s="1"/>
  <c r="BA11" i="11"/>
  <c r="BA12" i="11" s="1"/>
  <c r="BA20" i="10"/>
  <c r="BA21" i="10" s="1"/>
  <c r="AZ14" i="34"/>
  <c r="AT53" i="47" s="1"/>
  <c r="BA10" i="13"/>
  <c r="BA11" i="13" s="1"/>
  <c r="AV18" i="28"/>
  <c r="AP14" i="47" s="1"/>
  <c r="V18" i="29"/>
  <c r="AY11" i="34"/>
  <c r="W11" i="35"/>
  <c r="AV16" i="28"/>
  <c r="AP12" i="47" s="1"/>
  <c r="V16" i="29"/>
  <c r="AZ32" i="16"/>
  <c r="AZ41" i="16"/>
  <c r="AZ45" i="16"/>
  <c r="AZ46" i="16" s="1"/>
  <c r="AV48" i="17"/>
  <c r="AV34" i="17"/>
  <c r="AV35" i="17" s="1"/>
  <c r="AV13" i="17" s="1"/>
  <c r="AV15" i="17" s="1"/>
  <c r="AV22" i="34"/>
  <c r="AP61" i="47" s="1"/>
  <c r="V22" i="35"/>
  <c r="AU27" i="31"/>
  <c r="AO42" i="47" s="1"/>
  <c r="AU16" i="22"/>
  <c r="BF29" i="17"/>
  <c r="BF14" i="17"/>
  <c r="BA25" i="12"/>
  <c r="AZ9" i="19"/>
  <c r="AZ11" i="19" s="1"/>
  <c r="AZ22" i="19" s="1"/>
  <c r="AZ23" i="19" s="1"/>
  <c r="AZ30" i="15"/>
  <c r="AZ36" i="15" s="1"/>
  <c r="AU9" i="8" l="1"/>
  <c r="AV11" i="9"/>
  <c r="AY48" i="20"/>
  <c r="AY21" i="28" s="1"/>
  <c r="AS17" i="47" s="1"/>
  <c r="AY76" i="20"/>
  <c r="AY78" i="20" s="1"/>
  <c r="W20" i="32" s="1"/>
  <c r="AY12" i="34"/>
  <c r="AS51" i="47" s="1"/>
  <c r="AS50" i="47"/>
  <c r="AZ9" i="20"/>
  <c r="AZ10" i="20" s="1"/>
  <c r="AZ14" i="20" s="1"/>
  <c r="AZ15" i="20" s="1"/>
  <c r="AZ14" i="28"/>
  <c r="AT10" i="47" s="1"/>
  <c r="AV19" i="28"/>
  <c r="V19" i="29" s="1"/>
  <c r="AU12" i="31"/>
  <c r="AV16" i="31"/>
  <c r="AP31" i="47" s="1"/>
  <c r="AW11" i="17"/>
  <c r="V16" i="32"/>
  <c r="AV18" i="31"/>
  <c r="AP33" i="47" s="1"/>
  <c r="AW11" i="18"/>
  <c r="V18" i="32"/>
  <c r="AZ30" i="19"/>
  <c r="AZ32" i="19" s="1"/>
  <c r="AZ49" i="19"/>
  <c r="AZ51" i="19" s="1"/>
  <c r="AZ36" i="19" s="1"/>
  <c r="BA37" i="19" s="1"/>
  <c r="AV23" i="34"/>
  <c r="AP62" i="47" s="1"/>
  <c r="V23" i="35"/>
  <c r="BA27" i="13"/>
  <c r="BA29" i="13" s="1"/>
  <c r="BA12" i="13"/>
  <c r="BB14" i="16"/>
  <c r="BB28" i="16"/>
  <c r="AZ17" i="28"/>
  <c r="AT13" i="47" s="1"/>
  <c r="AV25" i="34"/>
  <c r="AP64" i="47" s="1"/>
  <c r="V25" i="35"/>
  <c r="AZ47" i="16"/>
  <c r="AZ33" i="16"/>
  <c r="AZ34" i="16" s="1"/>
  <c r="AZ13" i="16" s="1"/>
  <c r="AZ15" i="16" s="1"/>
  <c r="AZ15" i="31"/>
  <c r="AT30" i="47" s="1"/>
  <c r="BA28" i="15"/>
  <c r="BA10" i="37"/>
  <c r="BA24" i="12"/>
  <c r="BA26" i="12" s="1"/>
  <c r="BB17" i="10"/>
  <c r="W21" i="29"/>
  <c r="BA16" i="19"/>
  <c r="BA17" i="19" s="1"/>
  <c r="BA42" i="15"/>
  <c r="BA20" i="15"/>
  <c r="BA25" i="11"/>
  <c r="BF18" i="34"/>
  <c r="AZ57" i="47" s="1"/>
  <c r="BA16" i="37"/>
  <c r="BA62" i="12"/>
  <c r="BA64" i="12" s="1"/>
  <c r="BA53" i="12"/>
  <c r="BA56" i="12" s="1"/>
  <c r="W12" i="35" l="1"/>
  <c r="AZ75" i="20"/>
  <c r="AZ66" i="20" s="1"/>
  <c r="AZ68" i="20" s="1"/>
  <c r="AY20" i="31"/>
  <c r="AS35" i="47" s="1"/>
  <c r="P20" i="33"/>
  <c r="AY15" i="34"/>
  <c r="AS54" i="47" s="1"/>
  <c r="AV82" i="20"/>
  <c r="AZ20" i="20"/>
  <c r="AZ21" i="20" s="1"/>
  <c r="AZ34" i="20" s="1"/>
  <c r="AU22" i="9"/>
  <c r="AU24" i="9" s="1"/>
  <c r="AU23" i="31" s="1"/>
  <c r="AO38" i="47" s="1"/>
  <c r="AO27" i="47"/>
  <c r="AV22" i="28"/>
  <c r="AP18" i="47" s="1"/>
  <c r="AP15" i="47"/>
  <c r="AV26" i="34"/>
  <c r="AZ17" i="31"/>
  <c r="AT32" i="47" s="1"/>
  <c r="BA11" i="16"/>
  <c r="BA15" i="37"/>
  <c r="BB51" i="12"/>
  <c r="AZ24" i="34"/>
  <c r="AT63" i="47" s="1"/>
  <c r="BA13" i="28"/>
  <c r="AU9" i="47" s="1"/>
  <c r="BB25" i="10"/>
  <c r="BB26" i="13"/>
  <c r="BA30" i="13"/>
  <c r="BA9" i="31" s="1"/>
  <c r="AU24" i="47" s="1"/>
  <c r="AW40" i="18"/>
  <c r="AW41" i="18" s="1"/>
  <c r="AW27" i="18"/>
  <c r="AW28" i="18" s="1"/>
  <c r="BA38" i="19"/>
  <c r="BA31" i="19"/>
  <c r="BA17" i="37"/>
  <c r="BB61" i="12"/>
  <c r="BA17" i="11"/>
  <c r="BA18" i="11" s="1"/>
  <c r="BA11" i="37"/>
  <c r="BA20" i="18"/>
  <c r="BA22" i="18" s="1"/>
  <c r="BA20" i="17"/>
  <c r="BA22" i="17" s="1"/>
  <c r="BA13" i="15"/>
  <c r="BA14" i="15" s="1"/>
  <c r="BA19" i="13"/>
  <c r="BA21" i="13" s="1"/>
  <c r="BA39" i="12"/>
  <c r="BA41" i="12" s="1"/>
  <c r="BA31" i="12"/>
  <c r="BG32" i="12" s="1"/>
  <c r="BA17" i="9"/>
  <c r="BA18" i="9" s="1"/>
  <c r="AZ25" i="20"/>
  <c r="AZ27" i="20" s="1"/>
  <c r="AZ39" i="20"/>
  <c r="AZ19" i="31"/>
  <c r="AT34" i="47" s="1"/>
  <c r="BA29" i="19"/>
  <c r="AW40" i="17"/>
  <c r="AW41" i="17" s="1"/>
  <c r="BA21" i="19"/>
  <c r="BA43" i="15"/>
  <c r="BA45" i="15" s="1"/>
  <c r="BA21" i="15"/>
  <c r="BC22" i="15" s="1"/>
  <c r="BB20" i="34"/>
  <c r="AV59" i="47" s="1"/>
  <c r="X20" i="35"/>
  <c r="AV21" i="31"/>
  <c r="AP36" i="47" s="1"/>
  <c r="W15" i="35" l="1"/>
  <c r="AU15" i="22"/>
  <c r="AU17" i="22" s="1"/>
  <c r="AU21" i="22" s="1"/>
  <c r="V22" i="29"/>
  <c r="AV37" i="9"/>
  <c r="AV38" i="9" s="1"/>
  <c r="AV25" i="31" s="1"/>
  <c r="AP40" i="47" s="1"/>
  <c r="AV29" i="34"/>
  <c r="AP68" i="47" s="1"/>
  <c r="AP65" i="47"/>
  <c r="V26" i="35"/>
  <c r="BA10" i="31"/>
  <c r="AU25" i="47" s="1"/>
  <c r="BB41" i="15"/>
  <c r="BA12" i="37"/>
  <c r="BB38" i="12"/>
  <c r="AZ35" i="20"/>
  <c r="AZ36" i="20" s="1"/>
  <c r="BA33" i="20" s="1"/>
  <c r="AZ40" i="20"/>
  <c r="AZ41" i="20" s="1"/>
  <c r="AZ46" i="20" s="1"/>
  <c r="AZ47" i="20" s="1"/>
  <c r="BA15" i="15"/>
  <c r="BA32" i="15"/>
  <c r="BA10" i="34"/>
  <c r="AU49" i="47" s="1"/>
  <c r="AZ69" i="20"/>
  <c r="AZ77" i="20"/>
  <c r="BA17" i="34"/>
  <c r="AU56" i="47" s="1"/>
  <c r="BA27" i="17"/>
  <c r="BG28" i="17" s="1"/>
  <c r="BA12" i="17"/>
  <c r="BB24" i="10"/>
  <c r="BB26" i="10" s="1"/>
  <c r="BC8" i="34"/>
  <c r="AW47" i="47" s="1"/>
  <c r="BC44" i="15"/>
  <c r="BA48" i="19"/>
  <c r="BA21" i="34"/>
  <c r="AU60" i="47" s="1"/>
  <c r="BA12" i="18"/>
  <c r="AV23" i="9"/>
  <c r="V21" i="32"/>
  <c r="AW33" i="17"/>
  <c r="AW46" i="17"/>
  <c r="AW47" i="17" s="1"/>
  <c r="AW42" i="17"/>
  <c r="AW29" i="18"/>
  <c r="AW14" i="18"/>
  <c r="BA39" i="16"/>
  <c r="BA40" i="16" s="1"/>
  <c r="BG13" i="37"/>
  <c r="BG52" i="12"/>
  <c r="BG40" i="12"/>
  <c r="BA8" i="31"/>
  <c r="AU23" i="47" s="1"/>
  <c r="BB18" i="13"/>
  <c r="BA29" i="15"/>
  <c r="BA10" i="12"/>
  <c r="BA11" i="12" s="1"/>
  <c r="BA8" i="28"/>
  <c r="BA19" i="16"/>
  <c r="BA21" i="16" s="1"/>
  <c r="BA26" i="11"/>
  <c r="BA27" i="11" s="1"/>
  <c r="AW46" i="18"/>
  <c r="AW47" i="18" s="1"/>
  <c r="AW33" i="18"/>
  <c r="AW42" i="18"/>
  <c r="AV28" i="9" l="1"/>
  <c r="AV30" i="9" s="1"/>
  <c r="AV27" i="31" s="1"/>
  <c r="AP42" i="47" s="1"/>
  <c r="V25" i="32"/>
  <c r="AW36" i="9"/>
  <c r="V29" i="35"/>
  <c r="AV12" i="9"/>
  <c r="AV13" i="9" s="1"/>
  <c r="AV11" i="31" s="1"/>
  <c r="AP26" i="47" s="1"/>
  <c r="BA11" i="28"/>
  <c r="AU7" i="47" s="1"/>
  <c r="AU4" i="47"/>
  <c r="AZ81" i="20"/>
  <c r="AZ48" i="20"/>
  <c r="AZ76" i="20"/>
  <c r="AZ78" i="20" s="1"/>
  <c r="BG29" i="17"/>
  <c r="BG14" i="17"/>
  <c r="BA14" i="34"/>
  <c r="AU53" i="47" s="1"/>
  <c r="BA14" i="31"/>
  <c r="AU29" i="47" s="1"/>
  <c r="BB24" i="11"/>
  <c r="AW22" i="34"/>
  <c r="AQ61" i="47" s="1"/>
  <c r="AW48" i="17"/>
  <c r="AW34" i="17"/>
  <c r="AW35" i="17" s="1"/>
  <c r="AW13" i="17" s="1"/>
  <c r="AW15" i="17" s="1"/>
  <c r="BB25" i="12"/>
  <c r="BA19" i="34"/>
  <c r="AU58" i="47" s="1"/>
  <c r="BA12" i="16"/>
  <c r="BA26" i="16"/>
  <c r="BC27" i="16" s="1"/>
  <c r="AW18" i="28"/>
  <c r="AQ14" i="47" s="1"/>
  <c r="BA26" i="20"/>
  <c r="BA9" i="19"/>
  <c r="BA11" i="19" s="1"/>
  <c r="BA22" i="19" s="1"/>
  <c r="BA23" i="19" s="1"/>
  <c r="BA30" i="15"/>
  <c r="BA36" i="15" s="1"/>
  <c r="AZ11" i="34"/>
  <c r="AW16" i="28"/>
  <c r="AQ12" i="47" s="1"/>
  <c r="AW34" i="18"/>
  <c r="AW35" i="18" s="1"/>
  <c r="AW13" i="18" s="1"/>
  <c r="AW15" i="18" s="1"/>
  <c r="AW48" i="18"/>
  <c r="BB10" i="13"/>
  <c r="BB11" i="13" s="1"/>
  <c r="BB11" i="11"/>
  <c r="BB12" i="11" s="1"/>
  <c r="BB44" i="12"/>
  <c r="BB45" i="12" s="1"/>
  <c r="BB20" i="10"/>
  <c r="BB21" i="10" s="1"/>
  <c r="BA45" i="16"/>
  <c r="BA46" i="16" s="1"/>
  <c r="BA41" i="16"/>
  <c r="BA32" i="16"/>
  <c r="V27" i="32"/>
  <c r="AV16" i="22" l="1"/>
  <c r="V11" i="32"/>
  <c r="AV9" i="8"/>
  <c r="AW11" i="9"/>
  <c r="AZ12" i="34"/>
  <c r="AT51" i="47" s="1"/>
  <c r="AT50" i="47"/>
  <c r="BA9" i="20"/>
  <c r="BA10" i="20" s="1"/>
  <c r="BA20" i="20" s="1"/>
  <c r="BA21" i="20" s="1"/>
  <c r="BA34" i="20" s="1"/>
  <c r="BA14" i="28"/>
  <c r="AU10" i="47" s="1"/>
  <c r="AW19" i="28"/>
  <c r="AW22" i="28" s="1"/>
  <c r="AQ18" i="47" s="1"/>
  <c r="AV12" i="31"/>
  <c r="AW16" i="31"/>
  <c r="AQ31" i="47" s="1"/>
  <c r="AX11" i="17"/>
  <c r="BB16" i="19"/>
  <c r="BB17" i="19" s="1"/>
  <c r="BB42" i="15"/>
  <c r="BB20" i="15"/>
  <c r="BB25" i="11"/>
  <c r="AW18" i="31"/>
  <c r="AQ33" i="47" s="1"/>
  <c r="AX11" i="18"/>
  <c r="BA33" i="16"/>
  <c r="BA34" i="16" s="1"/>
  <c r="BA13" i="16" s="1"/>
  <c r="BA15" i="16" s="1"/>
  <c r="BA47" i="16"/>
  <c r="BA49" i="19"/>
  <c r="BA51" i="19" s="1"/>
  <c r="BA36" i="19" s="1"/>
  <c r="BB37" i="19" s="1"/>
  <c r="BA30" i="19"/>
  <c r="BA32" i="19" s="1"/>
  <c r="BB27" i="13"/>
  <c r="BB29" i="13" s="1"/>
  <c r="BB12" i="13"/>
  <c r="AW25" i="34"/>
  <c r="AQ64" i="47" s="1"/>
  <c r="BG18" i="34"/>
  <c r="BA57" i="47" s="1"/>
  <c r="BA15" i="31"/>
  <c r="AU30" i="47" s="1"/>
  <c r="BB28" i="15"/>
  <c r="AW23" i="34"/>
  <c r="AQ62" i="47" s="1"/>
  <c r="AZ20" i="31"/>
  <c r="AT35" i="47" s="1"/>
  <c r="BA75" i="20"/>
  <c r="BB10" i="37"/>
  <c r="BB24" i="12"/>
  <c r="BB26" i="12" s="1"/>
  <c r="BC17" i="10"/>
  <c r="X10" i="38"/>
  <c r="BC14" i="16"/>
  <c r="BC28" i="16"/>
  <c r="AZ21" i="28"/>
  <c r="AT17" i="47" s="1"/>
  <c r="BA17" i="28"/>
  <c r="AU13" i="47" s="1"/>
  <c r="BB16" i="37"/>
  <c r="BB62" i="12"/>
  <c r="BB64" i="12" s="1"/>
  <c r="BB53" i="12"/>
  <c r="BB56" i="12" s="1"/>
  <c r="X16" i="38"/>
  <c r="AZ15" i="34" l="1"/>
  <c r="AT54" i="47" s="1"/>
  <c r="V12" i="32"/>
  <c r="AP27" i="47"/>
  <c r="AW82" i="20"/>
  <c r="AQ15" i="47"/>
  <c r="AV22" i="9"/>
  <c r="AV24" i="9" s="1"/>
  <c r="V23" i="32" s="1"/>
  <c r="BA14" i="20"/>
  <c r="BA15" i="20" s="1"/>
  <c r="BA25" i="20" s="1"/>
  <c r="BA27" i="20" s="1"/>
  <c r="AW26" i="34"/>
  <c r="BA19" i="31"/>
  <c r="AU34" i="47" s="1"/>
  <c r="BB29" i="19"/>
  <c r="BC25" i="10"/>
  <c r="BA66" i="20"/>
  <c r="BA68" i="20" s="1"/>
  <c r="BB38" i="19"/>
  <c r="BB31" i="19"/>
  <c r="BB11" i="37"/>
  <c r="BB20" i="18"/>
  <c r="BB22" i="18" s="1"/>
  <c r="BB20" i="17"/>
  <c r="BB22" i="17" s="1"/>
  <c r="BB13" i="15"/>
  <c r="BB14" i="15" s="1"/>
  <c r="BB19" i="13"/>
  <c r="BB21" i="13" s="1"/>
  <c r="BB39" i="12"/>
  <c r="BB41" i="12" s="1"/>
  <c r="BB31" i="12"/>
  <c r="BH32" i="12" s="1"/>
  <c r="BB17" i="9"/>
  <c r="BB18" i="9" s="1"/>
  <c r="X11" i="38"/>
  <c r="BA24" i="34"/>
  <c r="AU63" i="47" s="1"/>
  <c r="BB17" i="37"/>
  <c r="BC61" i="12"/>
  <c r="BB17" i="11"/>
  <c r="BB18" i="11" s="1"/>
  <c r="X17" i="38"/>
  <c r="BB13" i="28"/>
  <c r="AV9" i="47" s="1"/>
  <c r="X13" i="29"/>
  <c r="AW37" i="9"/>
  <c r="AW38" i="9" s="1"/>
  <c r="AX27" i="18"/>
  <c r="AX28" i="18" s="1"/>
  <c r="AX40" i="18"/>
  <c r="AX41" i="18" s="1"/>
  <c r="BB15" i="37"/>
  <c r="BC51" i="12"/>
  <c r="X15" i="38"/>
  <c r="BA17" i="31"/>
  <c r="AU32" i="47" s="1"/>
  <c r="BB11" i="16"/>
  <c r="BC26" i="13"/>
  <c r="BB30" i="13"/>
  <c r="BB21" i="19"/>
  <c r="BB21" i="15"/>
  <c r="BD22" i="15" s="1"/>
  <c r="BB43" i="15"/>
  <c r="BB45" i="15" s="1"/>
  <c r="BC20" i="34"/>
  <c r="AW59" i="47" s="1"/>
  <c r="AX40" i="17"/>
  <c r="AX41" i="17" s="1"/>
  <c r="AW21" i="31"/>
  <c r="AQ36" i="47" s="1"/>
  <c r="AW29" i="34" l="1"/>
  <c r="AQ68" i="47" s="1"/>
  <c r="AQ65" i="47"/>
  <c r="AV15" i="22"/>
  <c r="AV17" i="22" s="1"/>
  <c r="AV21" i="22" s="1"/>
  <c r="AV23" i="31"/>
  <c r="AP38" i="47" s="1"/>
  <c r="BA39" i="20"/>
  <c r="AW23" i="9"/>
  <c r="BD8" i="34"/>
  <c r="AX47" i="47" s="1"/>
  <c r="BD44" i="15"/>
  <c r="BH13" i="37"/>
  <c r="BH52" i="12"/>
  <c r="BH40" i="12"/>
  <c r="Z13" i="38"/>
  <c r="BC24" i="10"/>
  <c r="BC26" i="10" s="1"/>
  <c r="AW25" i="31"/>
  <c r="AQ40" i="47" s="1"/>
  <c r="AW28" i="9"/>
  <c r="AW30" i="9" s="1"/>
  <c r="AX36" i="9"/>
  <c r="BB12" i="37"/>
  <c r="BC38" i="12"/>
  <c r="X12" i="38"/>
  <c r="BB10" i="34"/>
  <c r="AV49" i="47" s="1"/>
  <c r="X10" i="35"/>
  <c r="BB10" i="31"/>
  <c r="AV25" i="47" s="1"/>
  <c r="BC41" i="15"/>
  <c r="X10" i="32"/>
  <c r="BB8" i="31"/>
  <c r="AV23" i="47" s="1"/>
  <c r="BC18" i="13"/>
  <c r="X8" i="32"/>
  <c r="BB15" i="15"/>
  <c r="BB32" i="15"/>
  <c r="BA77" i="20"/>
  <c r="BA69" i="20"/>
  <c r="BB17" i="34"/>
  <c r="AV56" i="47" s="1"/>
  <c r="BB27" i="17"/>
  <c r="BH28" i="17" s="1"/>
  <c r="BB12" i="17"/>
  <c r="X17" i="35"/>
  <c r="AX33" i="17"/>
  <c r="AX46" i="17"/>
  <c r="AX47" i="17" s="1"/>
  <c r="AX42" i="17"/>
  <c r="BB9" i="31"/>
  <c r="AV24" i="47" s="1"/>
  <c r="X9" i="32"/>
  <c r="AX42" i="18"/>
  <c r="AX33" i="18"/>
  <c r="AX46" i="18"/>
  <c r="AX47" i="18" s="1"/>
  <c r="AX29" i="18"/>
  <c r="AX14" i="18"/>
  <c r="BB21" i="34"/>
  <c r="AV60" i="47" s="1"/>
  <c r="BB12" i="18"/>
  <c r="X21" i="35"/>
  <c r="BB39" i="16"/>
  <c r="BB40" i="16" s="1"/>
  <c r="BB48" i="19"/>
  <c r="BA35" i="20"/>
  <c r="BA36" i="20" s="1"/>
  <c r="BB33" i="20" s="1"/>
  <c r="BA40" i="20"/>
  <c r="BB8" i="28"/>
  <c r="BB19" i="16"/>
  <c r="BB21" i="16" s="1"/>
  <c r="BB26" i="11"/>
  <c r="BB27" i="11" s="1"/>
  <c r="X8" i="29"/>
  <c r="BB29" i="15"/>
  <c r="BB10" i="12"/>
  <c r="BB11" i="12" s="1"/>
  <c r="AW12" i="9" l="1"/>
  <c r="AW13" i="9" s="1"/>
  <c r="AX11" i="9" s="1"/>
  <c r="BA41" i="20"/>
  <c r="BA46" i="20" s="1"/>
  <c r="BA47" i="20" s="1"/>
  <c r="BA76" i="20" s="1"/>
  <c r="BA78" i="20" s="1"/>
  <c r="BB11" i="28"/>
  <c r="AV7" i="47" s="1"/>
  <c r="AV4" i="47"/>
  <c r="BB41" i="16"/>
  <c r="BB45" i="16"/>
  <c r="BB46" i="16" s="1"/>
  <c r="BB32" i="16"/>
  <c r="AX48" i="18"/>
  <c r="AX34" i="18"/>
  <c r="AX35" i="18" s="1"/>
  <c r="AX13" i="18" s="1"/>
  <c r="AX15" i="18" s="1"/>
  <c r="AX18" i="28"/>
  <c r="AR14" i="47" s="1"/>
  <c r="BB26" i="20"/>
  <c r="BH29" i="17"/>
  <c r="BH14" i="17"/>
  <c r="AW27" i="31"/>
  <c r="AQ42" i="47" s="1"/>
  <c r="AW16" i="22"/>
  <c r="BC10" i="13"/>
  <c r="BC11" i="13" s="1"/>
  <c r="BC25" i="12"/>
  <c r="AX16" i="28"/>
  <c r="AR12" i="47" s="1"/>
  <c r="BB14" i="34"/>
  <c r="AV53" i="47" s="1"/>
  <c r="X14" i="35"/>
  <c r="BB14" i="31"/>
  <c r="AV29" i="47" s="1"/>
  <c r="BC24" i="11"/>
  <c r="X14" i="32"/>
  <c r="AX22" i="34"/>
  <c r="AR61" i="47" s="1"/>
  <c r="BC44" i="12"/>
  <c r="BC45" i="12" s="1"/>
  <c r="BC11" i="11"/>
  <c r="BC12" i="11" s="1"/>
  <c r="BC20" i="10"/>
  <c r="BC21" i="10" s="1"/>
  <c r="BB9" i="19"/>
  <c r="BB11" i="19" s="1"/>
  <c r="BB22" i="19" s="1"/>
  <c r="BB23" i="19" s="1"/>
  <c r="BB30" i="15"/>
  <c r="BB36" i="15" s="1"/>
  <c r="AX48" i="17"/>
  <c r="AX34" i="17"/>
  <c r="AX35" i="17" s="1"/>
  <c r="AX13" i="17" s="1"/>
  <c r="AX15" i="17" s="1"/>
  <c r="BA11" i="34"/>
  <c r="BB19" i="34"/>
  <c r="AV58" i="47" s="1"/>
  <c r="BB26" i="16"/>
  <c r="BD27" i="16" s="1"/>
  <c r="BB12" i="16"/>
  <c r="X19" i="35"/>
  <c r="AW11" i="31" l="1"/>
  <c r="AQ26" i="47" s="1"/>
  <c r="AW9" i="8"/>
  <c r="BA12" i="34"/>
  <c r="AU51" i="47" s="1"/>
  <c r="AU50" i="47"/>
  <c r="BA81" i="20"/>
  <c r="BA48" i="20"/>
  <c r="BA21" i="28" s="1"/>
  <c r="AU17" i="47" s="1"/>
  <c r="X11" i="29"/>
  <c r="BB9" i="20"/>
  <c r="BB10" i="20" s="1"/>
  <c r="BB14" i="20" s="1"/>
  <c r="BB15" i="20" s="1"/>
  <c r="BB14" i="28"/>
  <c r="AV10" i="47" s="1"/>
  <c r="AX19" i="28"/>
  <c r="AR15" i="47" s="1"/>
  <c r="BB15" i="31"/>
  <c r="AV30" i="47" s="1"/>
  <c r="BC28" i="15"/>
  <c r="X15" i="32"/>
  <c r="BH18" i="34"/>
  <c r="BB57" i="47" s="1"/>
  <c r="Z18" i="35"/>
  <c r="AX25" i="34"/>
  <c r="AR64" i="47" s="1"/>
  <c r="BB49" i="19"/>
  <c r="BB51" i="19" s="1"/>
  <c r="BB36" i="19" s="1"/>
  <c r="BC37" i="19" s="1"/>
  <c r="BB30" i="19"/>
  <c r="BB32" i="19" s="1"/>
  <c r="BC10" i="37"/>
  <c r="BC24" i="12"/>
  <c r="BC26" i="12" s="1"/>
  <c r="BD17" i="10"/>
  <c r="BB47" i="16"/>
  <c r="BB33" i="16"/>
  <c r="BB34" i="16" s="1"/>
  <c r="BB13" i="16" s="1"/>
  <c r="BB15" i="16" s="1"/>
  <c r="BC16" i="19"/>
  <c r="BC17" i="19" s="1"/>
  <c r="BC20" i="15"/>
  <c r="BC42" i="15"/>
  <c r="BC25" i="11"/>
  <c r="BB17" i="28"/>
  <c r="AV13" i="47" s="1"/>
  <c r="X17" i="29"/>
  <c r="BC16" i="37"/>
  <c r="BC53" i="12"/>
  <c r="BC56" i="12" s="1"/>
  <c r="BC62" i="12"/>
  <c r="BC64" i="12" s="1"/>
  <c r="BC27" i="13"/>
  <c r="BC29" i="13" s="1"/>
  <c r="BC12" i="13"/>
  <c r="BD14" i="16"/>
  <c r="BD28" i="16"/>
  <c r="AX16" i="31"/>
  <c r="AR31" i="47" s="1"/>
  <c r="AY11" i="17"/>
  <c r="AX23" i="34"/>
  <c r="AR62" i="47" s="1"/>
  <c r="AX18" i="31"/>
  <c r="AR33" i="47" s="1"/>
  <c r="AY11" i="18"/>
  <c r="BA20" i="31"/>
  <c r="AU35" i="47" s="1"/>
  <c r="BB75" i="20"/>
  <c r="AW12" i="31" l="1"/>
  <c r="AW22" i="9" s="1"/>
  <c r="AW24" i="9" s="1"/>
  <c r="AW15" i="22" s="1"/>
  <c r="AW17" i="22" s="1"/>
  <c r="AW21" i="22" s="1"/>
  <c r="BA15" i="34"/>
  <c r="AU54" i="47" s="1"/>
  <c r="X14" i="29"/>
  <c r="BB20" i="20"/>
  <c r="BB21" i="20" s="1"/>
  <c r="BB34" i="20" s="1"/>
  <c r="AX26" i="34"/>
  <c r="AX21" i="31"/>
  <c r="AR36" i="47" s="1"/>
  <c r="BB25" i="20"/>
  <c r="BB27" i="20" s="1"/>
  <c r="BB39" i="20"/>
  <c r="BC30" i="13"/>
  <c r="BC9" i="31" s="1"/>
  <c r="AW24" i="47" s="1"/>
  <c r="BD26" i="13"/>
  <c r="BC17" i="37"/>
  <c r="BD61" i="12"/>
  <c r="BC17" i="11"/>
  <c r="BC18" i="11" s="1"/>
  <c r="AY40" i="17"/>
  <c r="AY41" i="17" s="1"/>
  <c r="BB66" i="20"/>
  <c r="BB68" i="20" s="1"/>
  <c r="BC15" i="37"/>
  <c r="BD51" i="12"/>
  <c r="BD20" i="34"/>
  <c r="AX59" i="47" s="1"/>
  <c r="BB19" i="31"/>
  <c r="AV34" i="47" s="1"/>
  <c r="BC29" i="19"/>
  <c r="X19" i="32"/>
  <c r="BC11" i="37"/>
  <c r="BC20" i="18"/>
  <c r="BC22" i="18" s="1"/>
  <c r="BC13" i="15"/>
  <c r="BC14" i="15" s="1"/>
  <c r="BC20" i="17"/>
  <c r="BC22" i="17" s="1"/>
  <c r="BC19" i="13"/>
  <c r="BC21" i="13" s="1"/>
  <c r="BC31" i="12"/>
  <c r="BI32" i="12" s="1"/>
  <c r="BC39" i="12"/>
  <c r="BC41" i="12" s="1"/>
  <c r="BC17" i="9"/>
  <c r="BC18" i="9" s="1"/>
  <c r="BB17" i="31"/>
  <c r="AV32" i="47" s="1"/>
  <c r="BC11" i="16"/>
  <c r="X17" i="32"/>
  <c r="AY40" i="18"/>
  <c r="AY41" i="18" s="1"/>
  <c r="AY27" i="18"/>
  <c r="AY28" i="18" s="1"/>
  <c r="BB24" i="34"/>
  <c r="AV63" i="47" s="1"/>
  <c r="X24" i="35"/>
  <c r="BC31" i="19"/>
  <c r="BC38" i="19"/>
  <c r="AX22" i="28"/>
  <c r="AR18" i="47" s="1"/>
  <c r="AX82" i="20"/>
  <c r="BC13" i="28"/>
  <c r="AW9" i="47" s="1"/>
  <c r="BC21" i="19"/>
  <c r="BC21" i="15"/>
  <c r="BE22" i="15" s="1"/>
  <c r="BC43" i="15"/>
  <c r="BC45" i="15" s="1"/>
  <c r="BD25" i="10"/>
  <c r="AQ27" i="47" l="1"/>
  <c r="AX29" i="34"/>
  <c r="AR68" i="47" s="1"/>
  <c r="AR65" i="47"/>
  <c r="AW23" i="31"/>
  <c r="AQ38" i="47" s="1"/>
  <c r="AX23" i="9"/>
  <c r="BC39" i="16"/>
  <c r="BC40" i="16" s="1"/>
  <c r="AY33" i="17"/>
  <c r="AY46" i="17"/>
  <c r="AY47" i="17" s="1"/>
  <c r="AY42" i="17"/>
  <c r="BC32" i="15"/>
  <c r="BC15" i="15"/>
  <c r="BC21" i="34"/>
  <c r="AW60" i="47" s="1"/>
  <c r="BC12" i="18"/>
  <c r="BD24" i="10"/>
  <c r="BD26" i="10" s="1"/>
  <c r="BB35" i="20"/>
  <c r="BB36" i="20" s="1"/>
  <c r="BC33" i="20" s="1"/>
  <c r="BB40" i="20"/>
  <c r="BB41" i="20" s="1"/>
  <c r="BB46" i="20" s="1"/>
  <c r="BB47" i="20" s="1"/>
  <c r="BC10" i="31"/>
  <c r="AW25" i="47" s="1"/>
  <c r="BD41" i="15"/>
  <c r="BC17" i="34"/>
  <c r="AW56" i="47" s="1"/>
  <c r="BC27" i="17"/>
  <c r="BI28" i="17" s="1"/>
  <c r="BC12" i="17"/>
  <c r="BC8" i="28"/>
  <c r="BC19" i="16"/>
  <c r="BC21" i="16" s="1"/>
  <c r="BC26" i="11"/>
  <c r="BC27" i="11" s="1"/>
  <c r="BC8" i="31"/>
  <c r="AW23" i="47" s="1"/>
  <c r="BD18" i="13"/>
  <c r="AY14" i="18"/>
  <c r="AY29" i="18"/>
  <c r="BC12" i="37"/>
  <c r="BD38" i="12"/>
  <c r="BC48" i="19"/>
  <c r="BB69" i="20"/>
  <c r="BB77" i="20"/>
  <c r="BE8" i="34"/>
  <c r="AY47" i="47" s="1"/>
  <c r="BE44" i="15"/>
  <c r="Y8" i="35"/>
  <c r="BC29" i="15"/>
  <c r="BC10" i="12"/>
  <c r="BC11" i="12" s="1"/>
  <c r="AX37" i="9"/>
  <c r="AX38" i="9" s="1"/>
  <c r="BC10" i="34"/>
  <c r="AW49" i="47" s="1"/>
  <c r="AY46" i="18"/>
  <c r="AY47" i="18" s="1"/>
  <c r="AY42" i="18"/>
  <c r="AY33" i="18"/>
  <c r="BI13" i="37"/>
  <c r="BI40" i="12"/>
  <c r="BI52" i="12"/>
  <c r="AX12" i="9" l="1"/>
  <c r="AX13" i="9" s="1"/>
  <c r="AX11" i="31" s="1"/>
  <c r="AR26" i="47" s="1"/>
  <c r="BC11" i="28"/>
  <c r="AW7" i="47" s="1"/>
  <c r="AW4" i="47"/>
  <c r="BC26" i="20"/>
  <c r="BD10" i="13"/>
  <c r="BD11" i="13" s="1"/>
  <c r="BC14" i="34"/>
  <c r="AW53" i="47" s="1"/>
  <c r="BB76" i="20"/>
  <c r="BB78" i="20" s="1"/>
  <c r="BB81" i="20"/>
  <c r="BB48" i="20"/>
  <c r="AY18" i="28"/>
  <c r="AS14" i="47" s="1"/>
  <c r="W18" i="29"/>
  <c r="BC9" i="19"/>
  <c r="BC11" i="19" s="1"/>
  <c r="BC22" i="19" s="1"/>
  <c r="BC23" i="19" s="1"/>
  <c r="BC30" i="15"/>
  <c r="BC36" i="15" s="1"/>
  <c r="BB11" i="34"/>
  <c r="X11" i="35"/>
  <c r="BD44" i="12"/>
  <c r="BD45" i="12" s="1"/>
  <c r="BD11" i="11"/>
  <c r="BD12" i="11" s="1"/>
  <c r="BD20" i="10"/>
  <c r="BD21" i="10" s="1"/>
  <c r="BI29" i="17"/>
  <c r="BI14" i="17"/>
  <c r="AY16" i="28"/>
  <c r="AS12" i="47" s="1"/>
  <c r="W16" i="29"/>
  <c r="AY34" i="17"/>
  <c r="AY35" i="17" s="1"/>
  <c r="AY13" i="17" s="1"/>
  <c r="AY15" i="17" s="1"/>
  <c r="AY48" i="17"/>
  <c r="AY34" i="18"/>
  <c r="AY35" i="18" s="1"/>
  <c r="AY13" i="18" s="1"/>
  <c r="AY15" i="18" s="1"/>
  <c r="AY48" i="18"/>
  <c r="BD25" i="12"/>
  <c r="BC14" i="31"/>
  <c r="AW29" i="47" s="1"/>
  <c r="BD24" i="11"/>
  <c r="AX25" i="31"/>
  <c r="AR40" i="47" s="1"/>
  <c r="AX28" i="9"/>
  <c r="AX30" i="9" s="1"/>
  <c r="AY36" i="9"/>
  <c r="BC19" i="34"/>
  <c r="AW58" i="47" s="1"/>
  <c r="BC26" i="16"/>
  <c r="BE27" i="16" s="1"/>
  <c r="BC12" i="16"/>
  <c r="AY22" i="34"/>
  <c r="AS61" i="47" s="1"/>
  <c r="W22" i="35"/>
  <c r="BC45" i="16"/>
  <c r="BC46" i="16" s="1"/>
  <c r="BC32" i="16"/>
  <c r="BC41" i="16"/>
  <c r="BC9" i="20" l="1"/>
  <c r="BC10" i="20" s="1"/>
  <c r="AY11" i="9"/>
  <c r="AX9" i="8"/>
  <c r="BB12" i="34"/>
  <c r="AV51" i="47" s="1"/>
  <c r="AV50" i="47"/>
  <c r="AX12" i="31"/>
  <c r="BC14" i="28"/>
  <c r="AW10" i="47" s="1"/>
  <c r="AY19" i="28"/>
  <c r="BC20" i="20"/>
  <c r="BC21" i="20" s="1"/>
  <c r="BC34" i="20" s="1"/>
  <c r="BC14" i="20"/>
  <c r="BC15" i="20" s="1"/>
  <c r="BD16" i="37"/>
  <c r="BD62" i="12"/>
  <c r="BD64" i="12" s="1"/>
  <c r="BD53" i="12"/>
  <c r="BD56" i="12" s="1"/>
  <c r="BD27" i="13"/>
  <c r="BD29" i="13" s="1"/>
  <c r="BD12" i="13"/>
  <c r="BB21" i="28"/>
  <c r="AV17" i="47" s="1"/>
  <c r="X21" i="29"/>
  <c r="AY18" i="31"/>
  <c r="AS33" i="47" s="1"/>
  <c r="AZ11" i="18"/>
  <c r="W18" i="32"/>
  <c r="P18" i="33"/>
  <c r="BB20" i="31"/>
  <c r="AV35" i="47" s="1"/>
  <c r="BC75" i="20"/>
  <c r="X20" i="32"/>
  <c r="BE14" i="16"/>
  <c r="BE28" i="16"/>
  <c r="AY23" i="34"/>
  <c r="AS62" i="47" s="1"/>
  <c r="W23" i="35"/>
  <c r="BI18" i="34"/>
  <c r="BC57" i="47" s="1"/>
  <c r="AY16" i="31"/>
  <c r="AS31" i="47" s="1"/>
  <c r="AZ11" i="17"/>
  <c r="P16" i="33"/>
  <c r="W16" i="32"/>
  <c r="AX27" i="31"/>
  <c r="AR42" i="47" s="1"/>
  <c r="AX16" i="22"/>
  <c r="AY25" i="34"/>
  <c r="AS64" i="47" s="1"/>
  <c r="W25" i="35"/>
  <c r="BC15" i="31"/>
  <c r="AW30" i="47" s="1"/>
  <c r="BD28" i="15"/>
  <c r="BD16" i="19"/>
  <c r="BD17" i="19" s="1"/>
  <c r="BD20" i="15"/>
  <c r="BD42" i="15"/>
  <c r="BD25" i="11"/>
  <c r="BC17" i="28"/>
  <c r="AW13" i="47" s="1"/>
  <c r="BC33" i="16"/>
  <c r="BC34" i="16" s="1"/>
  <c r="BC13" i="16" s="1"/>
  <c r="BC15" i="16" s="1"/>
  <c r="BC47" i="16"/>
  <c r="BD10" i="37"/>
  <c r="BD24" i="12"/>
  <c r="BD26" i="12" s="1"/>
  <c r="BE17" i="10"/>
  <c r="BC49" i="19"/>
  <c r="BC51" i="19" s="1"/>
  <c r="BC36" i="19" s="1"/>
  <c r="BD37" i="19" s="1"/>
  <c r="BC30" i="19"/>
  <c r="BC32" i="19" s="1"/>
  <c r="X12" i="35" l="1"/>
  <c r="BB15" i="34"/>
  <c r="AV54" i="47" s="1"/>
  <c r="AX22" i="9"/>
  <c r="AX24" i="9" s="1"/>
  <c r="AX23" i="31" s="1"/>
  <c r="AR38" i="47" s="1"/>
  <c r="AR27" i="47"/>
  <c r="AY22" i="28"/>
  <c r="AS18" i="47" s="1"/>
  <c r="AS15" i="47"/>
  <c r="W19" i="29"/>
  <c r="AY82" i="20"/>
  <c r="AY26" i="34"/>
  <c r="BC17" i="31"/>
  <c r="AW32" i="47" s="1"/>
  <c r="BD11" i="16"/>
  <c r="BD21" i="19"/>
  <c r="BD43" i="15"/>
  <c r="BD45" i="15" s="1"/>
  <c r="BD21" i="15"/>
  <c r="BF22" i="15" s="1"/>
  <c r="BD30" i="13"/>
  <c r="BD9" i="31" s="1"/>
  <c r="AX24" i="47" s="1"/>
  <c r="BE26" i="13"/>
  <c r="BD13" i="28"/>
  <c r="AX9" i="47" s="1"/>
  <c r="X15" i="35"/>
  <c r="AZ27" i="18"/>
  <c r="AZ28" i="18" s="1"/>
  <c r="AZ40" i="18"/>
  <c r="AZ41" i="18" s="1"/>
  <c r="BD15" i="37"/>
  <c r="BE51" i="12"/>
  <c r="BE25" i="10"/>
  <c r="BC24" i="34"/>
  <c r="AW63" i="47" s="1"/>
  <c r="BD17" i="37"/>
  <c r="BE61" i="12"/>
  <c r="BD17" i="11"/>
  <c r="BD18" i="11" s="1"/>
  <c r="BD11" i="37"/>
  <c r="BD20" i="18"/>
  <c r="BD22" i="18" s="1"/>
  <c r="BD20" i="17"/>
  <c r="BD22" i="17" s="1"/>
  <c r="BD13" i="15"/>
  <c r="BD14" i="15" s="1"/>
  <c r="BD31" i="12"/>
  <c r="BJ32" i="12" s="1"/>
  <c r="BD39" i="12"/>
  <c r="BD41" i="12" s="1"/>
  <c r="BD19" i="13"/>
  <c r="BD21" i="13" s="1"/>
  <c r="BD17" i="9"/>
  <c r="BD18" i="9" s="1"/>
  <c r="BE20" i="34"/>
  <c r="AY59" i="47" s="1"/>
  <c r="Y20" i="35"/>
  <c r="AY37" i="9"/>
  <c r="AY38" i="9" s="1"/>
  <c r="W22" i="29"/>
  <c r="BC66" i="20"/>
  <c r="BC68" i="20" s="1"/>
  <c r="BC19" i="31"/>
  <c r="AW34" i="47" s="1"/>
  <c r="BD29" i="19"/>
  <c r="AZ40" i="17"/>
  <c r="AZ41" i="17" s="1"/>
  <c r="BC39" i="20"/>
  <c r="BC25" i="20"/>
  <c r="BC27" i="20" s="1"/>
  <c r="BD31" i="19"/>
  <c r="BD38" i="19"/>
  <c r="AY21" i="31"/>
  <c r="AS36" i="47" s="1"/>
  <c r="AX15" i="22" l="1"/>
  <c r="AX17" i="22" s="1"/>
  <c r="AX21" i="22" s="1"/>
  <c r="AY29" i="34"/>
  <c r="AS68" i="47" s="1"/>
  <c r="AS65" i="47"/>
  <c r="W26" i="35"/>
  <c r="AZ33" i="17"/>
  <c r="AZ46" i="17"/>
  <c r="AZ47" i="17" s="1"/>
  <c r="AZ42" i="17"/>
  <c r="BD21" i="34"/>
  <c r="AX60" i="47" s="1"/>
  <c r="BD12" i="18"/>
  <c r="AZ14" i="18"/>
  <c r="AZ29" i="18"/>
  <c r="BD48" i="19"/>
  <c r="BF8" i="34"/>
  <c r="AZ47" i="47" s="1"/>
  <c r="BF44" i="15"/>
  <c r="BD10" i="34"/>
  <c r="AX49" i="47" s="1"/>
  <c r="BD8" i="31"/>
  <c r="AX23" i="47" s="1"/>
  <c r="BE18" i="13"/>
  <c r="BD8" i="28"/>
  <c r="BD19" i="16"/>
  <c r="BD21" i="16" s="1"/>
  <c r="BD26" i="11"/>
  <c r="BD27" i="11" s="1"/>
  <c r="BE24" i="10"/>
  <c r="BE26" i="10" s="1"/>
  <c r="BD39" i="16"/>
  <c r="BD40" i="16" s="1"/>
  <c r="BD10" i="31"/>
  <c r="AX25" i="47" s="1"/>
  <c r="BE41" i="15"/>
  <c r="BD29" i="15"/>
  <c r="BD10" i="12"/>
  <c r="BD11" i="12" s="1"/>
  <c r="BC77" i="20"/>
  <c r="BC69" i="20"/>
  <c r="BD12" i="37"/>
  <c r="BE38" i="12"/>
  <c r="BJ13" i="37"/>
  <c r="BJ40" i="12"/>
  <c r="BJ52" i="12"/>
  <c r="BD17" i="34"/>
  <c r="AX56" i="47" s="1"/>
  <c r="BD27" i="17"/>
  <c r="BJ28" i="17" s="1"/>
  <c r="BD12" i="17"/>
  <c r="AY23" i="9"/>
  <c r="P21" i="33"/>
  <c r="W21" i="32"/>
  <c r="BC35" i="20"/>
  <c r="BC36" i="20" s="1"/>
  <c r="BD33" i="20" s="1"/>
  <c r="BC40" i="20"/>
  <c r="BC41" i="20" s="1"/>
  <c r="BC46" i="20" s="1"/>
  <c r="BC47" i="20" s="1"/>
  <c r="AY25" i="31"/>
  <c r="AS40" i="47" s="1"/>
  <c r="AY28" i="9"/>
  <c r="AY30" i="9" s="1"/>
  <c r="AZ36" i="9"/>
  <c r="P25" i="33"/>
  <c r="W25" i="32"/>
  <c r="BD32" i="15"/>
  <c r="BD15" i="15"/>
  <c r="AZ42" i="18"/>
  <c r="AZ33" i="18"/>
  <c r="AZ46" i="18"/>
  <c r="AZ47" i="18" s="1"/>
  <c r="AY12" i="9"/>
  <c r="AY13" i="9" s="1"/>
  <c r="W29" i="35"/>
  <c r="BD11" i="28" l="1"/>
  <c r="AX7" i="47" s="1"/>
  <c r="AX4" i="47"/>
  <c r="AY11" i="31"/>
  <c r="AS26" i="47" s="1"/>
  <c r="AZ11" i="9"/>
  <c r="AY9" i="8"/>
  <c r="W11" i="32"/>
  <c r="P11" i="33"/>
  <c r="AZ34" i="18"/>
  <c r="AZ35" i="18" s="1"/>
  <c r="AZ13" i="18" s="1"/>
  <c r="AZ15" i="18" s="1"/>
  <c r="AZ48" i="18"/>
  <c r="AY27" i="31"/>
  <c r="AS42" i="47" s="1"/>
  <c r="AY16" i="22"/>
  <c r="P27" i="33"/>
  <c r="W27" i="32"/>
  <c r="BE25" i="12"/>
  <c r="BE10" i="13"/>
  <c r="BE11" i="13" s="1"/>
  <c r="BD9" i="19"/>
  <c r="BD11" i="19" s="1"/>
  <c r="BD22" i="19" s="1"/>
  <c r="BD23" i="19" s="1"/>
  <c r="BD30" i="15"/>
  <c r="BD36" i="15" s="1"/>
  <c r="AZ18" i="28"/>
  <c r="AT14" i="47" s="1"/>
  <c r="BC81" i="20"/>
  <c r="BC76" i="20"/>
  <c r="BC78" i="20" s="1"/>
  <c r="BC48" i="20"/>
  <c r="BJ29" i="17"/>
  <c r="BJ14" i="17"/>
  <c r="BD45" i="16"/>
  <c r="BD46" i="16" s="1"/>
  <c r="BD32" i="16"/>
  <c r="BD41" i="16"/>
  <c r="AZ16" i="28"/>
  <c r="AT12" i="47" s="1"/>
  <c r="BD14" i="31"/>
  <c r="AX29" i="47" s="1"/>
  <c r="BE24" i="11"/>
  <c r="BD19" i="34"/>
  <c r="AX58" i="47" s="1"/>
  <c r="BD26" i="16"/>
  <c r="BF27" i="16" s="1"/>
  <c r="BD12" i="16"/>
  <c r="BD14" i="34"/>
  <c r="AX53" i="47" s="1"/>
  <c r="BC11" i="34"/>
  <c r="AZ34" i="17"/>
  <c r="AZ35" i="17" s="1"/>
  <c r="AZ13" i="17" s="1"/>
  <c r="AZ15" i="17" s="1"/>
  <c r="AZ48" i="17"/>
  <c r="BD26" i="20"/>
  <c r="BE44" i="12"/>
  <c r="BE45" i="12" s="1"/>
  <c r="BE11" i="11"/>
  <c r="BE12" i="11" s="1"/>
  <c r="BE20" i="10"/>
  <c r="BE21" i="10" s="1"/>
  <c r="AZ22" i="34"/>
  <c r="AT61" i="47" s="1"/>
  <c r="BC12" i="34" l="1"/>
  <c r="AW51" i="47" s="1"/>
  <c r="AW50" i="47"/>
  <c r="BD9" i="20"/>
  <c r="BD10" i="20" s="1"/>
  <c r="BD14" i="20" s="1"/>
  <c r="BD15" i="20" s="1"/>
  <c r="BD14" i="28"/>
  <c r="AX10" i="47" s="1"/>
  <c r="AY12" i="31"/>
  <c r="AZ19" i="28"/>
  <c r="AZ22" i="28" s="1"/>
  <c r="AT18" i="47" s="1"/>
  <c r="AZ18" i="31"/>
  <c r="AT33" i="47" s="1"/>
  <c r="BA11" i="18"/>
  <c r="BD49" i="19"/>
  <c r="BD51" i="19" s="1"/>
  <c r="BD36" i="19" s="1"/>
  <c r="BE37" i="19" s="1"/>
  <c r="BD30" i="19"/>
  <c r="BD32" i="19" s="1"/>
  <c r="BC21" i="28"/>
  <c r="AW17" i="47" s="1"/>
  <c r="BD15" i="31"/>
  <c r="AX30" i="47" s="1"/>
  <c r="BE28" i="15"/>
  <c r="AZ16" i="31"/>
  <c r="AT31" i="47" s="1"/>
  <c r="BA11" i="17"/>
  <c r="BC20" i="31"/>
  <c r="AW35" i="47" s="1"/>
  <c r="BD75" i="20"/>
  <c r="BE12" i="13"/>
  <c r="BE27" i="13"/>
  <c r="BE29" i="13" s="1"/>
  <c r="AZ23" i="34"/>
  <c r="AT62" i="47" s="1"/>
  <c r="BD17" i="28"/>
  <c r="AX13" i="47" s="1"/>
  <c r="BE10" i="37"/>
  <c r="BE24" i="12"/>
  <c r="BE26" i="12" s="1"/>
  <c r="BF17" i="10"/>
  <c r="Y10" i="38"/>
  <c r="Q10" i="39"/>
  <c r="M10" i="26"/>
  <c r="BD33" i="16"/>
  <c r="BD34" i="16" s="1"/>
  <c r="BD13" i="16" s="1"/>
  <c r="BD15" i="16" s="1"/>
  <c r="BD47" i="16"/>
  <c r="BJ18" i="34"/>
  <c r="BD57" i="47" s="1"/>
  <c r="BF14" i="16"/>
  <c r="BF28" i="16"/>
  <c r="BE16" i="19"/>
  <c r="BE17" i="19" s="1"/>
  <c r="BE42" i="15"/>
  <c r="BE20" i="15"/>
  <c r="BE25" i="11"/>
  <c r="BE16" i="37"/>
  <c r="BE62" i="12"/>
  <c r="BE64" i="12" s="1"/>
  <c r="BE53" i="12"/>
  <c r="BE56" i="12" s="1"/>
  <c r="Y16" i="38"/>
  <c r="AZ25" i="34"/>
  <c r="AT64" i="47" s="1"/>
  <c r="BC15" i="34" l="1"/>
  <c r="AW54" i="47" s="1"/>
  <c r="AY22" i="9"/>
  <c r="AY24" i="9" s="1"/>
  <c r="AY23" i="31" s="1"/>
  <c r="AS38" i="47" s="1"/>
  <c r="AS27" i="47"/>
  <c r="AZ82" i="20"/>
  <c r="AT15" i="47"/>
  <c r="P12" i="33"/>
  <c r="W12" i="32"/>
  <c r="BD20" i="20"/>
  <c r="BD21" i="20" s="1"/>
  <c r="BD34" i="20" s="1"/>
  <c r="AZ21" i="31"/>
  <c r="AT36" i="47" s="1"/>
  <c r="AZ26" i="34"/>
  <c r="BD17" i="31"/>
  <c r="AX32" i="47" s="1"/>
  <c r="BE11" i="16"/>
  <c r="BF20" i="34"/>
  <c r="AZ59" i="47" s="1"/>
  <c r="BD24" i="34"/>
  <c r="AX63" i="47" s="1"/>
  <c r="BE15" i="37"/>
  <c r="BF51" i="12"/>
  <c r="Q15" i="39"/>
  <c r="Y15" i="38"/>
  <c r="M15" i="26"/>
  <c r="AZ37" i="9"/>
  <c r="AZ38" i="9" s="1"/>
  <c r="BD19" i="31"/>
  <c r="AX34" i="47" s="1"/>
  <c r="BE29" i="19"/>
  <c r="BF25" i="10"/>
  <c r="BE11" i="37"/>
  <c r="BE20" i="18"/>
  <c r="BE22" i="18" s="1"/>
  <c r="BE20" i="17"/>
  <c r="BE22" i="17" s="1"/>
  <c r="BE13" i="15"/>
  <c r="BE14" i="15" s="1"/>
  <c r="BE39" i="12"/>
  <c r="BE41" i="12" s="1"/>
  <c r="BE19" i="13"/>
  <c r="BE21" i="13" s="1"/>
  <c r="BE31" i="12"/>
  <c r="BK32" i="12" s="1"/>
  <c r="BE17" i="9"/>
  <c r="BE18" i="9" s="1"/>
  <c r="Y11" i="38"/>
  <c r="BE17" i="37"/>
  <c r="BF61" i="12"/>
  <c r="BE17" i="11"/>
  <c r="BE18" i="11" s="1"/>
  <c r="M17" i="26"/>
  <c r="Q17" i="39"/>
  <c r="Y17" i="38"/>
  <c r="BE30" i="13"/>
  <c r="BF26" i="13"/>
  <c r="BA40" i="17"/>
  <c r="BA41" i="17" s="1"/>
  <c r="BE31" i="19"/>
  <c r="BE38" i="19"/>
  <c r="BE13" i="28"/>
  <c r="AY9" i="47" s="1"/>
  <c r="Y13" i="29"/>
  <c r="BA27" i="18"/>
  <c r="BA28" i="18" s="1"/>
  <c r="BA40" i="18"/>
  <c r="BA41" i="18" s="1"/>
  <c r="BE21" i="19"/>
  <c r="BE43" i="15"/>
  <c r="BE45" i="15" s="1"/>
  <c r="BE21" i="15"/>
  <c r="BG22" i="15" s="1"/>
  <c r="BD25" i="20"/>
  <c r="BD27" i="20" s="1"/>
  <c r="BD39" i="20"/>
  <c r="BD66" i="20"/>
  <c r="BD68" i="20" s="1"/>
  <c r="P23" i="33" l="1"/>
  <c r="W23" i="32"/>
  <c r="AY15" i="22"/>
  <c r="AY17" i="22" s="1"/>
  <c r="AY21" i="22" s="1"/>
  <c r="AZ29" i="34"/>
  <c r="AT68" i="47" s="1"/>
  <c r="AT65" i="47"/>
  <c r="AZ23" i="9"/>
  <c r="BG8" i="34"/>
  <c r="BA47" i="47" s="1"/>
  <c r="BG44" i="15"/>
  <c r="BE10" i="31"/>
  <c r="AY25" i="47" s="1"/>
  <c r="BF41" i="15"/>
  <c r="Y10" i="32"/>
  <c r="M10" i="24"/>
  <c r="G25" i="50" s="1"/>
  <c r="Q10" i="33"/>
  <c r="BE48" i="19"/>
  <c r="BE12" i="37"/>
  <c r="BF38" i="12"/>
  <c r="Q12" i="39"/>
  <c r="M12" i="26"/>
  <c r="Y12" i="38"/>
  <c r="BE8" i="28"/>
  <c r="BE19" i="16"/>
  <c r="BE21" i="16" s="1"/>
  <c r="BE26" i="11"/>
  <c r="BE27" i="11" s="1"/>
  <c r="Y8" i="29"/>
  <c r="BA33" i="17"/>
  <c r="BA46" i="17"/>
  <c r="BA47" i="17" s="1"/>
  <c r="BA42" i="17"/>
  <c r="BE21" i="34"/>
  <c r="AY60" i="47" s="1"/>
  <c r="BE12" i="18"/>
  <c r="Y21" i="35"/>
  <c r="AZ25" i="31"/>
  <c r="AT40" i="47" s="1"/>
  <c r="AZ28" i="9"/>
  <c r="AZ30" i="9" s="1"/>
  <c r="BA36" i="9"/>
  <c r="BE15" i="15"/>
  <c r="BE32" i="15"/>
  <c r="BE17" i="34"/>
  <c r="AY56" i="47" s="1"/>
  <c r="BE27" i="17"/>
  <c r="BK28" i="17" s="1"/>
  <c r="BE12" i="17"/>
  <c r="Y17" i="35"/>
  <c r="BD69" i="20"/>
  <c r="BD77" i="20"/>
  <c r="BA33" i="18"/>
  <c r="BA46" i="18"/>
  <c r="BA47" i="18" s="1"/>
  <c r="BA42" i="18"/>
  <c r="BA29" i="18"/>
  <c r="BA14" i="18"/>
  <c r="BE9" i="31"/>
  <c r="AY24" i="47" s="1"/>
  <c r="Y9" i="32"/>
  <c r="M9" i="24"/>
  <c r="G24" i="50" s="1"/>
  <c r="Q9" i="33"/>
  <c r="BE29" i="15"/>
  <c r="BE10" i="12"/>
  <c r="BE11" i="12" s="1"/>
  <c r="BE39" i="16"/>
  <c r="BE40" i="16" s="1"/>
  <c r="BE8" i="31"/>
  <c r="AY23" i="47" s="1"/>
  <c r="BF18" i="13"/>
  <c r="Y8" i="32"/>
  <c r="Q8" i="33"/>
  <c r="M8" i="24"/>
  <c r="G23" i="50" s="1"/>
  <c r="BF24" i="10"/>
  <c r="BF26" i="10" s="1"/>
  <c r="BE10" i="34"/>
  <c r="AY49" i="47" s="1"/>
  <c r="Y10" i="35"/>
  <c r="BD35" i="20"/>
  <c r="BD36" i="20" s="1"/>
  <c r="BE33" i="20" s="1"/>
  <c r="BD40" i="20"/>
  <c r="BD41" i="20" s="1"/>
  <c r="BD46" i="20" s="1"/>
  <c r="BD47" i="20" s="1"/>
  <c r="BK13" i="37"/>
  <c r="BK52" i="12"/>
  <c r="BK40" i="12"/>
  <c r="AA13" i="38"/>
  <c r="AZ12" i="9" l="1"/>
  <c r="AZ13" i="9" s="1"/>
  <c r="BA11" i="9" s="1"/>
  <c r="BE11" i="28"/>
  <c r="AY7" i="47" s="1"/>
  <c r="AY4" i="47"/>
  <c r="BK14" i="17"/>
  <c r="BK29" i="17"/>
  <c r="BE14" i="31"/>
  <c r="AY29" i="47" s="1"/>
  <c r="BF24" i="11"/>
  <c r="Q14" i="33"/>
  <c r="M14" i="24"/>
  <c r="G29" i="50" s="1"/>
  <c r="Y14" i="32"/>
  <c r="BE9" i="19"/>
  <c r="BE11" i="19" s="1"/>
  <c r="BE22" i="19" s="1"/>
  <c r="BE23" i="19" s="1"/>
  <c r="BE30" i="15"/>
  <c r="BE36" i="15" s="1"/>
  <c r="AZ27" i="31"/>
  <c r="AT42" i="47" s="1"/>
  <c r="AZ16" i="22"/>
  <c r="BA18" i="28"/>
  <c r="AU14" i="47" s="1"/>
  <c r="BE19" i="34"/>
  <c r="AY58" i="47" s="1"/>
  <c r="BE26" i="16"/>
  <c r="BG27" i="16" s="1"/>
  <c r="BE12" i="16"/>
  <c r="Y19" i="35"/>
  <c r="BF25" i="12"/>
  <c r="BA48" i="18"/>
  <c r="BA34" i="18"/>
  <c r="BA35" i="18" s="1"/>
  <c r="BA13" i="18" s="1"/>
  <c r="BA15" i="18" s="1"/>
  <c r="BE26" i="20"/>
  <c r="BF10" i="13"/>
  <c r="BF11" i="13" s="1"/>
  <c r="BE14" i="34"/>
  <c r="AY53" i="47" s="1"/>
  <c r="Y14" i="35"/>
  <c r="BF44" i="12"/>
  <c r="BF45" i="12" s="1"/>
  <c r="BF11" i="11"/>
  <c r="BF12" i="11" s="1"/>
  <c r="BF20" i="10"/>
  <c r="BF21" i="10" s="1"/>
  <c r="BD76" i="20"/>
  <c r="BD78" i="20" s="1"/>
  <c r="BD81" i="20"/>
  <c r="BD48" i="20"/>
  <c r="BA16" i="28"/>
  <c r="AU12" i="47" s="1"/>
  <c r="BD11" i="34"/>
  <c r="BA48" i="17"/>
  <c r="BA34" i="17"/>
  <c r="BA35" i="17" s="1"/>
  <c r="BA13" i="17" s="1"/>
  <c r="BA15" i="17" s="1"/>
  <c r="BE45" i="16"/>
  <c r="BE46" i="16" s="1"/>
  <c r="BE32" i="16"/>
  <c r="BE41" i="16"/>
  <c r="BA22" i="34"/>
  <c r="AU61" i="47" s="1"/>
  <c r="AZ9" i="8" l="1"/>
  <c r="AZ11" i="31"/>
  <c r="AT26" i="47" s="1"/>
  <c r="Y11" i="29"/>
  <c r="BD12" i="34"/>
  <c r="AX51" i="47" s="1"/>
  <c r="AX50" i="47"/>
  <c r="BE9" i="20"/>
  <c r="BE10" i="20" s="1"/>
  <c r="BE14" i="20" s="1"/>
  <c r="BE15" i="20" s="1"/>
  <c r="BE14" i="28"/>
  <c r="AY10" i="47" s="1"/>
  <c r="BE15" i="31"/>
  <c r="AY30" i="47" s="1"/>
  <c r="BF28" i="15"/>
  <c r="Q15" i="33"/>
  <c r="M15" i="24"/>
  <c r="G30" i="50" s="1"/>
  <c r="Y15" i="32"/>
  <c r="BA25" i="34"/>
  <c r="AU64" i="47" s="1"/>
  <c r="BE17" i="28"/>
  <c r="AY13" i="47" s="1"/>
  <c r="Y17" i="29"/>
  <c r="BE47" i="16"/>
  <c r="BE33" i="16"/>
  <c r="BE34" i="16" s="1"/>
  <c r="BE13" i="16" s="1"/>
  <c r="BE15" i="16" s="1"/>
  <c r="BD20" i="31"/>
  <c r="AX35" i="47" s="1"/>
  <c r="BE75" i="20"/>
  <c r="BF27" i="13"/>
  <c r="BF29" i="13" s="1"/>
  <c r="BF12" i="13"/>
  <c r="BF10" i="37"/>
  <c r="BF24" i="12"/>
  <c r="BF26" i="12" s="1"/>
  <c r="BG17" i="10"/>
  <c r="BA18" i="31"/>
  <c r="AU33" i="47" s="1"/>
  <c r="BB11" i="18"/>
  <c r="BF16" i="19"/>
  <c r="BF17" i="19" s="1"/>
  <c r="BF42" i="15"/>
  <c r="BF20" i="15"/>
  <c r="BF25" i="11"/>
  <c r="BA19" i="28"/>
  <c r="AU15" i="47" s="1"/>
  <c r="BF16" i="37"/>
  <c r="BF62" i="12"/>
  <c r="BF64" i="12" s="1"/>
  <c r="BF53" i="12"/>
  <c r="BF56" i="12" s="1"/>
  <c r="BK18" i="34"/>
  <c r="BE57" i="47" s="1"/>
  <c r="AA18" i="35"/>
  <c r="BD21" i="28"/>
  <c r="AX17" i="47" s="1"/>
  <c r="BG14" i="16"/>
  <c r="BG28" i="16"/>
  <c r="BE49" i="19"/>
  <c r="BE51" i="19" s="1"/>
  <c r="BE36" i="19" s="1"/>
  <c r="BF37" i="19" s="1"/>
  <c r="BE30" i="19"/>
  <c r="BE32" i="19" s="1"/>
  <c r="BA16" i="31"/>
  <c r="AU31" i="47" s="1"/>
  <c r="BB11" i="17"/>
  <c r="BA23" i="34"/>
  <c r="AU62" i="47" s="1"/>
  <c r="AZ12" i="31" l="1"/>
  <c r="BD15" i="34"/>
  <c r="AX54" i="47" s="1"/>
  <c r="AZ22" i="9"/>
  <c r="AZ24" i="9" s="1"/>
  <c r="AZ15" i="22" s="1"/>
  <c r="AZ17" i="22" s="1"/>
  <c r="AZ21" i="22" s="1"/>
  <c r="AT27" i="47"/>
  <c r="Y14" i="29"/>
  <c r="BA21" i="31"/>
  <c r="AU36" i="47" s="1"/>
  <c r="BE20" i="20"/>
  <c r="BE21" i="20" s="1"/>
  <c r="BE34" i="20" s="1"/>
  <c r="BA26" i="34"/>
  <c r="BE17" i="31"/>
  <c r="AY32" i="47" s="1"/>
  <c r="BF11" i="16"/>
  <c r="Q17" i="33"/>
  <c r="Y17" i="32"/>
  <c r="M17" i="24"/>
  <c r="G32" i="50" s="1"/>
  <c r="BF17" i="37"/>
  <c r="BG61" i="12"/>
  <c r="BF17" i="11"/>
  <c r="BF18" i="11" s="1"/>
  <c r="BF30" i="13"/>
  <c r="BF9" i="31" s="1"/>
  <c r="AZ24" i="47" s="1"/>
  <c r="BG26" i="13"/>
  <c r="BF21" i="19"/>
  <c r="BF43" i="15"/>
  <c r="BF21" i="15"/>
  <c r="BH22" i="15" s="1"/>
  <c r="BE19" i="31"/>
  <c r="AY34" i="47" s="1"/>
  <c r="BF29" i="19"/>
  <c r="M19" i="24"/>
  <c r="G34" i="50" s="1"/>
  <c r="Y19" i="32"/>
  <c r="Q19" i="33"/>
  <c r="BB40" i="18"/>
  <c r="BB41" i="18" s="1"/>
  <c r="BB27" i="18"/>
  <c r="BB28" i="18" s="1"/>
  <c r="BE66" i="20"/>
  <c r="BE68" i="20" s="1"/>
  <c r="BA22" i="28"/>
  <c r="AU18" i="47" s="1"/>
  <c r="BA82" i="20"/>
  <c r="BB40" i="17"/>
  <c r="BB41" i="17" s="1"/>
  <c r="BF13" i="28"/>
  <c r="AZ9" i="47" s="1"/>
  <c r="BF31" i="19"/>
  <c r="BF38" i="19"/>
  <c r="BE39" i="20"/>
  <c r="BE25" i="20"/>
  <c r="BE27" i="20" s="1"/>
  <c r="BG20" i="34"/>
  <c r="BA59" i="47" s="1"/>
  <c r="BF15" i="37"/>
  <c r="BG51" i="12"/>
  <c r="BG25" i="10"/>
  <c r="BE24" i="34"/>
  <c r="AY63" i="47" s="1"/>
  <c r="Y24" i="35"/>
  <c r="BF11" i="37"/>
  <c r="BF20" i="18"/>
  <c r="BF22" i="18" s="1"/>
  <c r="BF20" i="17"/>
  <c r="BF22" i="17" s="1"/>
  <c r="BF13" i="15"/>
  <c r="BF14" i="15" s="1"/>
  <c r="BF19" i="13"/>
  <c r="BF21" i="13" s="1"/>
  <c r="BF39" i="12"/>
  <c r="BF41" i="12" s="1"/>
  <c r="BF31" i="12"/>
  <c r="BL32" i="12" s="1"/>
  <c r="BF17" i="9"/>
  <c r="BF18" i="9" s="1"/>
  <c r="BF45" i="15"/>
  <c r="BA29" i="34" l="1"/>
  <c r="AU68" i="47" s="1"/>
  <c r="AU65" i="47"/>
  <c r="AZ23" i="31"/>
  <c r="AT38" i="47" s="1"/>
  <c r="BA23" i="9"/>
  <c r="BH8" i="34"/>
  <c r="BB47" i="47" s="1"/>
  <c r="BH44" i="15"/>
  <c r="Z8" i="35"/>
  <c r="BF17" i="34"/>
  <c r="AZ56" i="47" s="1"/>
  <c r="BF27" i="17"/>
  <c r="BL28" i="17" s="1"/>
  <c r="BF12" i="17"/>
  <c r="BG24" i="10"/>
  <c r="BG26" i="10" s="1"/>
  <c r="BF10" i="34"/>
  <c r="AZ49" i="47" s="1"/>
  <c r="BB29" i="18"/>
  <c r="BB14" i="18"/>
  <c r="BF15" i="15"/>
  <c r="BF32" i="15"/>
  <c r="BF21" i="34"/>
  <c r="AZ60" i="47" s="1"/>
  <c r="BF12" i="18"/>
  <c r="BB46" i="18"/>
  <c r="BB47" i="18" s="1"/>
  <c r="BB33" i="18"/>
  <c r="BB42" i="18"/>
  <c r="BB46" i="17"/>
  <c r="BB47" i="17" s="1"/>
  <c r="BB42" i="17"/>
  <c r="BB33" i="17"/>
  <c r="BA37" i="9"/>
  <c r="BA38" i="9" s="1"/>
  <c r="BF29" i="15"/>
  <c r="BF10" i="12"/>
  <c r="BF11" i="12" s="1"/>
  <c r="BF8" i="28"/>
  <c r="BF19" i="16"/>
  <c r="BF21" i="16" s="1"/>
  <c r="BF26" i="11"/>
  <c r="BF27" i="11" s="1"/>
  <c r="BL13" i="37"/>
  <c r="BL40" i="12"/>
  <c r="BL52" i="12"/>
  <c r="BF12" i="37"/>
  <c r="BG38" i="12"/>
  <c r="BF48" i="19"/>
  <c r="BF39" i="16"/>
  <c r="BF40" i="16" s="1"/>
  <c r="BF10" i="31"/>
  <c r="AZ25" i="47" s="1"/>
  <c r="BG41" i="15"/>
  <c r="BF8" i="31"/>
  <c r="AZ23" i="47" s="1"/>
  <c r="BG18" i="13"/>
  <c r="BE40" i="20"/>
  <c r="BE41" i="20" s="1"/>
  <c r="BE46" i="20" s="1"/>
  <c r="BE47" i="20" s="1"/>
  <c r="BE35" i="20"/>
  <c r="BE36" i="20" s="1"/>
  <c r="BF33" i="20" s="1"/>
  <c r="BE77" i="20"/>
  <c r="BE69" i="20"/>
  <c r="BA12" i="9" l="1"/>
  <c r="BA13" i="9" s="1"/>
  <c r="BB11" i="9" s="1"/>
  <c r="BF11" i="28"/>
  <c r="AZ7" i="47" s="1"/>
  <c r="AZ4" i="47"/>
  <c r="BE81" i="20"/>
  <c r="BE48" i="20"/>
  <c r="BE76" i="20"/>
  <c r="BE78" i="20" s="1"/>
  <c r="BA25" i="31"/>
  <c r="AU40" i="47" s="1"/>
  <c r="BA28" i="9"/>
  <c r="BA30" i="9" s="1"/>
  <c r="BB36" i="9"/>
  <c r="BL29" i="17"/>
  <c r="BL14" i="17"/>
  <c r="BF14" i="31"/>
  <c r="AZ29" i="47" s="1"/>
  <c r="BG24" i="11"/>
  <c r="BB18" i="28"/>
  <c r="AV14" i="47" s="1"/>
  <c r="X18" i="29"/>
  <c r="BF19" i="34"/>
  <c r="AZ58" i="47" s="1"/>
  <c r="BF12" i="16"/>
  <c r="BF26" i="16"/>
  <c r="BH27" i="16" s="1"/>
  <c r="BF45" i="16"/>
  <c r="BF46" i="16" s="1"/>
  <c r="BF32" i="16"/>
  <c r="BF41" i="16"/>
  <c r="BB16" i="28"/>
  <c r="AV12" i="47" s="1"/>
  <c r="X16" i="29"/>
  <c r="BB48" i="18"/>
  <c r="BB34" i="18"/>
  <c r="BB35" i="18" s="1"/>
  <c r="BB13" i="18" s="1"/>
  <c r="BB15" i="18" s="1"/>
  <c r="BF14" i="34"/>
  <c r="AZ53" i="47" s="1"/>
  <c r="BG44" i="12"/>
  <c r="BG45" i="12" s="1"/>
  <c r="BG11" i="11"/>
  <c r="BG12" i="11" s="1"/>
  <c r="BG20" i="10"/>
  <c r="BG21" i="10" s="1"/>
  <c r="BF26" i="20"/>
  <c r="BF9" i="19"/>
  <c r="BF11" i="19" s="1"/>
  <c r="BF22" i="19" s="1"/>
  <c r="BF23" i="19" s="1"/>
  <c r="BF30" i="15"/>
  <c r="BF36" i="15" s="1"/>
  <c r="BB48" i="17"/>
  <c r="BB34" i="17"/>
  <c r="BB35" i="17" s="1"/>
  <c r="BB13" i="17" s="1"/>
  <c r="BB15" i="17" s="1"/>
  <c r="BG10" i="13"/>
  <c r="BG11" i="13" s="1"/>
  <c r="BG25" i="12"/>
  <c r="BE11" i="34"/>
  <c r="Y11" i="35"/>
  <c r="BB22" i="34"/>
  <c r="AV61" i="47" s="1"/>
  <c r="X22" i="35"/>
  <c r="BA11" i="31" l="1"/>
  <c r="AU26" i="47" s="1"/>
  <c r="BA9" i="8"/>
  <c r="BF9" i="20"/>
  <c r="BF10" i="20" s="1"/>
  <c r="BF20" i="20" s="1"/>
  <c r="BF21" i="20" s="1"/>
  <c r="BF34" i="20" s="1"/>
  <c r="BF14" i="28"/>
  <c r="AZ10" i="47" s="1"/>
  <c r="BE12" i="34"/>
  <c r="AY51" i="47" s="1"/>
  <c r="AY50" i="47"/>
  <c r="BA12" i="31"/>
  <c r="BB16" i="31"/>
  <c r="AV31" i="47" s="1"/>
  <c r="BC11" i="17"/>
  <c r="X16" i="32"/>
  <c r="BB18" i="31"/>
  <c r="AV33" i="47" s="1"/>
  <c r="BC11" i="18"/>
  <c r="X18" i="32"/>
  <c r="BG10" i="37"/>
  <c r="BG24" i="12"/>
  <c r="BG26" i="12" s="1"/>
  <c r="BH17" i="10"/>
  <c r="BB25" i="34"/>
  <c r="AV64" i="47" s="1"/>
  <c r="X25" i="35"/>
  <c r="BH28" i="16"/>
  <c r="BH14" i="16"/>
  <c r="BG16" i="19"/>
  <c r="BG17" i="19" s="1"/>
  <c r="BG42" i="15"/>
  <c r="BG20" i="15"/>
  <c r="BG25" i="11"/>
  <c r="BF17" i="28"/>
  <c r="AZ13" i="47" s="1"/>
  <c r="BF15" i="31"/>
  <c r="AZ30" i="47" s="1"/>
  <c r="BG28" i="15"/>
  <c r="BB23" i="34"/>
  <c r="AV62" i="47" s="1"/>
  <c r="X23" i="35"/>
  <c r="BB19" i="28"/>
  <c r="AV15" i="47" s="1"/>
  <c r="BF33" i="16"/>
  <c r="BF34" i="16" s="1"/>
  <c r="BF13" i="16" s="1"/>
  <c r="BF15" i="16" s="1"/>
  <c r="BF47" i="16"/>
  <c r="BG27" i="13"/>
  <c r="BG29" i="13" s="1"/>
  <c r="BG12" i="13"/>
  <c r="BG16" i="37"/>
  <c r="BG62" i="12"/>
  <c r="BG64" i="12" s="1"/>
  <c r="BG53" i="12"/>
  <c r="BG56" i="12" s="1"/>
  <c r="BL18" i="34"/>
  <c r="BF57" i="47" s="1"/>
  <c r="BE20" i="31"/>
  <c r="AY35" i="47" s="1"/>
  <c r="BF75" i="20"/>
  <c r="Y20" i="32"/>
  <c r="Q20" i="33"/>
  <c r="M20" i="24"/>
  <c r="G35" i="50" s="1"/>
  <c r="BF49" i="19"/>
  <c r="BF51" i="19" s="1"/>
  <c r="BF36" i="19" s="1"/>
  <c r="BG37" i="19" s="1"/>
  <c r="BF30" i="19"/>
  <c r="BF32" i="19" s="1"/>
  <c r="BE21" i="28"/>
  <c r="AY17" i="47" s="1"/>
  <c r="Y21" i="29"/>
  <c r="BA27" i="31"/>
  <c r="AU42" i="47" s="1"/>
  <c r="BA16" i="22"/>
  <c r="BE15" i="34" l="1"/>
  <c r="AY54" i="47" s="1"/>
  <c r="BF14" i="20"/>
  <c r="BF15" i="20" s="1"/>
  <c r="Y12" i="35"/>
  <c r="BA22" i="9"/>
  <c r="BA24" i="9" s="1"/>
  <c r="BA23" i="31" s="1"/>
  <c r="AU38" i="47" s="1"/>
  <c r="AU27" i="47"/>
  <c r="BB26" i="34"/>
  <c r="BF17" i="31"/>
  <c r="AZ32" i="47" s="1"/>
  <c r="BG11" i="16"/>
  <c r="BG15" i="37"/>
  <c r="BH51" i="12"/>
  <c r="BB22" i="28"/>
  <c r="AV18" i="47" s="1"/>
  <c r="BB82" i="20"/>
  <c r="X19" i="29"/>
  <c r="BF19" i="31"/>
  <c r="AZ34" i="47" s="1"/>
  <c r="BG29" i="19"/>
  <c r="BG31" i="19"/>
  <c r="BG38" i="19"/>
  <c r="BC27" i="18"/>
  <c r="BC28" i="18" s="1"/>
  <c r="BC40" i="18"/>
  <c r="BC41" i="18" s="1"/>
  <c r="BG13" i="28"/>
  <c r="BA9" i="47" s="1"/>
  <c r="BG21" i="19"/>
  <c r="BG43" i="15"/>
  <c r="BG45" i="15" s="1"/>
  <c r="BG21" i="15"/>
  <c r="BI22" i="15" s="1"/>
  <c r="BG11" i="37"/>
  <c r="BG20" i="18"/>
  <c r="BG22" i="18" s="1"/>
  <c r="BG20" i="17"/>
  <c r="BG22" i="17" s="1"/>
  <c r="BG19" i="13"/>
  <c r="BG21" i="13" s="1"/>
  <c r="BG39" i="12"/>
  <c r="BG41" i="12" s="1"/>
  <c r="BG13" i="15"/>
  <c r="BG14" i="15" s="1"/>
  <c r="BG31" i="12"/>
  <c r="BM32" i="12" s="1"/>
  <c r="BG17" i="9"/>
  <c r="BG18" i="9" s="1"/>
  <c r="BG17" i="37"/>
  <c r="BH61" i="12"/>
  <c r="BG17" i="11"/>
  <c r="BG18" i="11" s="1"/>
  <c r="BG30" i="13"/>
  <c r="BG9" i="31" s="1"/>
  <c r="BA24" i="47" s="1"/>
  <c r="BH26" i="13"/>
  <c r="BF39" i="20"/>
  <c r="BF25" i="20"/>
  <c r="BF27" i="20" s="1"/>
  <c r="BF24" i="34"/>
  <c r="AZ63" i="47" s="1"/>
  <c r="BC40" i="17"/>
  <c r="BC41" i="17" s="1"/>
  <c r="Y15" i="35"/>
  <c r="BF66" i="20"/>
  <c r="BF68" i="20" s="1"/>
  <c r="BH20" i="34"/>
  <c r="BB59" i="47" s="1"/>
  <c r="Z20" i="35"/>
  <c r="BH25" i="10"/>
  <c r="BB21" i="31"/>
  <c r="AV36" i="47" s="1"/>
  <c r="BB29" i="34" l="1"/>
  <c r="AV68" i="47" s="1"/>
  <c r="AV65" i="47"/>
  <c r="BA15" i="22"/>
  <c r="BA17" i="22" s="1"/>
  <c r="BA21" i="22" s="1"/>
  <c r="X26" i="35"/>
  <c r="BG10" i="31"/>
  <c r="BA25" i="47" s="1"/>
  <c r="BH41" i="15"/>
  <c r="BG48" i="19"/>
  <c r="BG21" i="34"/>
  <c r="BA60" i="47" s="1"/>
  <c r="BG12" i="18"/>
  <c r="BG29" i="15"/>
  <c r="BG10" i="12"/>
  <c r="BG11" i="12" s="1"/>
  <c r="BG39" i="16"/>
  <c r="BG40" i="16" s="1"/>
  <c r="BC42" i="17"/>
  <c r="BC33" i="17"/>
  <c r="BC46" i="17"/>
  <c r="BC47" i="17" s="1"/>
  <c r="BM13" i="37"/>
  <c r="BM52" i="12"/>
  <c r="BM40" i="12"/>
  <c r="BC42" i="18"/>
  <c r="BC33" i="18"/>
  <c r="BC46" i="18"/>
  <c r="BC47" i="18" s="1"/>
  <c r="BF35" i="20"/>
  <c r="BF36" i="20" s="1"/>
  <c r="BG33" i="20" s="1"/>
  <c r="BF40" i="20"/>
  <c r="BF41" i="20" s="1"/>
  <c r="BF46" i="20" s="1"/>
  <c r="BF47" i="20" s="1"/>
  <c r="BG15" i="15"/>
  <c r="BG32" i="15"/>
  <c r="BC29" i="18"/>
  <c r="BC14" i="18"/>
  <c r="BB23" i="9"/>
  <c r="X21" i="32"/>
  <c r="BG12" i="37"/>
  <c r="BH38" i="12"/>
  <c r="BG8" i="31"/>
  <c r="BA23" i="47" s="1"/>
  <c r="BH18" i="13"/>
  <c r="BG10" i="34"/>
  <c r="BA49" i="47" s="1"/>
  <c r="BB37" i="9"/>
  <c r="BB38" i="9" s="1"/>
  <c r="X22" i="29"/>
  <c r="BI8" i="34"/>
  <c r="BC47" i="47" s="1"/>
  <c r="BI44" i="15"/>
  <c r="BG8" i="28"/>
  <c r="BG19" i="16"/>
  <c r="BG21" i="16" s="1"/>
  <c r="BG26" i="11"/>
  <c r="BG27" i="11" s="1"/>
  <c r="BF77" i="20"/>
  <c r="BF69" i="20"/>
  <c r="BG17" i="34"/>
  <c r="BA56" i="47" s="1"/>
  <c r="BG27" i="17"/>
  <c r="BM28" i="17" s="1"/>
  <c r="BG12" i="17"/>
  <c r="BH24" i="10"/>
  <c r="BH26" i="10" s="1"/>
  <c r="X29" i="35"/>
  <c r="BB12" i="9" l="1"/>
  <c r="BB13" i="9" s="1"/>
  <c r="BB9" i="8" s="1"/>
  <c r="BG11" i="28"/>
  <c r="BA7" i="47" s="1"/>
  <c r="BA4" i="47"/>
  <c r="BF76" i="20"/>
  <c r="BF78" i="20" s="1"/>
  <c r="BF81" i="20"/>
  <c r="BF48" i="20"/>
  <c r="BG14" i="31"/>
  <c r="BA29" i="47" s="1"/>
  <c r="BH24" i="11"/>
  <c r="BC22" i="34"/>
  <c r="AW61" i="47" s="1"/>
  <c r="BH25" i="12"/>
  <c r="BG14" i="34"/>
  <c r="BA53" i="47" s="1"/>
  <c r="BG45" i="16"/>
  <c r="BG46" i="16" s="1"/>
  <c r="BG32" i="16"/>
  <c r="BG41" i="16"/>
  <c r="BM29" i="17"/>
  <c r="BM14" i="17"/>
  <c r="BG19" i="34"/>
  <c r="BA58" i="47" s="1"/>
  <c r="BG12" i="16"/>
  <c r="BG26" i="16"/>
  <c r="BI27" i="16" s="1"/>
  <c r="BB25" i="31"/>
  <c r="AV40" i="47" s="1"/>
  <c r="BB28" i="9"/>
  <c r="BB30" i="9" s="1"/>
  <c r="BC36" i="9"/>
  <c r="X25" i="32"/>
  <c r="BG9" i="19"/>
  <c r="BG11" i="19" s="1"/>
  <c r="BG22" i="19" s="1"/>
  <c r="BG23" i="19" s="1"/>
  <c r="BG30" i="15"/>
  <c r="BG36" i="15" s="1"/>
  <c r="BF11" i="34"/>
  <c r="BG26" i="20"/>
  <c r="BH10" i="13"/>
  <c r="BH11" i="13" s="1"/>
  <c r="BC16" i="28"/>
  <c r="AW12" i="47" s="1"/>
  <c r="BC34" i="18"/>
  <c r="BC35" i="18" s="1"/>
  <c r="BC13" i="18" s="1"/>
  <c r="BC15" i="18" s="1"/>
  <c r="BC48" i="18"/>
  <c r="BC48" i="17"/>
  <c r="BC34" i="17"/>
  <c r="BC35" i="17" s="1"/>
  <c r="BC13" i="17" s="1"/>
  <c r="BC15" i="17" s="1"/>
  <c r="BC18" i="28"/>
  <c r="AW14" i="47" s="1"/>
  <c r="BH44" i="12"/>
  <c r="BH45" i="12" s="1"/>
  <c r="BH11" i="11"/>
  <c r="BH12" i="11" s="1"/>
  <c r="BH20" i="10"/>
  <c r="BH21" i="10" s="1"/>
  <c r="X11" i="32" l="1"/>
  <c r="BB11" i="31"/>
  <c r="AV26" i="47" s="1"/>
  <c r="BC11" i="9"/>
  <c r="BF12" i="34"/>
  <c r="AZ51" i="47" s="1"/>
  <c r="AZ50" i="47"/>
  <c r="BG9" i="20"/>
  <c r="BG10" i="20" s="1"/>
  <c r="BG20" i="20" s="1"/>
  <c r="BG21" i="20" s="1"/>
  <c r="BG34" i="20" s="1"/>
  <c r="BG14" i="28"/>
  <c r="BA10" i="47" s="1"/>
  <c r="BB12" i="31"/>
  <c r="BC18" i="31"/>
  <c r="AW33" i="47" s="1"/>
  <c r="BD11" i="18"/>
  <c r="BH16" i="37"/>
  <c r="BH62" i="12"/>
  <c r="BH64" i="12" s="1"/>
  <c r="BH53" i="12"/>
  <c r="BH56" i="12" s="1"/>
  <c r="Z16" i="38"/>
  <c r="BG30" i="19"/>
  <c r="BG32" i="19" s="1"/>
  <c r="BG49" i="19"/>
  <c r="BG51" i="19" s="1"/>
  <c r="BG36" i="19" s="1"/>
  <c r="BH37" i="19" s="1"/>
  <c r="BG33" i="16"/>
  <c r="BG34" i="16" s="1"/>
  <c r="BG13" i="16" s="1"/>
  <c r="BG15" i="16" s="1"/>
  <c r="BG47" i="16"/>
  <c r="BI28" i="16"/>
  <c r="BI14" i="16"/>
  <c r="BB27" i="31"/>
  <c r="AV42" i="47" s="1"/>
  <c r="BB16" i="22"/>
  <c r="X27" i="32"/>
  <c r="BG15" i="31"/>
  <c r="BA30" i="47" s="1"/>
  <c r="BH28" i="15"/>
  <c r="BC19" i="28"/>
  <c r="AW15" i="47" s="1"/>
  <c r="BC16" i="31"/>
  <c r="AW31" i="47" s="1"/>
  <c r="BD11" i="17"/>
  <c r="BM18" i="34"/>
  <c r="BG57" i="47" s="1"/>
  <c r="BF21" i="28"/>
  <c r="AZ17" i="47" s="1"/>
  <c r="BH10" i="37"/>
  <c r="BH24" i="12"/>
  <c r="BH26" i="12" s="1"/>
  <c r="BI17" i="10"/>
  <c r="Z10" i="38"/>
  <c r="BH27" i="13"/>
  <c r="BH29" i="13" s="1"/>
  <c r="BH12" i="13"/>
  <c r="BG17" i="28"/>
  <c r="BA13" i="47" s="1"/>
  <c r="BC25" i="34"/>
  <c r="AW64" i="47" s="1"/>
  <c r="BH16" i="19"/>
  <c r="BH17" i="19" s="1"/>
  <c r="BH42" i="15"/>
  <c r="BH20" i="15"/>
  <c r="BH25" i="11"/>
  <c r="BC23" i="34"/>
  <c r="AW62" i="47" s="1"/>
  <c r="BF20" i="31"/>
  <c r="AZ35" i="47" s="1"/>
  <c r="BG75" i="20"/>
  <c r="BF15" i="34" l="1"/>
  <c r="AZ54" i="47" s="1"/>
  <c r="BG14" i="20"/>
  <c r="BG15" i="20" s="1"/>
  <c r="BG39" i="20" s="1"/>
  <c r="BB22" i="9"/>
  <c r="BB24" i="9" s="1"/>
  <c r="BB15" i="22" s="1"/>
  <c r="BB17" i="22" s="1"/>
  <c r="BB21" i="22" s="1"/>
  <c r="AV27" i="47"/>
  <c r="X12" i="32"/>
  <c r="BC21" i="31"/>
  <c r="AW36" i="47" s="1"/>
  <c r="BC26" i="34"/>
  <c r="BG17" i="31"/>
  <c r="BA32" i="47" s="1"/>
  <c r="BH11" i="16"/>
  <c r="BH30" i="13"/>
  <c r="BI26" i="13"/>
  <c r="BC22" i="28"/>
  <c r="AW18" i="47" s="1"/>
  <c r="BC82" i="20"/>
  <c r="BH11" i="37"/>
  <c r="BH20" i="18"/>
  <c r="BH22" i="18" s="1"/>
  <c r="BH20" i="17"/>
  <c r="BH22" i="17" s="1"/>
  <c r="BH13" i="15"/>
  <c r="BH14" i="15" s="1"/>
  <c r="BH19" i="13"/>
  <c r="BH21" i="13" s="1"/>
  <c r="BH31" i="12"/>
  <c r="BN32" i="12" s="1"/>
  <c r="BH39" i="12"/>
  <c r="BH41" i="12" s="1"/>
  <c r="BH17" i="9"/>
  <c r="BH18" i="9" s="1"/>
  <c r="Z11" i="38"/>
  <c r="BH15" i="37"/>
  <c r="BI51" i="12"/>
  <c r="Z15" i="38"/>
  <c r="BG24" i="34"/>
  <c r="BA63" i="47" s="1"/>
  <c r="BH17" i="37"/>
  <c r="BH17" i="11"/>
  <c r="BH18" i="11" s="1"/>
  <c r="BI61" i="12"/>
  <c r="Z17" i="38"/>
  <c r="BG66" i="20"/>
  <c r="BG68" i="20" s="1"/>
  <c r="BI25" i="10"/>
  <c r="BH21" i="19"/>
  <c r="BH43" i="15"/>
  <c r="BH45" i="15" s="1"/>
  <c r="BH21" i="15"/>
  <c r="BJ22" i="15" s="1"/>
  <c r="BD40" i="17"/>
  <c r="BD41" i="17" s="1"/>
  <c r="BH38" i="19"/>
  <c r="BH31" i="19"/>
  <c r="BD40" i="18"/>
  <c r="BD41" i="18" s="1"/>
  <c r="BD27" i="18"/>
  <c r="BD28" i="18" s="1"/>
  <c r="BH13" i="28"/>
  <c r="BB9" i="47" s="1"/>
  <c r="Z13" i="29"/>
  <c r="BI20" i="34"/>
  <c r="BC59" i="47" s="1"/>
  <c r="BG19" i="31"/>
  <c r="BA34" i="47" s="1"/>
  <c r="BH29" i="19"/>
  <c r="X23" i="32" l="1"/>
  <c r="BB23" i="31"/>
  <c r="AV38" i="47" s="1"/>
  <c r="BG25" i="20"/>
  <c r="BG27" i="20" s="1"/>
  <c r="BG35" i="20" s="1"/>
  <c r="BG36" i="20" s="1"/>
  <c r="BH33" i="20" s="1"/>
  <c r="BC29" i="34"/>
  <c r="AW68" i="47" s="1"/>
  <c r="AW65" i="47"/>
  <c r="BC23" i="9"/>
  <c r="BJ8" i="34"/>
  <c r="BD47" i="47" s="1"/>
  <c r="BJ44" i="15"/>
  <c r="BH10" i="31"/>
  <c r="BB25" i="47" s="1"/>
  <c r="BI41" i="15"/>
  <c r="Z10" i="32"/>
  <c r="BD33" i="17"/>
  <c r="BD46" i="17"/>
  <c r="BD47" i="17" s="1"/>
  <c r="BD42" i="17"/>
  <c r="BG69" i="20"/>
  <c r="BG77" i="20"/>
  <c r="BH17" i="34"/>
  <c r="BB56" i="47" s="1"/>
  <c r="BH27" i="17"/>
  <c r="BN28" i="17" s="1"/>
  <c r="BH12" i="17"/>
  <c r="Z17" i="35"/>
  <c r="BH9" i="31"/>
  <c r="BB24" i="47" s="1"/>
  <c r="Z9" i="32"/>
  <c r="BH21" i="34"/>
  <c r="BB60" i="47" s="1"/>
  <c r="BH12" i="18"/>
  <c r="Z21" i="35"/>
  <c r="BH39" i="16"/>
  <c r="BH40" i="16" s="1"/>
  <c r="BH8" i="28"/>
  <c r="BH19" i="16"/>
  <c r="BH21" i="16" s="1"/>
  <c r="BH26" i="11"/>
  <c r="BH27" i="11" s="1"/>
  <c r="Z8" i="29"/>
  <c r="BH29" i="15"/>
  <c r="BH10" i="12"/>
  <c r="BH11" i="12" s="1"/>
  <c r="BH15" i="15"/>
  <c r="BH32" i="15"/>
  <c r="BD33" i="18"/>
  <c r="BD46" i="18"/>
  <c r="BD47" i="18" s="1"/>
  <c r="BD42" i="18"/>
  <c r="BI24" i="10"/>
  <c r="BI26" i="10" s="1"/>
  <c r="BH12" i="37"/>
  <c r="BI38" i="12"/>
  <c r="Z12" i="38"/>
  <c r="BD29" i="18"/>
  <c r="BD14" i="18"/>
  <c r="BN13" i="37"/>
  <c r="BN52" i="12"/>
  <c r="BN40" i="12"/>
  <c r="AB13" i="38"/>
  <c r="BH48" i="19"/>
  <c r="BH10" i="34"/>
  <c r="BB49" i="47" s="1"/>
  <c r="Z10" i="35"/>
  <c r="BH8" i="31"/>
  <c r="BB23" i="47" s="1"/>
  <c r="BI18" i="13"/>
  <c r="Z8" i="32"/>
  <c r="BC37" i="9"/>
  <c r="BC38" i="9" s="1"/>
  <c r="BG40" i="20" l="1"/>
  <c r="BG41" i="20" s="1"/>
  <c r="BG46" i="20" s="1"/>
  <c r="BG47" i="20" s="1"/>
  <c r="BC12" i="9"/>
  <c r="BC13" i="9" s="1"/>
  <c r="BH11" i="28"/>
  <c r="BB7" i="47" s="1"/>
  <c r="BB4" i="47"/>
  <c r="BG76" i="20"/>
  <c r="BG78" i="20" s="1"/>
  <c r="BG81" i="20"/>
  <c r="BG48" i="20"/>
  <c r="BH14" i="31"/>
  <c r="BB29" i="47" s="1"/>
  <c r="BI24" i="11"/>
  <c r="Z14" i="32"/>
  <c r="BH19" i="34"/>
  <c r="BB58" i="47" s="1"/>
  <c r="BH12" i="16"/>
  <c r="BH26" i="16"/>
  <c r="BJ27" i="16" s="1"/>
  <c r="Z19" i="35"/>
  <c r="BH14" i="34"/>
  <c r="BB53" i="47" s="1"/>
  <c r="Z14" i="35"/>
  <c r="BN29" i="17"/>
  <c r="BN14" i="17"/>
  <c r="BD34" i="18"/>
  <c r="BD35" i="18" s="1"/>
  <c r="BD13" i="18" s="1"/>
  <c r="BD15" i="18" s="1"/>
  <c r="BD48" i="18"/>
  <c r="BC11" i="31"/>
  <c r="AW26" i="47" s="1"/>
  <c r="BD11" i="9"/>
  <c r="BC9" i="8"/>
  <c r="BH9" i="19"/>
  <c r="BH11" i="19" s="1"/>
  <c r="BH22" i="19" s="1"/>
  <c r="BH23" i="19" s="1"/>
  <c r="BH30" i="15"/>
  <c r="BH36" i="15" s="1"/>
  <c r="BD48" i="17"/>
  <c r="BD34" i="17"/>
  <c r="BD35" i="17" s="1"/>
  <c r="BD13" i="17" s="1"/>
  <c r="BD15" i="17" s="1"/>
  <c r="BH26" i="20"/>
  <c r="BC25" i="31"/>
  <c r="AW40" i="47" s="1"/>
  <c r="BD36" i="9"/>
  <c r="BC28" i="9"/>
  <c r="BC30" i="9" s="1"/>
  <c r="BG11" i="34"/>
  <c r="BI25" i="12"/>
  <c r="BI44" i="12"/>
  <c r="BI45" i="12" s="1"/>
  <c r="BI11" i="11"/>
  <c r="BI12" i="11" s="1"/>
  <c r="BI20" i="10"/>
  <c r="BI21" i="10" s="1"/>
  <c r="BI10" i="13"/>
  <c r="BI11" i="13" s="1"/>
  <c r="BD22" i="34"/>
  <c r="AX61" i="47" s="1"/>
  <c r="BD18" i="28"/>
  <c r="AX14" i="47" s="1"/>
  <c r="BH32" i="16"/>
  <c r="BH41" i="16"/>
  <c r="BH45" i="16"/>
  <c r="BH46" i="16" s="1"/>
  <c r="BD16" i="28"/>
  <c r="AX12" i="47" s="1"/>
  <c r="BG12" i="34" l="1"/>
  <c r="BA51" i="47" s="1"/>
  <c r="BA50" i="47"/>
  <c r="Z11" i="29"/>
  <c r="BH9" i="20"/>
  <c r="BH10" i="20" s="1"/>
  <c r="BH20" i="20" s="1"/>
  <c r="BH21" i="20" s="1"/>
  <c r="BH34" i="20" s="1"/>
  <c r="BH14" i="28"/>
  <c r="BB10" i="47" s="1"/>
  <c r="BC12" i="31"/>
  <c r="BD19" i="28"/>
  <c r="BD18" i="31"/>
  <c r="AX33" i="47" s="1"/>
  <c r="BE11" i="18"/>
  <c r="BN18" i="34"/>
  <c r="BH57" i="47" s="1"/>
  <c r="AB18" i="35"/>
  <c r="BH47" i="16"/>
  <c r="BH33" i="16"/>
  <c r="BH34" i="16" s="1"/>
  <c r="BH13" i="16" s="1"/>
  <c r="BH15" i="16" s="1"/>
  <c r="BI27" i="13"/>
  <c r="BI29" i="13" s="1"/>
  <c r="BI12" i="13"/>
  <c r="BI10" i="37"/>
  <c r="BI24" i="12"/>
  <c r="BI26" i="12" s="1"/>
  <c r="BJ17" i="10"/>
  <c r="BH17" i="28"/>
  <c r="BB13" i="47" s="1"/>
  <c r="Z17" i="29"/>
  <c r="BD25" i="34"/>
  <c r="AX64" i="47" s="1"/>
  <c r="BI16" i="37"/>
  <c r="BI62" i="12"/>
  <c r="BI64" i="12" s="1"/>
  <c r="BI53" i="12"/>
  <c r="BI56" i="12" s="1"/>
  <c r="BD23" i="34"/>
  <c r="AX62" i="47" s="1"/>
  <c r="BJ14" i="16"/>
  <c r="BJ28" i="16"/>
  <c r="BG21" i="28"/>
  <c r="BA17" i="47" s="1"/>
  <c r="BH15" i="31"/>
  <c r="BB30" i="47" s="1"/>
  <c r="BI28" i="15"/>
  <c r="Z15" i="32"/>
  <c r="BD16" i="31"/>
  <c r="AX31" i="47" s="1"/>
  <c r="BE11" i="17"/>
  <c r="BI16" i="19"/>
  <c r="BI17" i="19" s="1"/>
  <c r="BI42" i="15"/>
  <c r="BI20" i="15"/>
  <c r="BI25" i="11"/>
  <c r="BC27" i="31"/>
  <c r="AW42" i="47" s="1"/>
  <c r="BC16" i="22"/>
  <c r="BH30" i="19"/>
  <c r="BH32" i="19" s="1"/>
  <c r="BH49" i="19"/>
  <c r="BH51" i="19" s="1"/>
  <c r="BH36" i="19" s="1"/>
  <c r="BI37" i="19" s="1"/>
  <c r="BG20" i="31"/>
  <c r="BA35" i="47" s="1"/>
  <c r="BH75" i="20"/>
  <c r="BG15" i="34" l="1"/>
  <c r="BA54" i="47" s="1"/>
  <c r="BC22" i="9"/>
  <c r="BC24" i="9" s="1"/>
  <c r="BC23" i="31" s="1"/>
  <c r="AW38" i="47" s="1"/>
  <c r="AW27" i="47"/>
  <c r="BD22" i="28"/>
  <c r="AX18" i="47" s="1"/>
  <c r="AX15" i="47"/>
  <c r="BH14" i="20"/>
  <c r="BH15" i="20" s="1"/>
  <c r="BH25" i="20" s="1"/>
  <c r="BH27" i="20" s="1"/>
  <c r="Z14" i="29"/>
  <c r="BD82" i="20"/>
  <c r="BD26" i="34"/>
  <c r="BD21" i="31"/>
  <c r="AX36" i="47" s="1"/>
  <c r="BH17" i="31"/>
  <c r="BB32" i="47" s="1"/>
  <c r="BI11" i="16"/>
  <c r="Z17" i="32"/>
  <c r="BI13" i="28"/>
  <c r="BC9" i="47" s="1"/>
  <c r="BI30" i="13"/>
  <c r="BI9" i="31" s="1"/>
  <c r="BC24" i="47" s="1"/>
  <c r="BJ26" i="13"/>
  <c r="BJ20" i="34"/>
  <c r="BD59" i="47" s="1"/>
  <c r="BH24" i="34"/>
  <c r="BB63" i="47" s="1"/>
  <c r="Z24" i="35"/>
  <c r="BH66" i="20"/>
  <c r="BH68" i="20" s="1"/>
  <c r="BI21" i="19"/>
  <c r="BI43" i="15"/>
  <c r="BI45" i="15" s="1"/>
  <c r="BI21" i="15"/>
  <c r="BK22" i="15" s="1"/>
  <c r="BI38" i="19"/>
  <c r="BI31" i="19"/>
  <c r="BI15" i="37"/>
  <c r="BJ51" i="12"/>
  <c r="BJ25" i="10"/>
  <c r="BD37" i="9"/>
  <c r="BD38" i="9" s="1"/>
  <c r="BI17" i="37"/>
  <c r="BJ61" i="12"/>
  <c r="BI17" i="11"/>
  <c r="BI18" i="11" s="1"/>
  <c r="BI11" i="37"/>
  <c r="BI20" i="18"/>
  <c r="BI22" i="18" s="1"/>
  <c r="BI20" i="17"/>
  <c r="BI22" i="17" s="1"/>
  <c r="BI13" i="15"/>
  <c r="BI14" i="15" s="1"/>
  <c r="BI19" i="13"/>
  <c r="BI21" i="13" s="1"/>
  <c r="BI31" i="12"/>
  <c r="BO32" i="12" s="1"/>
  <c r="BI17" i="9"/>
  <c r="BI18" i="9" s="1"/>
  <c r="BI39" i="12"/>
  <c r="BI41" i="12" s="1"/>
  <c r="BE27" i="18"/>
  <c r="BE28" i="18" s="1"/>
  <c r="BE40" i="18"/>
  <c r="BE41" i="18" s="1"/>
  <c r="BH19" i="31"/>
  <c r="BB34" i="47" s="1"/>
  <c r="BI29" i="19"/>
  <c r="Z19" i="32"/>
  <c r="BE40" i="17"/>
  <c r="BE41" i="17" s="1"/>
  <c r="BC15" i="22" l="1"/>
  <c r="BC17" i="22" s="1"/>
  <c r="BC21" i="22" s="1"/>
  <c r="BD29" i="34"/>
  <c r="AX68" i="47" s="1"/>
  <c r="AX65" i="47"/>
  <c r="BH39" i="20"/>
  <c r="BD23" i="9"/>
  <c r="BI10" i="31"/>
  <c r="BC25" i="47" s="1"/>
  <c r="BJ41" i="15"/>
  <c r="BI21" i="34"/>
  <c r="BC60" i="47" s="1"/>
  <c r="BI12" i="18"/>
  <c r="BI10" i="34"/>
  <c r="BC49" i="47" s="1"/>
  <c r="BH35" i="20"/>
  <c r="BH36" i="20" s="1"/>
  <c r="BI33" i="20" s="1"/>
  <c r="BH40" i="20"/>
  <c r="BI39" i="16"/>
  <c r="BI40" i="16" s="1"/>
  <c r="BK8" i="34"/>
  <c r="BE47" i="47" s="1"/>
  <c r="BK44" i="15"/>
  <c r="AA8" i="35"/>
  <c r="BI17" i="34"/>
  <c r="BC56" i="47" s="1"/>
  <c r="BI27" i="17"/>
  <c r="BO28" i="17" s="1"/>
  <c r="BI12" i="17"/>
  <c r="BE33" i="17"/>
  <c r="BE46" i="17"/>
  <c r="BE47" i="17" s="1"/>
  <c r="BE42" i="17"/>
  <c r="BI8" i="28"/>
  <c r="BI19" i="16"/>
  <c r="BI21" i="16" s="1"/>
  <c r="BI26" i="11"/>
  <c r="BI27" i="11" s="1"/>
  <c r="BI48" i="19"/>
  <c r="BI29" i="15"/>
  <c r="BI10" i="12"/>
  <c r="BI11" i="12" s="1"/>
  <c r="BI12" i="37"/>
  <c r="BJ38" i="12"/>
  <c r="BO13" i="37"/>
  <c r="BO52" i="12"/>
  <c r="BO40" i="12"/>
  <c r="BE46" i="18"/>
  <c r="BE47" i="18" s="1"/>
  <c r="BE33" i="18"/>
  <c r="BE42" i="18"/>
  <c r="BI8" i="31"/>
  <c r="BC23" i="47" s="1"/>
  <c r="BJ18" i="13"/>
  <c r="BJ24" i="10"/>
  <c r="BJ26" i="10" s="1"/>
  <c r="BE29" i="18"/>
  <c r="BE14" i="18"/>
  <c r="BI15" i="15"/>
  <c r="BI32" i="15"/>
  <c r="BD25" i="31"/>
  <c r="AX40" i="47" s="1"/>
  <c r="BE36" i="9"/>
  <c r="BD28" i="9"/>
  <c r="BD30" i="9" s="1"/>
  <c r="BH69" i="20"/>
  <c r="BH77" i="20"/>
  <c r="BD12" i="9" l="1"/>
  <c r="BD13" i="9" s="1"/>
  <c r="BH41" i="20"/>
  <c r="BH46" i="20" s="1"/>
  <c r="BH47" i="20" s="1"/>
  <c r="BH48" i="20" s="1"/>
  <c r="BI11" i="28"/>
  <c r="BC7" i="47" s="1"/>
  <c r="BC4" i="47"/>
  <c r="BJ11" i="11"/>
  <c r="BJ12" i="11" s="1"/>
  <c r="BJ44" i="12"/>
  <c r="BJ45" i="12" s="1"/>
  <c r="BJ20" i="10"/>
  <c r="BJ21" i="10" s="1"/>
  <c r="BJ10" i="13"/>
  <c r="BJ11" i="13" s="1"/>
  <c r="BO29" i="17"/>
  <c r="BO14" i="17"/>
  <c r="BI45" i="16"/>
  <c r="BI46" i="16" s="1"/>
  <c r="BI41" i="16"/>
  <c r="BI32" i="16"/>
  <c r="BE16" i="28"/>
  <c r="AY12" i="47" s="1"/>
  <c r="Y16" i="29"/>
  <c r="BI19" i="34"/>
  <c r="BC58" i="47" s="1"/>
  <c r="BI12" i="16"/>
  <c r="BI26" i="16"/>
  <c r="BK27" i="16" s="1"/>
  <c r="BE48" i="17"/>
  <c r="BE34" i="17"/>
  <c r="BE35" i="17" s="1"/>
  <c r="BE13" i="17" s="1"/>
  <c r="BE15" i="17" s="1"/>
  <c r="BI26" i="20"/>
  <c r="BD27" i="31"/>
  <c r="AX42" i="47" s="1"/>
  <c r="BD16" i="22"/>
  <c r="BE18" i="28"/>
  <c r="AY14" i="47" s="1"/>
  <c r="Y18" i="29"/>
  <c r="BD11" i="31"/>
  <c r="AX26" i="47" s="1"/>
  <c r="BE11" i="9"/>
  <c r="BD9" i="8"/>
  <c r="BI14" i="34"/>
  <c r="BC53" i="47" s="1"/>
  <c r="BJ25" i="12"/>
  <c r="BI9" i="19"/>
  <c r="BI11" i="19" s="1"/>
  <c r="BI22" i="19" s="1"/>
  <c r="BI23" i="19" s="1"/>
  <c r="BI30" i="15"/>
  <c r="BI36" i="15" s="1"/>
  <c r="BE34" i="18"/>
  <c r="BE35" i="18" s="1"/>
  <c r="BE13" i="18" s="1"/>
  <c r="BE15" i="18" s="1"/>
  <c r="BE48" i="18"/>
  <c r="BE22" i="34"/>
  <c r="AY61" i="47" s="1"/>
  <c r="Y22" i="35"/>
  <c r="BH11" i="34"/>
  <c r="Z11" i="35"/>
  <c r="BI14" i="31"/>
  <c r="BC29" i="47" s="1"/>
  <c r="BJ24" i="11"/>
  <c r="BH81" i="20" l="1"/>
  <c r="BH76" i="20"/>
  <c r="BH78" i="20" s="1"/>
  <c r="Z20" i="32" s="1"/>
  <c r="BH12" i="34"/>
  <c r="BB51" i="47" s="1"/>
  <c r="BB50" i="47"/>
  <c r="BI9" i="20"/>
  <c r="BI10" i="20" s="1"/>
  <c r="BI14" i="20" s="1"/>
  <c r="BI15" i="20" s="1"/>
  <c r="BI14" i="28"/>
  <c r="BC10" i="47" s="1"/>
  <c r="BD12" i="31"/>
  <c r="BE16" i="31"/>
  <c r="AY31" i="47" s="1"/>
  <c r="BF11" i="17"/>
  <c r="Q16" i="33"/>
  <c r="Y16" i="32"/>
  <c r="M16" i="24"/>
  <c r="G31" i="50" s="1"/>
  <c r="BJ10" i="37"/>
  <c r="BJ24" i="12"/>
  <c r="BJ26" i="12" s="1"/>
  <c r="BK17" i="10"/>
  <c r="BO18" i="34"/>
  <c r="BI57" i="47" s="1"/>
  <c r="BE25" i="34"/>
  <c r="AY64" i="47" s="1"/>
  <c r="Y25" i="35"/>
  <c r="BI15" i="31"/>
  <c r="BC30" i="47" s="1"/>
  <c r="BJ28" i="15"/>
  <c r="BJ16" i="37"/>
  <c r="BJ62" i="12"/>
  <c r="BJ64" i="12" s="1"/>
  <c r="BJ53" i="12"/>
  <c r="BJ56" i="12" s="1"/>
  <c r="BJ16" i="19"/>
  <c r="BJ17" i="19" s="1"/>
  <c r="BJ42" i="15"/>
  <c r="BJ20" i="15"/>
  <c r="BJ25" i="11"/>
  <c r="BE23" i="34"/>
  <c r="AY62" i="47" s="1"/>
  <c r="Y23" i="35"/>
  <c r="BI17" i="28"/>
  <c r="BC13" i="47" s="1"/>
  <c r="BE19" i="28"/>
  <c r="AY15" i="47" s="1"/>
  <c r="BI47" i="16"/>
  <c r="BI33" i="16"/>
  <c r="BI34" i="16" s="1"/>
  <c r="BI13" i="16" s="1"/>
  <c r="BI15" i="16" s="1"/>
  <c r="BH21" i="28"/>
  <c r="BB17" i="47" s="1"/>
  <c r="Z21" i="29"/>
  <c r="BJ27" i="13"/>
  <c r="BJ29" i="13" s="1"/>
  <c r="BJ12" i="13"/>
  <c r="BE18" i="31"/>
  <c r="AY33" i="47" s="1"/>
  <c r="BF11" i="18"/>
  <c r="M18" i="24"/>
  <c r="G33" i="50" s="1"/>
  <c r="Q18" i="33"/>
  <c r="Y18" i="32"/>
  <c r="BI49" i="19"/>
  <c r="BI51" i="19" s="1"/>
  <c r="BI36" i="19" s="1"/>
  <c r="BJ37" i="19" s="1"/>
  <c r="BI30" i="19"/>
  <c r="BI32" i="19" s="1"/>
  <c r="BH15" i="34"/>
  <c r="BB54" i="47" s="1"/>
  <c r="Z12" i="35"/>
  <c r="BK14" i="16"/>
  <c r="BK28" i="16"/>
  <c r="BI20" i="20" l="1"/>
  <c r="BI21" i="20" s="1"/>
  <c r="BI34" i="20" s="1"/>
  <c r="BI75" i="20"/>
  <c r="BH20" i="31"/>
  <c r="BB35" i="47" s="1"/>
  <c r="BD22" i="9"/>
  <c r="BD24" i="9" s="1"/>
  <c r="BD23" i="31" s="1"/>
  <c r="AX38" i="47" s="1"/>
  <c r="AX27" i="47"/>
  <c r="BE26" i="34"/>
  <c r="Y26" i="35" s="1"/>
  <c r="BI17" i="31"/>
  <c r="BC32" i="47" s="1"/>
  <c r="BJ11" i="16"/>
  <c r="Z15" i="35"/>
  <c r="BJ13" i="28"/>
  <c r="BD9" i="47" s="1"/>
  <c r="BE22" i="28"/>
  <c r="AY18" i="47" s="1"/>
  <c r="BE82" i="20"/>
  <c r="Y19" i="29"/>
  <c r="BJ17" i="37"/>
  <c r="BK61" i="12"/>
  <c r="BJ17" i="11"/>
  <c r="BJ18" i="11" s="1"/>
  <c r="BJ15" i="37"/>
  <c r="BK51" i="12"/>
  <c r="BI19" i="31"/>
  <c r="BC34" i="47" s="1"/>
  <c r="BJ29" i="19"/>
  <c r="BJ30" i="13"/>
  <c r="BJ9" i="31" s="1"/>
  <c r="BD24" i="47" s="1"/>
  <c r="BK26" i="13"/>
  <c r="BJ21" i="19"/>
  <c r="BJ43" i="15"/>
  <c r="BJ45" i="15" s="1"/>
  <c r="BJ21" i="15"/>
  <c r="BL22" i="15" s="1"/>
  <c r="BI66" i="20"/>
  <c r="BI68" i="20" s="1"/>
  <c r="BK25" i="10"/>
  <c r="BI24" i="34"/>
  <c r="BC63" i="47" s="1"/>
  <c r="BJ38" i="19"/>
  <c r="BJ31" i="19"/>
  <c r="BK20" i="34"/>
  <c r="BE59" i="47" s="1"/>
  <c r="AA20" i="35"/>
  <c r="BI25" i="20"/>
  <c r="BI27" i="20" s="1"/>
  <c r="BI39" i="20"/>
  <c r="BJ11" i="37"/>
  <c r="BJ20" i="18"/>
  <c r="BJ22" i="18" s="1"/>
  <c r="BJ20" i="17"/>
  <c r="BJ22" i="17" s="1"/>
  <c r="BJ13" i="15"/>
  <c r="BJ14" i="15" s="1"/>
  <c r="BJ19" i="13"/>
  <c r="BJ21" i="13" s="1"/>
  <c r="BJ39" i="12"/>
  <c r="BJ41" i="12" s="1"/>
  <c r="BJ31" i="12"/>
  <c r="BP32" i="12" s="1"/>
  <c r="BJ17" i="9"/>
  <c r="BJ18" i="9" s="1"/>
  <c r="BF40" i="17"/>
  <c r="BF41" i="17" s="1"/>
  <c r="BF27" i="18"/>
  <c r="BF28" i="18" s="1"/>
  <c r="BF40" i="18"/>
  <c r="BF41" i="18" s="1"/>
  <c r="BE21" i="31"/>
  <c r="AY36" i="47" s="1"/>
  <c r="BD15" i="22" l="1"/>
  <c r="BD17" i="22" s="1"/>
  <c r="BD21" i="22" s="1"/>
  <c r="BE29" i="34"/>
  <c r="AY68" i="47" s="1"/>
  <c r="AY65" i="47"/>
  <c r="BJ15" i="15"/>
  <c r="BJ32" i="15"/>
  <c r="BF33" i="17"/>
  <c r="BF46" i="17"/>
  <c r="BF47" i="17" s="1"/>
  <c r="BF42" i="17"/>
  <c r="BJ10" i="34"/>
  <c r="BD49" i="47" s="1"/>
  <c r="BJ48" i="19"/>
  <c r="BL8" i="34"/>
  <c r="BF47" i="47" s="1"/>
  <c r="BL44" i="15"/>
  <c r="BJ10" i="31"/>
  <c r="BD25" i="47" s="1"/>
  <c r="BK41" i="15"/>
  <c r="BJ29" i="15"/>
  <c r="BJ10" i="12"/>
  <c r="BJ11" i="12" s="1"/>
  <c r="BI77" i="20"/>
  <c r="BI69" i="20"/>
  <c r="BP13" i="37"/>
  <c r="BP52" i="12"/>
  <c r="BP40" i="12"/>
  <c r="BE37" i="9"/>
  <c r="BE38" i="9" s="1"/>
  <c r="Y22" i="29"/>
  <c r="BJ39" i="16"/>
  <c r="BJ40" i="16" s="1"/>
  <c r="BE23" i="9"/>
  <c r="Q21" i="33"/>
  <c r="M21" i="24"/>
  <c r="G36" i="50" s="1"/>
  <c r="Y21" i="32"/>
  <c r="BI35" i="20"/>
  <c r="BI36" i="20" s="1"/>
  <c r="BJ33" i="20" s="1"/>
  <c r="BI40" i="20"/>
  <c r="BI41" i="20" s="1"/>
  <c r="BI46" i="20" s="1"/>
  <c r="BI47" i="20" s="1"/>
  <c r="BF42" i="18"/>
  <c r="BF33" i="18"/>
  <c r="BF46" i="18"/>
  <c r="BF47" i="18" s="1"/>
  <c r="BJ12" i="37"/>
  <c r="BK38" i="12"/>
  <c r="BJ17" i="34"/>
  <c r="BD56" i="47" s="1"/>
  <c r="BJ27" i="17"/>
  <c r="BP28" i="17" s="1"/>
  <c r="BJ12" i="17"/>
  <c r="BJ21" i="34"/>
  <c r="BD60" i="47" s="1"/>
  <c r="BJ12" i="18"/>
  <c r="BK24" i="10"/>
  <c r="BK26" i="10" s="1"/>
  <c r="BF29" i="18"/>
  <c r="BF14" i="18"/>
  <c r="BJ8" i="31"/>
  <c r="BD23" i="47" s="1"/>
  <c r="BK18" i="13"/>
  <c r="BJ8" i="28"/>
  <c r="BJ19" i="16"/>
  <c r="BJ21" i="16" s="1"/>
  <c r="BJ26" i="11"/>
  <c r="BJ27" i="11" s="1"/>
  <c r="Y29" i="35" l="1"/>
  <c r="BE12" i="9"/>
  <c r="BE13" i="9" s="1"/>
  <c r="BE11" i="31" s="1"/>
  <c r="AY26" i="47" s="1"/>
  <c r="BJ11" i="28"/>
  <c r="BD7" i="47" s="1"/>
  <c r="BD4" i="47"/>
  <c r="BI76" i="20"/>
  <c r="BI78" i="20" s="1"/>
  <c r="BI81" i="20"/>
  <c r="BI48" i="20"/>
  <c r="BK25" i="12"/>
  <c r="BF16" i="28"/>
  <c r="AZ12" i="47" s="1"/>
  <c r="BF48" i="17"/>
  <c r="BF34" i="17"/>
  <c r="BF35" i="17" s="1"/>
  <c r="BF13" i="17" s="1"/>
  <c r="BF15" i="17" s="1"/>
  <c r="BK10" i="13"/>
  <c r="BK11" i="13" s="1"/>
  <c r="BF48" i="18"/>
  <c r="BF34" i="18"/>
  <c r="BF35" i="18" s="1"/>
  <c r="BF13" i="18" s="1"/>
  <c r="BF15" i="18" s="1"/>
  <c r="BF18" i="28"/>
  <c r="AZ14" i="47" s="1"/>
  <c r="BI11" i="34"/>
  <c r="BK44" i="12"/>
  <c r="BK45" i="12" s="1"/>
  <c r="BK11" i="11"/>
  <c r="BK12" i="11" s="1"/>
  <c r="BK20" i="10"/>
  <c r="BK21" i="10" s="1"/>
  <c r="BF22" i="34"/>
  <c r="AZ61" i="47" s="1"/>
  <c r="BJ14" i="31"/>
  <c r="BD29" i="47" s="1"/>
  <c r="BK24" i="11"/>
  <c r="BJ19" i="34"/>
  <c r="BD58" i="47" s="1"/>
  <c r="BJ26" i="16"/>
  <c r="BL27" i="16" s="1"/>
  <c r="BJ12" i="16"/>
  <c r="BF11" i="9"/>
  <c r="BJ41" i="16"/>
  <c r="BJ45" i="16"/>
  <c r="BJ46" i="16" s="1"/>
  <c r="BJ32" i="16"/>
  <c r="BJ9" i="19"/>
  <c r="BJ11" i="19" s="1"/>
  <c r="BJ22" i="19" s="1"/>
  <c r="BJ23" i="19" s="1"/>
  <c r="BJ30" i="15"/>
  <c r="BJ36" i="15" s="1"/>
  <c r="BP29" i="17"/>
  <c r="BP14" i="17"/>
  <c r="BJ26" i="20"/>
  <c r="BE25" i="31"/>
  <c r="AY40" i="47" s="1"/>
  <c r="BE28" i="9"/>
  <c r="BE30" i="9" s="1"/>
  <c r="BF36" i="9"/>
  <c r="Q25" i="33"/>
  <c r="M25" i="24"/>
  <c r="G40" i="50" s="1"/>
  <c r="Y25" i="32"/>
  <c r="BJ14" i="34"/>
  <c r="BD53" i="47" s="1"/>
  <c r="BE9" i="8" l="1"/>
  <c r="Q11" i="33"/>
  <c r="M11" i="24"/>
  <c r="G26" i="50" s="1"/>
  <c r="Y11" i="32"/>
  <c r="BJ9" i="20"/>
  <c r="BJ10" i="20" s="1"/>
  <c r="BJ20" i="20" s="1"/>
  <c r="BJ21" i="20" s="1"/>
  <c r="BJ34" i="20" s="1"/>
  <c r="BJ14" i="28"/>
  <c r="BD10" i="47" s="1"/>
  <c r="BI12" i="34"/>
  <c r="BC51" i="47" s="1"/>
  <c r="BC50" i="47"/>
  <c r="BF19" i="28"/>
  <c r="BE12" i="31"/>
  <c r="BF16" i="31"/>
  <c r="AZ31" i="47" s="1"/>
  <c r="BG11" i="17"/>
  <c r="BJ15" i="31"/>
  <c r="BD30" i="47" s="1"/>
  <c r="BK28" i="15"/>
  <c r="BJ47" i="16"/>
  <c r="BJ33" i="16"/>
  <c r="BJ34" i="16" s="1"/>
  <c r="BJ13" i="16" s="1"/>
  <c r="BJ15" i="16" s="1"/>
  <c r="BJ17" i="28"/>
  <c r="BD13" i="47" s="1"/>
  <c r="BL14" i="16"/>
  <c r="BL28" i="16"/>
  <c r="BK10" i="37"/>
  <c r="BK24" i="12"/>
  <c r="BK26" i="12" s="1"/>
  <c r="BL17" i="10"/>
  <c r="R10" i="39"/>
  <c r="AA10" i="38"/>
  <c r="BK27" i="13"/>
  <c r="BK29" i="13" s="1"/>
  <c r="BK12" i="13"/>
  <c r="BK16" i="19"/>
  <c r="BK17" i="19" s="1"/>
  <c r="BK42" i="15"/>
  <c r="BK20" i="15"/>
  <c r="BK25" i="11"/>
  <c r="BJ49" i="19"/>
  <c r="BJ51" i="19" s="1"/>
  <c r="BJ36" i="19" s="1"/>
  <c r="BK37" i="19" s="1"/>
  <c r="BJ30" i="19"/>
  <c r="BJ32" i="19" s="1"/>
  <c r="BE27" i="31"/>
  <c r="AY42" i="47" s="1"/>
  <c r="BE16" i="22"/>
  <c r="Q27" i="33"/>
  <c r="Y27" i="32"/>
  <c r="M27" i="24"/>
  <c r="G42" i="50" s="1"/>
  <c r="BK16" i="37"/>
  <c r="BK62" i="12"/>
  <c r="BK64" i="12" s="1"/>
  <c r="BK53" i="12"/>
  <c r="BK56" i="12" s="1"/>
  <c r="AA16" i="38"/>
  <c r="BF18" i="31"/>
  <c r="AZ33" i="47" s="1"/>
  <c r="BG11" i="18"/>
  <c r="BF23" i="34"/>
  <c r="AZ62" i="47" s="1"/>
  <c r="BI21" i="28"/>
  <c r="BC17" i="47" s="1"/>
  <c r="BP18" i="34"/>
  <c r="BJ57" i="47" s="1"/>
  <c r="BF25" i="34"/>
  <c r="AZ64" i="47" s="1"/>
  <c r="BI20" i="31"/>
  <c r="BC35" i="47" s="1"/>
  <c r="BJ75" i="20"/>
  <c r="BJ14" i="20" l="1"/>
  <c r="BJ15" i="20" s="1"/>
  <c r="BJ25" i="20" s="1"/>
  <c r="BJ27" i="20" s="1"/>
  <c r="BI15" i="34"/>
  <c r="BC54" i="47" s="1"/>
  <c r="M12" i="24"/>
  <c r="G27" i="50" s="1"/>
  <c r="AY27" i="47"/>
  <c r="BF82" i="20"/>
  <c r="AZ15" i="47"/>
  <c r="Q12" i="33"/>
  <c r="BF22" i="28"/>
  <c r="BE22" i="9"/>
  <c r="BE24" i="9" s="1"/>
  <c r="BE23" i="31" s="1"/>
  <c r="AY38" i="47" s="1"/>
  <c r="Y12" i="32"/>
  <c r="BF26" i="34"/>
  <c r="BJ17" i="31"/>
  <c r="BD32" i="47" s="1"/>
  <c r="BK11" i="16"/>
  <c r="BK21" i="19"/>
  <c r="BK43" i="15"/>
  <c r="BK45" i="15" s="1"/>
  <c r="BK21" i="15"/>
  <c r="BM22" i="15" s="1"/>
  <c r="BL20" i="34"/>
  <c r="BF59" i="47" s="1"/>
  <c r="BK13" i="28"/>
  <c r="BE9" i="47" s="1"/>
  <c r="AA13" i="29"/>
  <c r="BK15" i="37"/>
  <c r="BL51" i="12"/>
  <c r="AA15" i="38"/>
  <c r="R15" i="39"/>
  <c r="BK30" i="13"/>
  <c r="BL26" i="13"/>
  <c r="BK17" i="37"/>
  <c r="BL61" i="12"/>
  <c r="BK17" i="11"/>
  <c r="BK18" i="11" s="1"/>
  <c r="R17" i="39"/>
  <c r="AA17" i="38"/>
  <c r="BJ19" i="31"/>
  <c r="BD34" i="47" s="1"/>
  <c r="BK29" i="19"/>
  <c r="BJ24" i="34"/>
  <c r="BD63" i="47" s="1"/>
  <c r="BL25" i="10"/>
  <c r="BJ66" i="20"/>
  <c r="BJ68" i="20" s="1"/>
  <c r="BK11" i="37"/>
  <c r="BK20" i="18"/>
  <c r="BK22" i="18" s="1"/>
  <c r="BK20" i="17"/>
  <c r="BK22" i="17" s="1"/>
  <c r="BK13" i="15"/>
  <c r="BK14" i="15" s="1"/>
  <c r="BK19" i="13"/>
  <c r="BK21" i="13" s="1"/>
  <c r="BK31" i="12"/>
  <c r="BQ32" i="12" s="1"/>
  <c r="BK39" i="12"/>
  <c r="BK41" i="12" s="1"/>
  <c r="BK17" i="9"/>
  <c r="BK18" i="9" s="1"/>
  <c r="AA11" i="38"/>
  <c r="BG40" i="17"/>
  <c r="BG41" i="17" s="1"/>
  <c r="BK31" i="19"/>
  <c r="BK38" i="19"/>
  <c r="BG40" i="18"/>
  <c r="BG41" i="18" s="1"/>
  <c r="BG27" i="18"/>
  <c r="BG28" i="18" s="1"/>
  <c r="BF21" i="31"/>
  <c r="AZ36" i="47" s="1"/>
  <c r="BJ39" i="20" l="1"/>
  <c r="BF29" i="34"/>
  <c r="AZ68" i="47" s="1"/>
  <c r="AZ65" i="47"/>
  <c r="Q23" i="33"/>
  <c r="M23" i="24"/>
  <c r="G38" i="50" s="1"/>
  <c r="Y23" i="32"/>
  <c r="BE15" i="22"/>
  <c r="BE17" i="22" s="1"/>
  <c r="BE21" i="22" s="1"/>
  <c r="BF37" i="9"/>
  <c r="BF38" i="9" s="1"/>
  <c r="BG36" i="9" s="1"/>
  <c r="AZ18" i="47"/>
  <c r="BF23" i="9"/>
  <c r="BK10" i="31"/>
  <c r="BE25" i="47" s="1"/>
  <c r="BL41" i="15"/>
  <c r="AA10" i="32"/>
  <c r="R10" i="33"/>
  <c r="BL24" i="10"/>
  <c r="BL26" i="10" s="1"/>
  <c r="BG46" i="18"/>
  <c r="BG47" i="18" s="1"/>
  <c r="BG42" i="18"/>
  <c r="BG33" i="18"/>
  <c r="BK12" i="37"/>
  <c r="BL38" i="12"/>
  <c r="AA12" i="38"/>
  <c r="R12" i="39"/>
  <c r="BK48" i="19"/>
  <c r="BG33" i="17"/>
  <c r="BG46" i="17"/>
  <c r="BG47" i="17" s="1"/>
  <c r="BG42" i="17"/>
  <c r="BQ13" i="37"/>
  <c r="BQ40" i="12"/>
  <c r="BQ52" i="12"/>
  <c r="H32" i="12"/>
  <c r="L13" i="38"/>
  <c r="M13" i="38"/>
  <c r="K13" i="39"/>
  <c r="J13" i="26"/>
  <c r="L13" i="39"/>
  <c r="K13" i="26"/>
  <c r="M13" i="39"/>
  <c r="L13" i="26"/>
  <c r="N13" i="39"/>
  <c r="O13" i="39"/>
  <c r="M13" i="26"/>
  <c r="P13" i="39"/>
  <c r="Q13" i="39"/>
  <c r="N13" i="26"/>
  <c r="R13" i="39"/>
  <c r="S13" i="39"/>
  <c r="AC13" i="38"/>
  <c r="BJ69" i="20"/>
  <c r="BJ77" i="20"/>
  <c r="BK39" i="16"/>
  <c r="BK40" i="16" s="1"/>
  <c r="BG14" i="18"/>
  <c r="BG29" i="18"/>
  <c r="BK8" i="31"/>
  <c r="BE23" i="47" s="1"/>
  <c r="BL18" i="13"/>
  <c r="AA8" i="32"/>
  <c r="R8" i="33"/>
  <c r="BM8" i="34"/>
  <c r="BG47" i="47" s="1"/>
  <c r="BM44" i="15"/>
  <c r="BK32" i="15"/>
  <c r="BK15" i="15"/>
  <c r="BJ35" i="20"/>
  <c r="BJ36" i="20" s="1"/>
  <c r="BK33" i="20" s="1"/>
  <c r="BJ40" i="20"/>
  <c r="BJ41" i="20" s="1"/>
  <c r="BJ46" i="20" s="1"/>
  <c r="BJ47" i="20" s="1"/>
  <c r="BK17" i="34"/>
  <c r="BE56" i="47" s="1"/>
  <c r="BK27" i="17"/>
  <c r="BQ28" i="17" s="1"/>
  <c r="BK12" i="17"/>
  <c r="AA17" i="35"/>
  <c r="BK8" i="28"/>
  <c r="BK19" i="16"/>
  <c r="BK21" i="16" s="1"/>
  <c r="BK26" i="11"/>
  <c r="BK27" i="11" s="1"/>
  <c r="AA8" i="29"/>
  <c r="BK9" i="31"/>
  <c r="BE24" i="47" s="1"/>
  <c r="R9" i="33"/>
  <c r="AA9" i="32"/>
  <c r="BK21" i="34"/>
  <c r="BE60" i="47" s="1"/>
  <c r="BK12" i="18"/>
  <c r="AA21" i="35"/>
  <c r="BK29" i="15"/>
  <c r="BK10" i="12"/>
  <c r="BK11" i="12" s="1"/>
  <c r="BK10" i="34"/>
  <c r="BE49" i="47" s="1"/>
  <c r="AA10" i="35"/>
  <c r="BF12" i="9"/>
  <c r="BF13" i="9" s="1"/>
  <c r="BF28" i="9" l="1"/>
  <c r="BF30" i="9" s="1"/>
  <c r="BF25" i="31"/>
  <c r="AZ40" i="47" s="1"/>
  <c r="BK11" i="28"/>
  <c r="BE7" i="47" s="1"/>
  <c r="BE4" i="47"/>
  <c r="BJ76" i="20"/>
  <c r="BJ78" i="20" s="1"/>
  <c r="BJ81" i="20"/>
  <c r="BJ48" i="20"/>
  <c r="H13" i="39"/>
  <c r="H13" i="37"/>
  <c r="H13" i="38"/>
  <c r="H13" i="26"/>
  <c r="H40" i="12"/>
  <c r="H52" i="12"/>
  <c r="BG48" i="18"/>
  <c r="BG34" i="18"/>
  <c r="BG35" i="18" s="1"/>
  <c r="BG13" i="18" s="1"/>
  <c r="BG15" i="18" s="1"/>
  <c r="BQ29" i="17"/>
  <c r="BQ14" i="17"/>
  <c r="H28" i="17"/>
  <c r="H14" i="17" s="1"/>
  <c r="BG22" i="34"/>
  <c r="BA61" i="47" s="1"/>
  <c r="BL10" i="13"/>
  <c r="BL11" i="13" s="1"/>
  <c r="BG18" i="28"/>
  <c r="BA14" i="47" s="1"/>
  <c r="BF27" i="31"/>
  <c r="AZ42" i="47" s="1"/>
  <c r="BF16" i="22"/>
  <c r="BL44" i="12"/>
  <c r="BL45" i="12" s="1"/>
  <c r="BL11" i="11"/>
  <c r="BL12" i="11" s="1"/>
  <c r="BL20" i="10"/>
  <c r="BL21" i="10" s="1"/>
  <c r="BK9" i="19"/>
  <c r="BK11" i="19" s="1"/>
  <c r="BK22" i="19" s="1"/>
  <c r="BK23" i="19" s="1"/>
  <c r="BK30" i="15"/>
  <c r="BK36" i="15" s="1"/>
  <c r="BF11" i="31"/>
  <c r="AZ26" i="47" s="1"/>
  <c r="BG11" i="9"/>
  <c r="BF9" i="8"/>
  <c r="BK14" i="31"/>
  <c r="BE29" i="47" s="1"/>
  <c r="BL24" i="11"/>
  <c r="AA14" i="32"/>
  <c r="R14" i="33"/>
  <c r="BK26" i="20"/>
  <c r="BK45" i="16"/>
  <c r="BK46" i="16" s="1"/>
  <c r="BK32" i="16"/>
  <c r="BK41" i="16"/>
  <c r="BG16" i="28"/>
  <c r="BA12" i="47" s="1"/>
  <c r="BL25" i="12"/>
  <c r="BK19" i="34"/>
  <c r="BE58" i="47" s="1"/>
  <c r="BK26" i="16"/>
  <c r="BM27" i="16" s="1"/>
  <c r="BK12" i="16"/>
  <c r="AA19" i="35"/>
  <c r="BG34" i="17"/>
  <c r="BG35" i="17" s="1"/>
  <c r="BG13" i="17" s="1"/>
  <c r="BG15" i="17" s="1"/>
  <c r="BG48" i="17"/>
  <c r="BK14" i="34"/>
  <c r="BE53" i="47" s="1"/>
  <c r="AA14" i="35"/>
  <c r="AA11" i="29"/>
  <c r="BJ11" i="34"/>
  <c r="BJ12" i="34" l="1"/>
  <c r="BD51" i="47" s="1"/>
  <c r="BD50" i="47"/>
  <c r="BK9" i="20"/>
  <c r="BK10" i="20" s="1"/>
  <c r="BK20" i="20" s="1"/>
  <c r="BK21" i="20" s="1"/>
  <c r="BK34" i="20" s="1"/>
  <c r="BK14" i="28"/>
  <c r="BE10" i="47" s="1"/>
  <c r="BF12" i="31"/>
  <c r="BK15" i="31"/>
  <c r="BE30" i="47" s="1"/>
  <c r="BL28" i="15"/>
  <c r="R15" i="33"/>
  <c r="AA15" i="32"/>
  <c r="BG16" i="31"/>
  <c r="BA31" i="47" s="1"/>
  <c r="BH11" i="17"/>
  <c r="BM14" i="16"/>
  <c r="BM28" i="16"/>
  <c r="BG18" i="31"/>
  <c r="BA33" i="47" s="1"/>
  <c r="BH11" i="18"/>
  <c r="BL16" i="19"/>
  <c r="BL17" i="19" s="1"/>
  <c r="BL42" i="15"/>
  <c r="BL20" i="15"/>
  <c r="BL25" i="11"/>
  <c r="BK17" i="28"/>
  <c r="BE13" i="47" s="1"/>
  <c r="AA17" i="29"/>
  <c r="BK47" i="16"/>
  <c r="BK33" i="16"/>
  <c r="BK34" i="16" s="1"/>
  <c r="BK13" i="16" s="1"/>
  <c r="BK15" i="16" s="1"/>
  <c r="BL16" i="37"/>
  <c r="BL62" i="12"/>
  <c r="BL64" i="12" s="1"/>
  <c r="BL53" i="12"/>
  <c r="BL56" i="12" s="1"/>
  <c r="BL27" i="13"/>
  <c r="BL29" i="13" s="1"/>
  <c r="BL12" i="13"/>
  <c r="BQ18" i="34"/>
  <c r="BK57" i="47" s="1"/>
  <c r="J18" i="25"/>
  <c r="D57" i="50" s="1"/>
  <c r="J18" i="36"/>
  <c r="H29" i="17"/>
  <c r="K18" i="36"/>
  <c r="L18" i="35"/>
  <c r="M18" i="35"/>
  <c r="K18" i="25"/>
  <c r="E57" i="50" s="1"/>
  <c r="L18" i="36"/>
  <c r="M18" i="36"/>
  <c r="N18" i="36"/>
  <c r="L18" i="25"/>
  <c r="F57" i="50" s="1"/>
  <c r="O18" i="36"/>
  <c r="P18" i="36"/>
  <c r="M18" i="25"/>
  <c r="G57" i="50" s="1"/>
  <c r="Q18" i="36"/>
  <c r="N18" i="25"/>
  <c r="H57" i="50" s="1"/>
  <c r="R18" i="36"/>
  <c r="S18" i="36"/>
  <c r="AC18" i="35"/>
  <c r="BJ15" i="34"/>
  <c r="BD54" i="47" s="1"/>
  <c r="BG23" i="34"/>
  <c r="BA62" i="47" s="1"/>
  <c r="BG25" i="34"/>
  <c r="BA64" i="47" s="1"/>
  <c r="BJ21" i="28"/>
  <c r="BD17" i="47" s="1"/>
  <c r="BL10" i="37"/>
  <c r="BL24" i="12"/>
  <c r="BL26" i="12" s="1"/>
  <c r="BM17" i="10"/>
  <c r="BK14" i="20"/>
  <c r="BK15" i="20" s="1"/>
  <c r="BG19" i="28"/>
  <c r="BA15" i="47" s="1"/>
  <c r="BK49" i="19"/>
  <c r="BK51" i="19" s="1"/>
  <c r="BK36" i="19" s="1"/>
  <c r="BL37" i="19" s="1"/>
  <c r="BK30" i="19"/>
  <c r="BK32" i="19" s="1"/>
  <c r="BJ20" i="31"/>
  <c r="BD35" i="47" s="1"/>
  <c r="BK75" i="20"/>
  <c r="AA14" i="29" l="1"/>
  <c r="BF22" i="9"/>
  <c r="BF24" i="9" s="1"/>
  <c r="AZ27" i="47"/>
  <c r="BG26" i="34"/>
  <c r="BG21" i="31"/>
  <c r="BA36" i="47" s="1"/>
  <c r="BK17" i="31"/>
  <c r="BE32" i="47" s="1"/>
  <c r="BL11" i="16"/>
  <c r="AA17" i="32"/>
  <c r="R17" i="33"/>
  <c r="BG22" i="28"/>
  <c r="BA18" i="47" s="1"/>
  <c r="BG82" i="20"/>
  <c r="BM20" i="34"/>
  <c r="BG59" i="47" s="1"/>
  <c r="H18" i="36"/>
  <c r="H18" i="35"/>
  <c r="H18" i="34"/>
  <c r="H18" i="25"/>
  <c r="BL15" i="37"/>
  <c r="BM51" i="12"/>
  <c r="BL17" i="37"/>
  <c r="BM61" i="12"/>
  <c r="BL17" i="11"/>
  <c r="BL18" i="11" s="1"/>
  <c r="BH40" i="17"/>
  <c r="BH41" i="17" s="1"/>
  <c r="BL21" i="19"/>
  <c r="BL43" i="15"/>
  <c r="BL45" i="15" s="1"/>
  <c r="BL21" i="15"/>
  <c r="BN22" i="15" s="1"/>
  <c r="BK39" i="20"/>
  <c r="BK25" i="20"/>
  <c r="BK27" i="20" s="1"/>
  <c r="BL13" i="28"/>
  <c r="BF9" i="47" s="1"/>
  <c r="BK24" i="34"/>
  <c r="BE63" i="47" s="1"/>
  <c r="AA24" i="35"/>
  <c r="BK66" i="20"/>
  <c r="BK68" i="20" s="1"/>
  <c r="BK19" i="31"/>
  <c r="BE34" i="47" s="1"/>
  <c r="BL29" i="19"/>
  <c r="AA19" i="32"/>
  <c r="R19" i="33"/>
  <c r="BM25" i="10"/>
  <c r="BL30" i="13"/>
  <c r="BL9" i="31" s="1"/>
  <c r="BF24" i="47" s="1"/>
  <c r="BM26" i="13"/>
  <c r="BH27" i="18"/>
  <c r="BH28" i="18" s="1"/>
  <c r="BH40" i="18"/>
  <c r="BH41" i="18" s="1"/>
  <c r="BL31" i="19"/>
  <c r="BL38" i="19"/>
  <c r="BL11" i="37"/>
  <c r="BL20" i="18"/>
  <c r="BL22" i="18" s="1"/>
  <c r="BL20" i="17"/>
  <c r="BL22" i="17" s="1"/>
  <c r="BL13" i="15"/>
  <c r="BL14" i="15" s="1"/>
  <c r="BL19" i="13"/>
  <c r="BL21" i="13" s="1"/>
  <c r="BL31" i="12"/>
  <c r="BL39" i="12"/>
  <c r="BL41" i="12" s="1"/>
  <c r="BL17" i="9"/>
  <c r="BL18" i="9" s="1"/>
  <c r="BG29" i="34" l="1"/>
  <c r="BA68" i="47" s="1"/>
  <c r="BA65" i="47"/>
  <c r="BF23" i="31"/>
  <c r="AZ38" i="47" s="1"/>
  <c r="BF15" i="22"/>
  <c r="BF17" i="22" s="1"/>
  <c r="BF21" i="22" s="1"/>
  <c r="BG23" i="9"/>
  <c r="BN8" i="34"/>
  <c r="BH47" i="47" s="1"/>
  <c r="BN44" i="15"/>
  <c r="AB8" i="35"/>
  <c r="BL10" i="31"/>
  <c r="BF25" i="47" s="1"/>
  <c r="BM41" i="15"/>
  <c r="BL29" i="15"/>
  <c r="BL10" i="12"/>
  <c r="BL11" i="12" s="1"/>
  <c r="BL12" i="37"/>
  <c r="BM38" i="12"/>
  <c r="BM24" i="10"/>
  <c r="BM26" i="10" s="1"/>
  <c r="BL39" i="16"/>
  <c r="BL40" i="16" s="1"/>
  <c r="BL8" i="31"/>
  <c r="BF23" i="47" s="1"/>
  <c r="BM18" i="13"/>
  <c r="BL48" i="19"/>
  <c r="BH33" i="17"/>
  <c r="BH46" i="17"/>
  <c r="BH47" i="17" s="1"/>
  <c r="BH42" i="17"/>
  <c r="BL10" i="34"/>
  <c r="BF49" i="47" s="1"/>
  <c r="BH42" i="18"/>
  <c r="BH33" i="18"/>
  <c r="BH46" i="18"/>
  <c r="BH47" i="18" s="1"/>
  <c r="BL17" i="34"/>
  <c r="BF56" i="47" s="1"/>
  <c r="BL27" i="17"/>
  <c r="BL12" i="17"/>
  <c r="BL32" i="15"/>
  <c r="BL15" i="15"/>
  <c r="BH14" i="18"/>
  <c r="BH29" i="18"/>
  <c r="BL21" i="34"/>
  <c r="BF60" i="47" s="1"/>
  <c r="BL12" i="18"/>
  <c r="BK35" i="20"/>
  <c r="BK36" i="20" s="1"/>
  <c r="BL33" i="20" s="1"/>
  <c r="BK40" i="20"/>
  <c r="BK41" i="20" s="1"/>
  <c r="BK46" i="20" s="1"/>
  <c r="BK47" i="20" s="1"/>
  <c r="BL8" i="28"/>
  <c r="BL19" i="16"/>
  <c r="BL21" i="16" s="1"/>
  <c r="BL26" i="11"/>
  <c r="BL27" i="11" s="1"/>
  <c r="BK77" i="20"/>
  <c r="BK69" i="20"/>
  <c r="BG37" i="9"/>
  <c r="BG38" i="9" s="1"/>
  <c r="BG12" i="9" l="1"/>
  <c r="BG13" i="9" s="1"/>
  <c r="BG11" i="31" s="1"/>
  <c r="BA26" i="47" s="1"/>
  <c r="BL11" i="28"/>
  <c r="BF7" i="47" s="1"/>
  <c r="BF4" i="47"/>
  <c r="BL9" i="19"/>
  <c r="BL11" i="19" s="1"/>
  <c r="BL22" i="19" s="1"/>
  <c r="BL23" i="19" s="1"/>
  <c r="BL30" i="15"/>
  <c r="BL36" i="15" s="1"/>
  <c r="BG25" i="31"/>
  <c r="BA40" i="47" s="1"/>
  <c r="BG28" i="9"/>
  <c r="BG30" i="9" s="1"/>
  <c r="BH36" i="9"/>
  <c r="BL14" i="31"/>
  <c r="BF29" i="47" s="1"/>
  <c r="BM24" i="11"/>
  <c r="BH16" i="28"/>
  <c r="BB12" i="47" s="1"/>
  <c r="Z16" i="29"/>
  <c r="BL45" i="16"/>
  <c r="BL46" i="16" s="1"/>
  <c r="BL32" i="16"/>
  <c r="BL41" i="16"/>
  <c r="BL19" i="34"/>
  <c r="BF58" i="47" s="1"/>
  <c r="BL26" i="16"/>
  <c r="BN27" i="16" s="1"/>
  <c r="BL12" i="16"/>
  <c r="BH22" i="34"/>
  <c r="BB61" i="47" s="1"/>
  <c r="Z22" i="35"/>
  <c r="BH34" i="17"/>
  <c r="BH35" i="17" s="1"/>
  <c r="BH13" i="17" s="1"/>
  <c r="BH15" i="17" s="1"/>
  <c r="BH48" i="17"/>
  <c r="BK81" i="20"/>
  <c r="BK76" i="20"/>
  <c r="BK78" i="20" s="1"/>
  <c r="BK48" i="20"/>
  <c r="BM44" i="12"/>
  <c r="BM45" i="12" s="1"/>
  <c r="BM11" i="11"/>
  <c r="BM12" i="11" s="1"/>
  <c r="BM20" i="10"/>
  <c r="BM21" i="10" s="1"/>
  <c r="BL14" i="34"/>
  <c r="BF53" i="47" s="1"/>
  <c r="BH34" i="18"/>
  <c r="BH35" i="18" s="1"/>
  <c r="BH13" i="18" s="1"/>
  <c r="BH15" i="18" s="1"/>
  <c r="BH48" i="18"/>
  <c r="BK11" i="34"/>
  <c r="AA11" i="35"/>
  <c r="BL26" i="20"/>
  <c r="BH18" i="28"/>
  <c r="BB14" i="47" s="1"/>
  <c r="Z18" i="29"/>
  <c r="BM25" i="12"/>
  <c r="BM10" i="13"/>
  <c r="BM11" i="13" s="1"/>
  <c r="BG9" i="8" l="1"/>
  <c r="BH11" i="9"/>
  <c r="BK12" i="34"/>
  <c r="BE51" i="47" s="1"/>
  <c r="BE50" i="47"/>
  <c r="BL14" i="28"/>
  <c r="BF10" i="47" s="1"/>
  <c r="BL9" i="20"/>
  <c r="BL10" i="20" s="1"/>
  <c r="BL14" i="20" s="1"/>
  <c r="BL15" i="20" s="1"/>
  <c r="BG12" i="31"/>
  <c r="BL15" i="31"/>
  <c r="BF30" i="47" s="1"/>
  <c r="BM28" i="15"/>
  <c r="BK20" i="31"/>
  <c r="BE35" i="47" s="1"/>
  <c r="BL75" i="20"/>
  <c r="R20" i="33"/>
  <c r="AA20" i="32"/>
  <c r="BL33" i="16"/>
  <c r="BL34" i="16" s="1"/>
  <c r="BL13" i="16" s="1"/>
  <c r="BL15" i="16" s="1"/>
  <c r="BL47" i="16"/>
  <c r="BG27" i="31"/>
  <c r="BA42" i="47" s="1"/>
  <c r="BG16" i="22"/>
  <c r="BK21" i="28"/>
  <c r="BE17" i="47" s="1"/>
  <c r="AA21" i="29"/>
  <c r="BH18" i="31"/>
  <c r="BB33" i="47" s="1"/>
  <c r="BI11" i="18"/>
  <c r="Z18" i="32"/>
  <c r="BH23" i="34"/>
  <c r="BB62" i="47" s="1"/>
  <c r="Z23" i="35"/>
  <c r="BN14" i="16"/>
  <c r="BN28" i="16"/>
  <c r="BL49" i="19"/>
  <c r="BL51" i="19" s="1"/>
  <c r="BL36" i="19" s="1"/>
  <c r="BM37" i="19" s="1"/>
  <c r="BL30" i="19"/>
  <c r="BL32" i="19" s="1"/>
  <c r="BM12" i="13"/>
  <c r="BM27" i="13"/>
  <c r="BM29" i="13" s="1"/>
  <c r="BH16" i="31"/>
  <c r="BB31" i="47" s="1"/>
  <c r="BI11" i="17"/>
  <c r="Z16" i="32"/>
  <c r="BH25" i="34"/>
  <c r="BB64" i="47" s="1"/>
  <c r="Z25" i="35"/>
  <c r="BM10" i="37"/>
  <c r="BM24" i="12"/>
  <c r="BM26" i="12" s="1"/>
  <c r="BN17" i="10"/>
  <c r="BH19" i="28"/>
  <c r="BB15" i="47" s="1"/>
  <c r="BM16" i="19"/>
  <c r="BM17" i="19" s="1"/>
  <c r="BM42" i="15"/>
  <c r="BM20" i="15"/>
  <c r="BM25" i="11"/>
  <c r="BM16" i="37"/>
  <c r="BM62" i="12"/>
  <c r="BM64" i="12" s="1"/>
  <c r="BM53" i="12"/>
  <c r="BM56" i="12" s="1"/>
  <c r="BL17" i="28"/>
  <c r="BF13" i="47" s="1"/>
  <c r="AA12" i="35" l="1"/>
  <c r="BK15" i="34"/>
  <c r="BE54" i="47" s="1"/>
  <c r="BG22" i="9"/>
  <c r="BG24" i="9" s="1"/>
  <c r="BA27" i="47"/>
  <c r="BL20" i="20"/>
  <c r="BL21" i="20" s="1"/>
  <c r="BL34" i="20" s="1"/>
  <c r="BH26" i="34"/>
  <c r="BH21" i="31"/>
  <c r="BB36" i="47" s="1"/>
  <c r="BL17" i="31"/>
  <c r="BF32" i="47" s="1"/>
  <c r="BM11" i="16"/>
  <c r="BL66" i="20"/>
  <c r="BL68" i="20" s="1"/>
  <c r="BM11" i="37"/>
  <c r="BM20" i="18"/>
  <c r="BM22" i="18" s="1"/>
  <c r="BM20" i="17"/>
  <c r="BM22" i="17" s="1"/>
  <c r="BM13" i="15"/>
  <c r="BM14" i="15" s="1"/>
  <c r="BM39" i="12"/>
  <c r="BM41" i="12" s="1"/>
  <c r="BM19" i="13"/>
  <c r="BM21" i="13" s="1"/>
  <c r="BM31" i="12"/>
  <c r="BM17" i="9"/>
  <c r="BM18" i="9" s="1"/>
  <c r="BI40" i="17"/>
  <c r="BI41" i="17" s="1"/>
  <c r="BH22" i="28"/>
  <c r="BB18" i="47" s="1"/>
  <c r="BH82" i="20"/>
  <c r="Z19" i="29"/>
  <c r="BN20" i="34"/>
  <c r="BH59" i="47" s="1"/>
  <c r="AB20" i="35"/>
  <c r="BM30" i="13"/>
  <c r="BM9" i="31" s="1"/>
  <c r="BG24" i="47" s="1"/>
  <c r="BN26" i="13"/>
  <c r="BL24" i="34"/>
  <c r="BF63" i="47" s="1"/>
  <c r="BM15" i="37"/>
  <c r="BN51" i="12"/>
  <c r="BM13" i="28"/>
  <c r="BG9" i="47" s="1"/>
  <c r="BI27" i="18"/>
  <c r="BI28" i="18" s="1"/>
  <c r="BI40" i="18"/>
  <c r="BI41" i="18" s="1"/>
  <c r="BN25" i="10"/>
  <c r="BL19" i="31"/>
  <c r="BF34" i="47" s="1"/>
  <c r="BM29" i="19"/>
  <c r="BM31" i="19"/>
  <c r="BM38" i="19"/>
  <c r="BM17" i="37"/>
  <c r="BN61" i="12"/>
  <c r="BM17" i="11"/>
  <c r="BM18" i="11" s="1"/>
  <c r="BM21" i="19"/>
  <c r="BM43" i="15"/>
  <c r="BM45" i="15" s="1"/>
  <c r="BM21" i="15"/>
  <c r="BO22" i="15" s="1"/>
  <c r="BL25" i="20"/>
  <c r="BL27" i="20" s="1"/>
  <c r="BL39" i="20"/>
  <c r="AA15" i="35" l="1"/>
  <c r="BH29" i="34"/>
  <c r="BB68" i="47" s="1"/>
  <c r="BB65" i="47"/>
  <c r="BG23" i="31"/>
  <c r="BA38" i="47" s="1"/>
  <c r="BG15" i="22"/>
  <c r="BG17" i="22" s="1"/>
  <c r="BG21" i="22" s="1"/>
  <c r="BH23" i="9"/>
  <c r="Z21" i="32"/>
  <c r="Z26" i="35"/>
  <c r="BM10" i="31"/>
  <c r="BG25" i="47" s="1"/>
  <c r="BN41" i="15"/>
  <c r="BO8" i="34"/>
  <c r="BI47" i="47" s="1"/>
  <c r="BO44" i="15"/>
  <c r="BM29" i="15"/>
  <c r="BM10" i="12"/>
  <c r="BM11" i="12" s="1"/>
  <c r="BM10" i="34"/>
  <c r="BG49" i="47" s="1"/>
  <c r="BI33" i="18"/>
  <c r="BI46" i="18"/>
  <c r="BI47" i="18" s="1"/>
  <c r="BI42" i="18"/>
  <c r="BL77" i="20"/>
  <c r="BL69" i="20"/>
  <c r="BL35" i="20"/>
  <c r="BL36" i="20" s="1"/>
  <c r="BM33" i="20" s="1"/>
  <c r="BL40" i="20"/>
  <c r="BL41" i="20" s="1"/>
  <c r="BL46" i="20" s="1"/>
  <c r="BL47" i="20" s="1"/>
  <c r="BI14" i="18"/>
  <c r="BI29" i="18"/>
  <c r="BM8" i="31"/>
  <c r="BG23" i="47" s="1"/>
  <c r="BN18" i="13"/>
  <c r="BM39" i="16"/>
  <c r="BM40" i="16" s="1"/>
  <c r="BH37" i="9"/>
  <c r="BH38" i="9" s="1"/>
  <c r="Z22" i="29"/>
  <c r="BM12" i="37"/>
  <c r="BN38" i="12"/>
  <c r="BM15" i="15"/>
  <c r="BM32" i="15"/>
  <c r="BI33" i="17"/>
  <c r="BI46" i="17"/>
  <c r="BI47" i="17" s="1"/>
  <c r="BI42" i="17"/>
  <c r="BM17" i="34"/>
  <c r="BG56" i="47" s="1"/>
  <c r="BM27" i="17"/>
  <c r="BM12" i="17"/>
  <c r="BM21" i="34"/>
  <c r="BG60" i="47" s="1"/>
  <c r="BM12" i="18"/>
  <c r="BN24" i="10"/>
  <c r="BN26" i="10" s="1"/>
  <c r="BM48" i="19"/>
  <c r="BM8" i="28"/>
  <c r="BM19" i="16"/>
  <c r="BM21" i="16" s="1"/>
  <c r="BM26" i="11"/>
  <c r="BM27" i="11" s="1"/>
  <c r="BH12" i="9" l="1"/>
  <c r="BH13" i="9" s="1"/>
  <c r="BH11" i="31" s="1"/>
  <c r="BB26" i="47" s="1"/>
  <c r="Z29" i="35"/>
  <c r="BM11" i="28"/>
  <c r="BG7" i="47" s="1"/>
  <c r="BG4" i="47"/>
  <c r="BL76" i="20"/>
  <c r="BL78" i="20" s="1"/>
  <c r="BL81" i="20"/>
  <c r="BL48" i="20"/>
  <c r="BM45" i="16"/>
  <c r="BM46" i="16" s="1"/>
  <c r="BM32" i="16"/>
  <c r="BM41" i="16"/>
  <c r="BN44" i="12"/>
  <c r="BN45" i="12" s="1"/>
  <c r="BN11" i="11"/>
  <c r="BN12" i="11" s="1"/>
  <c r="BN20" i="10"/>
  <c r="BN21" i="10" s="1"/>
  <c r="BN25" i="12"/>
  <c r="BN10" i="13"/>
  <c r="BN11" i="13" s="1"/>
  <c r="BI18" i="28"/>
  <c r="BC14" i="47" s="1"/>
  <c r="BM9" i="19"/>
  <c r="BM11" i="19" s="1"/>
  <c r="BM22" i="19" s="1"/>
  <c r="BM23" i="19" s="1"/>
  <c r="BM30" i="15"/>
  <c r="BM36" i="15" s="1"/>
  <c r="BI48" i="18"/>
  <c r="BI34" i="18"/>
  <c r="BI35" i="18" s="1"/>
  <c r="BI13" i="18" s="1"/>
  <c r="BI15" i="18" s="1"/>
  <c r="BM14" i="34"/>
  <c r="BG53" i="47" s="1"/>
  <c r="BM14" i="31"/>
  <c r="BG29" i="47" s="1"/>
  <c r="BN24" i="11"/>
  <c r="BM19" i="34"/>
  <c r="BG58" i="47" s="1"/>
  <c r="BM26" i="16"/>
  <c r="BO27" i="16" s="1"/>
  <c r="BM12" i="16"/>
  <c r="BI16" i="28"/>
  <c r="BC12" i="47" s="1"/>
  <c r="BI22" i="34"/>
  <c r="BC61" i="47" s="1"/>
  <c r="BH25" i="31"/>
  <c r="BB40" i="47" s="1"/>
  <c r="BH28" i="9"/>
  <c r="BH30" i="9" s="1"/>
  <c r="BI36" i="9"/>
  <c r="Z25" i="32"/>
  <c r="BM26" i="20"/>
  <c r="BI48" i="17"/>
  <c r="BI34" i="17"/>
  <c r="BI35" i="17" s="1"/>
  <c r="BI13" i="17" s="1"/>
  <c r="BI15" i="17" s="1"/>
  <c r="Z11" i="32"/>
  <c r="BL11" i="34"/>
  <c r="BI11" i="9" l="1"/>
  <c r="BH9" i="8"/>
  <c r="BM9" i="20"/>
  <c r="BM10" i="20" s="1"/>
  <c r="BM20" i="20" s="1"/>
  <c r="BM21" i="20" s="1"/>
  <c r="BM34" i="20" s="1"/>
  <c r="BM14" i="28"/>
  <c r="BG10" i="47" s="1"/>
  <c r="BL12" i="34"/>
  <c r="BF51" i="47" s="1"/>
  <c r="BF50" i="47"/>
  <c r="BH12" i="31"/>
  <c r="BB27" i="47" s="1"/>
  <c r="BI19" i="28"/>
  <c r="BM15" i="31"/>
  <c r="BG30" i="47" s="1"/>
  <c r="BN28" i="15"/>
  <c r="BO14" i="16"/>
  <c r="BO28" i="16"/>
  <c r="BN16" i="37"/>
  <c r="BN62" i="12"/>
  <c r="BN64" i="12" s="1"/>
  <c r="BN53" i="12"/>
  <c r="BN56" i="12" s="1"/>
  <c r="AB16" i="38"/>
  <c r="BI25" i="34"/>
  <c r="BC64" i="47" s="1"/>
  <c r="BM17" i="28"/>
  <c r="BG13" i="47" s="1"/>
  <c r="BI16" i="31"/>
  <c r="BC31" i="47" s="1"/>
  <c r="BJ11" i="17"/>
  <c r="BN16" i="19"/>
  <c r="BN17" i="19" s="1"/>
  <c r="BN42" i="15"/>
  <c r="BN20" i="15"/>
  <c r="BN25" i="11"/>
  <c r="BN27" i="13"/>
  <c r="BN29" i="13" s="1"/>
  <c r="BN12" i="13"/>
  <c r="BM47" i="16"/>
  <c r="BM33" i="16"/>
  <c r="BM34" i="16" s="1"/>
  <c r="BM13" i="16" s="1"/>
  <c r="BM15" i="16" s="1"/>
  <c r="BI18" i="31"/>
  <c r="BC33" i="47" s="1"/>
  <c r="BJ11" i="18"/>
  <c r="BM49" i="19"/>
  <c r="BM51" i="19" s="1"/>
  <c r="BM36" i="19" s="1"/>
  <c r="BN37" i="19" s="1"/>
  <c r="BM30" i="19"/>
  <c r="BM32" i="19" s="1"/>
  <c r="BL21" i="28"/>
  <c r="BF17" i="47" s="1"/>
  <c r="BH27" i="31"/>
  <c r="BB42" i="47" s="1"/>
  <c r="BH16" i="22"/>
  <c r="Z27" i="32"/>
  <c r="BI23" i="34"/>
  <c r="BC62" i="47" s="1"/>
  <c r="BN10" i="37"/>
  <c r="BN24" i="12"/>
  <c r="BN26" i="12" s="1"/>
  <c r="BO17" i="10"/>
  <c r="AB10" i="38"/>
  <c r="BL20" i="31"/>
  <c r="BF35" i="47" s="1"/>
  <c r="BM75" i="20"/>
  <c r="BM14" i="20" l="1"/>
  <c r="BM15" i="20" s="1"/>
  <c r="BM39" i="20" s="1"/>
  <c r="BH22" i="9"/>
  <c r="BH24" i="9" s="1"/>
  <c r="Z23" i="32" s="1"/>
  <c r="BL15" i="34"/>
  <c r="BF54" i="47" s="1"/>
  <c r="Z12" i="32"/>
  <c r="BI82" i="20"/>
  <c r="BC15" i="47"/>
  <c r="BI22" i="28"/>
  <c r="BC18" i="47" s="1"/>
  <c r="BI21" i="31"/>
  <c r="BC36" i="47" s="1"/>
  <c r="BI26" i="34"/>
  <c r="BM17" i="31"/>
  <c r="BG32" i="47" s="1"/>
  <c r="BN11" i="16"/>
  <c r="BM19" i="31"/>
  <c r="BG34" i="47" s="1"/>
  <c r="BN29" i="19"/>
  <c r="BN11" i="37"/>
  <c r="BN20" i="17"/>
  <c r="BN22" i="17" s="1"/>
  <c r="BN20" i="18"/>
  <c r="BN22" i="18" s="1"/>
  <c r="BN13" i="15"/>
  <c r="BN14" i="15" s="1"/>
  <c r="BN19" i="13"/>
  <c r="BN21" i="13" s="1"/>
  <c r="BN31" i="12"/>
  <c r="BN39" i="12"/>
  <c r="BN41" i="12" s="1"/>
  <c r="BN17" i="9"/>
  <c r="BN18" i="9" s="1"/>
  <c r="AB11" i="38"/>
  <c r="BN31" i="19"/>
  <c r="BN38" i="19"/>
  <c r="BM66" i="20"/>
  <c r="BM68" i="20" s="1"/>
  <c r="BN15" i="37"/>
  <c r="BO51" i="12"/>
  <c r="AB15" i="38"/>
  <c r="BM24" i="34"/>
  <c r="BG63" i="47" s="1"/>
  <c r="BN13" i="28"/>
  <c r="BH9" i="47" s="1"/>
  <c r="AB13" i="29"/>
  <c r="BN17" i="37"/>
  <c r="BO61" i="12"/>
  <c r="BN17" i="11"/>
  <c r="BN18" i="11" s="1"/>
  <c r="AB17" i="38"/>
  <c r="BJ40" i="18"/>
  <c r="BJ41" i="18" s="1"/>
  <c r="BJ27" i="18"/>
  <c r="BJ28" i="18" s="1"/>
  <c r="BN21" i="19"/>
  <c r="BN43" i="15"/>
  <c r="BN45" i="15" s="1"/>
  <c r="BN21" i="15"/>
  <c r="BP22" i="15" s="1"/>
  <c r="BO26" i="13"/>
  <c r="BN30" i="13"/>
  <c r="BO25" i="10"/>
  <c r="BJ40" i="17"/>
  <c r="BJ41" i="17" s="1"/>
  <c r="BO20" i="34"/>
  <c r="BI59" i="47" s="1"/>
  <c r="BM25" i="20" l="1"/>
  <c r="BM27" i="20" s="1"/>
  <c r="BI37" i="9"/>
  <c r="BI38" i="9" s="1"/>
  <c r="BI25" i="31" s="1"/>
  <c r="BC40" i="47" s="1"/>
  <c r="BH15" i="22"/>
  <c r="BH17" i="22" s="1"/>
  <c r="BH21" i="22" s="1"/>
  <c r="BH23" i="31"/>
  <c r="BB38" i="47" s="1"/>
  <c r="BI29" i="34"/>
  <c r="BC68" i="47" s="1"/>
  <c r="BC65" i="47"/>
  <c r="BI23" i="9"/>
  <c r="BN10" i="31"/>
  <c r="BH25" i="47" s="1"/>
  <c r="BO41" i="15"/>
  <c r="AB10" i="32"/>
  <c r="BP8" i="34"/>
  <c r="BJ47" i="47" s="1"/>
  <c r="BP44" i="15"/>
  <c r="BJ46" i="17"/>
  <c r="BJ47" i="17" s="1"/>
  <c r="BJ42" i="17"/>
  <c r="BJ33" i="17"/>
  <c r="BN10" i="34"/>
  <c r="BH49" i="47" s="1"/>
  <c r="AB10" i="35"/>
  <c r="BN15" i="15"/>
  <c r="BN32" i="15"/>
  <c r="BN39" i="16"/>
  <c r="BN40" i="16" s="1"/>
  <c r="BN21" i="34"/>
  <c r="BH60" i="47" s="1"/>
  <c r="BN12" i="18"/>
  <c r="AB21" i="35"/>
  <c r="BJ36" i="9"/>
  <c r="BO24" i="10"/>
  <c r="BO26" i="10" s="1"/>
  <c r="BN29" i="15"/>
  <c r="BN10" i="12"/>
  <c r="BN11" i="12" s="1"/>
  <c r="BN48" i="19"/>
  <c r="BN8" i="28"/>
  <c r="BN19" i="16"/>
  <c r="BN21" i="16" s="1"/>
  <c r="BN26" i="11"/>
  <c r="BN27" i="11" s="1"/>
  <c r="AB8" i="29"/>
  <c r="BN12" i="37"/>
  <c r="BO38" i="12"/>
  <c r="AB12" i="38"/>
  <c r="BN17" i="34"/>
  <c r="BH56" i="47" s="1"/>
  <c r="BN12" i="17"/>
  <c r="BN27" i="17"/>
  <c r="AB17" i="35"/>
  <c r="BJ29" i="18"/>
  <c r="BJ14" i="18"/>
  <c r="BM40" i="20"/>
  <c r="BM41" i="20" s="1"/>
  <c r="BM46" i="20" s="1"/>
  <c r="BM47" i="20" s="1"/>
  <c r="BM35" i="20"/>
  <c r="BM36" i="20" s="1"/>
  <c r="BN33" i="20" s="1"/>
  <c r="BN9" i="31"/>
  <c r="BH24" i="47" s="1"/>
  <c r="AB9" i="32"/>
  <c r="BJ46" i="18"/>
  <c r="BJ47" i="18" s="1"/>
  <c r="BJ42" i="18"/>
  <c r="BJ33" i="18"/>
  <c r="BM77" i="20"/>
  <c r="BM69" i="20"/>
  <c r="BN8" i="31"/>
  <c r="BH23" i="47" s="1"/>
  <c r="BO18" i="13"/>
  <c r="AB8" i="32"/>
  <c r="BI28" i="9" l="1"/>
  <c r="BI30" i="9" s="1"/>
  <c r="BI27" i="31" s="1"/>
  <c r="BC42" i="47" s="1"/>
  <c r="BI12" i="9"/>
  <c r="BI13" i="9" s="1"/>
  <c r="BI11" i="31" s="1"/>
  <c r="BC26" i="47" s="1"/>
  <c r="BN11" i="28"/>
  <c r="BH7" i="47" s="1"/>
  <c r="BH4" i="47"/>
  <c r="BJ48" i="17"/>
  <c r="BJ34" i="17"/>
  <c r="BJ35" i="17" s="1"/>
  <c r="BJ13" i="17" s="1"/>
  <c r="BJ15" i="17" s="1"/>
  <c r="BN19" i="34"/>
  <c r="BH58" i="47" s="1"/>
  <c r="BN12" i="16"/>
  <c r="BN26" i="16"/>
  <c r="BP27" i="16" s="1"/>
  <c r="AB19" i="35"/>
  <c r="BN14" i="34"/>
  <c r="BH53" i="47" s="1"/>
  <c r="AB14" i="35"/>
  <c r="BN26" i="20"/>
  <c r="BJ16" i="28"/>
  <c r="BD12" i="47" s="1"/>
  <c r="BM11" i="34"/>
  <c r="BN9" i="19"/>
  <c r="BN11" i="19" s="1"/>
  <c r="BN22" i="19" s="1"/>
  <c r="BN23" i="19" s="1"/>
  <c r="BN30" i="15"/>
  <c r="BN36" i="15" s="1"/>
  <c r="BJ48" i="18"/>
  <c r="BJ34" i="18"/>
  <c r="BJ35" i="18" s="1"/>
  <c r="BJ13" i="18" s="1"/>
  <c r="BJ15" i="18" s="1"/>
  <c r="BO10" i="13"/>
  <c r="BO11" i="13" s="1"/>
  <c r="BM81" i="20"/>
  <c r="BM48" i="20"/>
  <c r="BM76" i="20"/>
  <c r="BM78" i="20" s="1"/>
  <c r="BN45" i="16"/>
  <c r="BN46" i="16" s="1"/>
  <c r="BN32" i="16"/>
  <c r="BN41" i="16"/>
  <c r="BO25" i="12"/>
  <c r="BJ22" i="34"/>
  <c r="BD61" i="47" s="1"/>
  <c r="BJ18" i="28"/>
  <c r="BD14" i="47" s="1"/>
  <c r="BN14" i="31"/>
  <c r="BH29" i="47" s="1"/>
  <c r="BO24" i="11"/>
  <c r="AB14" i="32"/>
  <c r="BO44" i="12"/>
  <c r="BO45" i="12" s="1"/>
  <c r="BO11" i="11"/>
  <c r="BO12" i="11" s="1"/>
  <c r="BO20" i="10"/>
  <c r="BO21" i="10" s="1"/>
  <c r="BI16" i="22" l="1"/>
  <c r="BI9" i="8"/>
  <c r="BJ11" i="9"/>
  <c r="BM12" i="34"/>
  <c r="BG51" i="47" s="1"/>
  <c r="BG50" i="47"/>
  <c r="AB11" i="29"/>
  <c r="BN14" i="28"/>
  <c r="BH10" i="47" s="1"/>
  <c r="BN9" i="20"/>
  <c r="BN10" i="20" s="1"/>
  <c r="BN14" i="20" s="1"/>
  <c r="BN15" i="20" s="1"/>
  <c r="BI12" i="31"/>
  <c r="BJ16" i="31"/>
  <c r="BD31" i="47" s="1"/>
  <c r="BK11" i="17"/>
  <c r="BJ18" i="31"/>
  <c r="BD33" i="47" s="1"/>
  <c r="BK11" i="18"/>
  <c r="BJ23" i="34"/>
  <c r="BD62" i="47" s="1"/>
  <c r="BO16" i="37"/>
  <c r="BO62" i="12"/>
  <c r="BO64" i="12" s="1"/>
  <c r="BO53" i="12"/>
  <c r="BO56" i="12" s="1"/>
  <c r="BO27" i="13"/>
  <c r="BO29" i="13" s="1"/>
  <c r="BO12" i="13"/>
  <c r="BN33" i="16"/>
  <c r="BN34" i="16" s="1"/>
  <c r="BN13" i="16" s="1"/>
  <c r="BN15" i="16" s="1"/>
  <c r="BN47" i="16"/>
  <c r="BM20" i="31"/>
  <c r="BG35" i="47" s="1"/>
  <c r="BN75" i="20"/>
  <c r="BM15" i="34"/>
  <c r="BG54" i="47" s="1"/>
  <c r="BJ25" i="34"/>
  <c r="BD64" i="47" s="1"/>
  <c r="BN49" i="19"/>
  <c r="BN51" i="19" s="1"/>
  <c r="BN36" i="19" s="1"/>
  <c r="BO37" i="19" s="1"/>
  <c r="BN30" i="19"/>
  <c r="BN32" i="19" s="1"/>
  <c r="BJ19" i="28"/>
  <c r="BD15" i="47" s="1"/>
  <c r="BP28" i="16"/>
  <c r="BP14" i="16"/>
  <c r="BO10" i="37"/>
  <c r="BO24" i="12"/>
  <c r="BO26" i="12" s="1"/>
  <c r="BP17" i="10"/>
  <c r="BN17" i="28"/>
  <c r="BH13" i="47" s="1"/>
  <c r="AB17" i="29"/>
  <c r="BM21" i="28"/>
  <c r="BG17" i="47" s="1"/>
  <c r="BO16" i="19"/>
  <c r="BO17" i="19" s="1"/>
  <c r="BO42" i="15"/>
  <c r="BO20" i="15"/>
  <c r="BO25" i="11"/>
  <c r="BN15" i="31"/>
  <c r="BH30" i="47" s="1"/>
  <c r="BO28" i="15"/>
  <c r="AB15" i="32"/>
  <c r="AB14" i="29" l="1"/>
  <c r="BI22" i="9"/>
  <c r="BI24" i="9" s="1"/>
  <c r="BI23" i="31" s="1"/>
  <c r="BC38" i="47" s="1"/>
  <c r="BC27" i="47"/>
  <c r="BN20" i="20"/>
  <c r="BN21" i="20" s="1"/>
  <c r="BN34" i="20" s="1"/>
  <c r="BJ26" i="34"/>
  <c r="BN39" i="20"/>
  <c r="BN25" i="20"/>
  <c r="BN27" i="20" s="1"/>
  <c r="BN17" i="31"/>
  <c r="BH32" i="47" s="1"/>
  <c r="BO11" i="16"/>
  <c r="AB17" i="32"/>
  <c r="BO13" i="28"/>
  <c r="BI9" i="47" s="1"/>
  <c r="BP20" i="34"/>
  <c r="BJ59" i="47" s="1"/>
  <c r="BP26" i="13"/>
  <c r="BO30" i="13"/>
  <c r="BO9" i="31" s="1"/>
  <c r="BI24" i="47" s="1"/>
  <c r="BJ22" i="28"/>
  <c r="BD18" i="47" s="1"/>
  <c r="BJ82" i="20"/>
  <c r="BK27" i="18"/>
  <c r="BK28" i="18" s="1"/>
  <c r="BK40" i="18"/>
  <c r="BK41" i="18" s="1"/>
  <c r="BO17" i="37"/>
  <c r="BP61" i="12"/>
  <c r="BO17" i="11"/>
  <c r="BO18" i="11" s="1"/>
  <c r="BO11" i="37"/>
  <c r="BO20" i="17"/>
  <c r="BO22" i="17" s="1"/>
  <c r="BO20" i="18"/>
  <c r="BO22" i="18" s="1"/>
  <c r="BO19" i="13"/>
  <c r="BO21" i="13" s="1"/>
  <c r="BO13" i="15"/>
  <c r="BO14" i="15" s="1"/>
  <c r="BO39" i="12"/>
  <c r="BO41" i="12" s="1"/>
  <c r="BO31" i="12"/>
  <c r="BO17" i="9"/>
  <c r="BO18" i="9" s="1"/>
  <c r="BN24" i="34"/>
  <c r="BH63" i="47" s="1"/>
  <c r="AB24" i="35"/>
  <c r="BO21" i="19"/>
  <c r="BO21" i="15"/>
  <c r="BQ22" i="15" s="1"/>
  <c r="BO43" i="15"/>
  <c r="BO45" i="15" s="1"/>
  <c r="BN19" i="31"/>
  <c r="BH34" i="47" s="1"/>
  <c r="BO29" i="19"/>
  <c r="AB19" i="32"/>
  <c r="BN66" i="20"/>
  <c r="BN68" i="20" s="1"/>
  <c r="BK40" i="17"/>
  <c r="BK41" i="17" s="1"/>
  <c r="BP25" i="10"/>
  <c r="BO31" i="19"/>
  <c r="BO38" i="19"/>
  <c r="BO15" i="37"/>
  <c r="BP51" i="12"/>
  <c r="BJ21" i="31"/>
  <c r="BD36" i="47" s="1"/>
  <c r="BI15" i="22" l="1"/>
  <c r="BI17" i="22" s="1"/>
  <c r="BI21" i="22" s="1"/>
  <c r="BJ29" i="34"/>
  <c r="BD68" i="47" s="1"/>
  <c r="BD65" i="47"/>
  <c r="BJ23" i="9"/>
  <c r="BO10" i="31"/>
  <c r="BI25" i="47" s="1"/>
  <c r="BP41" i="15"/>
  <c r="BQ8" i="34"/>
  <c r="BK47" i="47" s="1"/>
  <c r="BQ44" i="15"/>
  <c r="J8" i="36"/>
  <c r="J8" i="35"/>
  <c r="L8" i="35"/>
  <c r="K8" i="36"/>
  <c r="J8" i="25"/>
  <c r="D47" i="50" s="1"/>
  <c r="M8" i="35"/>
  <c r="K8" i="35"/>
  <c r="H22" i="15"/>
  <c r="K8" i="25"/>
  <c r="E47" i="50" s="1"/>
  <c r="L8" i="36"/>
  <c r="M8" i="36"/>
  <c r="N8" i="36"/>
  <c r="L8" i="25"/>
  <c r="F47" i="50" s="1"/>
  <c r="O8" i="36"/>
  <c r="M8" i="25"/>
  <c r="G47" i="50" s="1"/>
  <c r="P8" i="36"/>
  <c r="Q8" i="36"/>
  <c r="N8" i="25"/>
  <c r="H47" i="50" s="1"/>
  <c r="R8" i="36"/>
  <c r="S8" i="36"/>
  <c r="AC8" i="35"/>
  <c r="BO17" i="34"/>
  <c r="BI56" i="47" s="1"/>
  <c r="BO12" i="17"/>
  <c r="BO27" i="17"/>
  <c r="BK29" i="18"/>
  <c r="BK14" i="18"/>
  <c r="BO39" i="16"/>
  <c r="BO40" i="16" s="1"/>
  <c r="BN35" i="20"/>
  <c r="BN36" i="20" s="1"/>
  <c r="BO33" i="20" s="1"/>
  <c r="BN40" i="20"/>
  <c r="BN41" i="20" s="1"/>
  <c r="BN46" i="20" s="1"/>
  <c r="BN47" i="20" s="1"/>
  <c r="BK42" i="18"/>
  <c r="BK33" i="18"/>
  <c r="BK46" i="18"/>
  <c r="BK47" i="18" s="1"/>
  <c r="BO48" i="19"/>
  <c r="BO29" i="15"/>
  <c r="BO10" i="12"/>
  <c r="BO11" i="12" s="1"/>
  <c r="BO8" i="28"/>
  <c r="BO19" i="16"/>
  <c r="BO21" i="16" s="1"/>
  <c r="BO26" i="11"/>
  <c r="BO27" i="11" s="1"/>
  <c r="BP24" i="10"/>
  <c r="BP26" i="10" s="1"/>
  <c r="BO21" i="34"/>
  <c r="BI60" i="47" s="1"/>
  <c r="BO12" i="18"/>
  <c r="BO12" i="37"/>
  <c r="BP38" i="12"/>
  <c r="BO10" i="34"/>
  <c r="BI49" i="47" s="1"/>
  <c r="BO15" i="15"/>
  <c r="BO32" i="15"/>
  <c r="BK42" i="17"/>
  <c r="BK33" i="17"/>
  <c r="BK46" i="17"/>
  <c r="BK47" i="17" s="1"/>
  <c r="BN77" i="20"/>
  <c r="BN69" i="20"/>
  <c r="BO8" i="31"/>
  <c r="BI23" i="47" s="1"/>
  <c r="BP18" i="13"/>
  <c r="BJ37" i="9"/>
  <c r="BJ38" i="9" s="1"/>
  <c r="BJ12" i="9" l="1"/>
  <c r="BJ13" i="9" s="1"/>
  <c r="BJ11" i="31" s="1"/>
  <c r="BD26" i="47" s="1"/>
  <c r="BO11" i="28"/>
  <c r="BI7" i="47" s="1"/>
  <c r="BI4" i="47"/>
  <c r="BK34" i="18"/>
  <c r="BK35" i="18" s="1"/>
  <c r="BK13" i="18" s="1"/>
  <c r="BK15" i="18" s="1"/>
  <c r="BK48" i="18"/>
  <c r="BO14" i="34"/>
  <c r="BI53" i="47" s="1"/>
  <c r="BO14" i="31"/>
  <c r="BI29" i="47" s="1"/>
  <c r="BP24" i="11"/>
  <c r="BK22" i="34"/>
  <c r="BE61" i="47" s="1"/>
  <c r="AA22" i="35"/>
  <c r="BN11" i="34"/>
  <c r="AB11" i="35"/>
  <c r="BO9" i="19"/>
  <c r="BO11" i="19" s="1"/>
  <c r="BO22" i="19" s="1"/>
  <c r="BO23" i="19" s="1"/>
  <c r="BO30" i="15"/>
  <c r="BO36" i="15" s="1"/>
  <c r="BO26" i="20"/>
  <c r="H8" i="36"/>
  <c r="H8" i="35"/>
  <c r="H8" i="34"/>
  <c r="H8" i="25"/>
  <c r="H44" i="15"/>
  <c r="BO19" i="34"/>
  <c r="BI58" i="47" s="1"/>
  <c r="BO12" i="16"/>
  <c r="BO26" i="16"/>
  <c r="BQ27" i="16" s="1"/>
  <c r="BK48" i="17"/>
  <c r="BK34" i="17"/>
  <c r="BK35" i="17" s="1"/>
  <c r="BK13" i="17" s="1"/>
  <c r="BK15" i="17" s="1"/>
  <c r="BN76" i="20"/>
  <c r="BN78" i="20" s="1"/>
  <c r="BN81" i="20"/>
  <c r="BN48" i="20"/>
  <c r="BJ25" i="31"/>
  <c r="BD40" i="47" s="1"/>
  <c r="BJ28" i="9"/>
  <c r="BJ30" i="9" s="1"/>
  <c r="BK36" i="9"/>
  <c r="BK16" i="28"/>
  <c r="BE12" i="47" s="1"/>
  <c r="AA16" i="29"/>
  <c r="BP25" i="12"/>
  <c r="BK18" i="28"/>
  <c r="BE14" i="47" s="1"/>
  <c r="AA18" i="29"/>
  <c r="BP10" i="13"/>
  <c r="BP11" i="13" s="1"/>
  <c r="BP44" i="12"/>
  <c r="BP45" i="12" s="1"/>
  <c r="BP11" i="11"/>
  <c r="BP12" i="11" s="1"/>
  <c r="BP20" i="10"/>
  <c r="BP21" i="10" s="1"/>
  <c r="BO41" i="16"/>
  <c r="BO32" i="16"/>
  <c r="BO45" i="16"/>
  <c r="BO46" i="16" s="1"/>
  <c r="BJ9" i="8" l="1"/>
  <c r="BK11" i="9"/>
  <c r="BO14" i="28"/>
  <c r="BI10" i="47" s="1"/>
  <c r="BN12" i="34"/>
  <c r="BH51" i="47" s="1"/>
  <c r="BH50" i="47"/>
  <c r="BJ12" i="31"/>
  <c r="BO9" i="20"/>
  <c r="BO10" i="20" s="1"/>
  <c r="BO14" i="20" s="1"/>
  <c r="BO15" i="20" s="1"/>
  <c r="BQ28" i="16"/>
  <c r="BQ14" i="16"/>
  <c r="H27" i="16"/>
  <c r="H14" i="16" s="1"/>
  <c r="BP16" i="19"/>
  <c r="BP17" i="19" s="1"/>
  <c r="BP42" i="15"/>
  <c r="BP20" i="15"/>
  <c r="BP25" i="11"/>
  <c r="BK18" i="31"/>
  <c r="BE33" i="47" s="1"/>
  <c r="BL11" i="18"/>
  <c r="AA18" i="32"/>
  <c r="R18" i="33"/>
  <c r="BO17" i="28"/>
  <c r="BI13" i="47" s="1"/>
  <c r="BK16" i="31"/>
  <c r="BE31" i="47" s="1"/>
  <c r="BL11" i="17"/>
  <c r="R16" i="33"/>
  <c r="AA16" i="32"/>
  <c r="BJ27" i="31"/>
  <c r="BD42" i="47" s="1"/>
  <c r="BJ16" i="22"/>
  <c r="BP10" i="37"/>
  <c r="BP24" i="12"/>
  <c r="BP26" i="12" s="1"/>
  <c r="BQ17" i="10"/>
  <c r="BN21" i="28"/>
  <c r="BH17" i="47" s="1"/>
  <c r="AB21" i="29"/>
  <c r="BN20" i="31"/>
  <c r="BH35" i="47" s="1"/>
  <c r="BO75" i="20"/>
  <c r="AB20" i="32"/>
  <c r="BO30" i="19"/>
  <c r="BO32" i="19" s="1"/>
  <c r="BO49" i="19"/>
  <c r="BO51" i="19" s="1"/>
  <c r="BO36" i="19" s="1"/>
  <c r="BP37" i="19" s="1"/>
  <c r="BP16" i="37"/>
  <c r="BP53" i="12"/>
  <c r="BP56" i="12" s="1"/>
  <c r="BP62" i="12"/>
  <c r="BP64" i="12" s="1"/>
  <c r="BP27" i="13"/>
  <c r="BP29" i="13" s="1"/>
  <c r="BP12" i="13"/>
  <c r="BK19" i="28"/>
  <c r="BE15" i="47" s="1"/>
  <c r="BK25" i="34"/>
  <c r="BE64" i="47" s="1"/>
  <c r="AA25" i="35"/>
  <c r="BO15" i="31"/>
  <c r="BI30" i="47" s="1"/>
  <c r="BP28" i="15"/>
  <c r="BO33" i="16"/>
  <c r="BO34" i="16" s="1"/>
  <c r="BO13" i="16" s="1"/>
  <c r="BO15" i="16" s="1"/>
  <c r="BO47" i="16"/>
  <c r="BK23" i="34"/>
  <c r="BE62" i="47" s="1"/>
  <c r="AA23" i="35"/>
  <c r="AB12" i="35" l="1"/>
  <c r="BN15" i="34"/>
  <c r="BH54" i="47" s="1"/>
  <c r="BJ22" i="9"/>
  <c r="BJ24" i="9" s="1"/>
  <c r="BJ23" i="31" s="1"/>
  <c r="BD38" i="47" s="1"/>
  <c r="BD27" i="47"/>
  <c r="BO20" i="20"/>
  <c r="BO21" i="20" s="1"/>
  <c r="BO34" i="20" s="1"/>
  <c r="BK26" i="34"/>
  <c r="BO17" i="31"/>
  <c r="BI32" i="47" s="1"/>
  <c r="BP11" i="16"/>
  <c r="BQ25" i="10"/>
  <c r="BO19" i="31"/>
  <c r="BI34" i="47" s="1"/>
  <c r="BP29" i="19"/>
  <c r="BP38" i="19"/>
  <c r="BP31" i="19"/>
  <c r="BP15" i="37"/>
  <c r="BQ51" i="12"/>
  <c r="BL40" i="18"/>
  <c r="BL41" i="18" s="1"/>
  <c r="BL27" i="18"/>
  <c r="BL28" i="18" s="1"/>
  <c r="BP17" i="37"/>
  <c r="BP17" i="11"/>
  <c r="BP18" i="11" s="1"/>
  <c r="BQ61" i="12"/>
  <c r="BO66" i="20"/>
  <c r="BO68" i="20" s="1"/>
  <c r="BL40" i="17"/>
  <c r="BL41" i="17" s="1"/>
  <c r="BQ20" i="34"/>
  <c r="BK59" i="47" s="1"/>
  <c r="L20" i="35"/>
  <c r="J20" i="25"/>
  <c r="D59" i="50" s="1"/>
  <c r="J20" i="36"/>
  <c r="K20" i="35"/>
  <c r="H28" i="16"/>
  <c r="K20" i="25"/>
  <c r="E59" i="50" s="1"/>
  <c r="L20" i="36"/>
  <c r="M20" i="36"/>
  <c r="N20" i="36"/>
  <c r="L20" i="25"/>
  <c r="F59" i="50" s="1"/>
  <c r="O20" i="36"/>
  <c r="P20" i="36"/>
  <c r="M20" i="25"/>
  <c r="G59" i="50" s="1"/>
  <c r="Q20" i="36"/>
  <c r="R20" i="36"/>
  <c r="N20" i="25"/>
  <c r="H59" i="50" s="1"/>
  <c r="S20" i="36"/>
  <c r="AC20" i="35"/>
  <c r="BP11" i="37"/>
  <c r="BP20" i="18"/>
  <c r="BP22" i="18" s="1"/>
  <c r="BP20" i="17"/>
  <c r="BP22" i="17" s="1"/>
  <c r="BP13" i="15"/>
  <c r="BP14" i="15" s="1"/>
  <c r="BP19" i="13"/>
  <c r="BP21" i="13" s="1"/>
  <c r="BP31" i="12"/>
  <c r="BP39" i="12"/>
  <c r="BP41" i="12" s="1"/>
  <c r="BP17" i="9"/>
  <c r="BP18" i="9" s="1"/>
  <c r="BK21" i="31"/>
  <c r="BE36" i="47" s="1"/>
  <c r="BK22" i="28"/>
  <c r="BE18" i="47" s="1"/>
  <c r="BK82" i="20"/>
  <c r="AA19" i="29"/>
  <c r="BO39" i="20"/>
  <c r="BO25" i="20"/>
  <c r="BO27" i="20" s="1"/>
  <c r="BO24" i="34"/>
  <c r="BI63" i="47" s="1"/>
  <c r="BP13" i="28"/>
  <c r="BJ9" i="47" s="1"/>
  <c r="BP30" i="13"/>
  <c r="BP9" i="31" s="1"/>
  <c r="BJ24" i="47" s="1"/>
  <c r="BQ26" i="13"/>
  <c r="BP21" i="19"/>
  <c r="BP21" i="15"/>
  <c r="BP43" i="15"/>
  <c r="BP45" i="15" s="1"/>
  <c r="AB15" i="35"/>
  <c r="AA26" i="35" l="1"/>
  <c r="BE65" i="47"/>
  <c r="BJ15" i="22"/>
  <c r="BJ17" i="22" s="1"/>
  <c r="BJ21" i="22" s="1"/>
  <c r="BK29" i="34"/>
  <c r="BE68" i="47" s="1"/>
  <c r="BP15" i="15"/>
  <c r="BP32" i="15"/>
  <c r="BP48" i="19"/>
  <c r="BP10" i="34"/>
  <c r="BJ49" i="47" s="1"/>
  <c r="BK37" i="9"/>
  <c r="BK38" i="9" s="1"/>
  <c r="AA22" i="29"/>
  <c r="BP17" i="34"/>
  <c r="BJ56" i="47" s="1"/>
  <c r="BP27" i="17"/>
  <c r="BP12" i="17"/>
  <c r="BL33" i="17"/>
  <c r="BL46" i="17"/>
  <c r="BL47" i="17" s="1"/>
  <c r="BL42" i="17"/>
  <c r="BK23" i="9"/>
  <c r="AA21" i="32"/>
  <c r="R21" i="33"/>
  <c r="BP21" i="34"/>
  <c r="BJ60" i="47" s="1"/>
  <c r="BP12" i="18"/>
  <c r="H20" i="35"/>
  <c r="H20" i="36"/>
  <c r="H20" i="34"/>
  <c r="H20" i="25"/>
  <c r="BL29" i="18"/>
  <c r="BL14" i="18"/>
  <c r="BP8" i="31"/>
  <c r="BJ23" i="47" s="1"/>
  <c r="BQ18" i="13"/>
  <c r="BO69" i="20"/>
  <c r="BO77" i="20"/>
  <c r="BL33" i="18"/>
  <c r="BL42" i="18"/>
  <c r="BL46" i="18"/>
  <c r="BL47" i="18" s="1"/>
  <c r="BP29" i="15"/>
  <c r="BP10" i="12"/>
  <c r="BP11" i="12" s="1"/>
  <c r="BQ24" i="10"/>
  <c r="BQ26" i="10" s="1"/>
  <c r="BO40" i="20"/>
  <c r="BO41" i="20" s="1"/>
  <c r="BO46" i="20" s="1"/>
  <c r="BO47" i="20" s="1"/>
  <c r="BO35" i="20"/>
  <c r="BO36" i="20" s="1"/>
  <c r="BP33" i="20" s="1"/>
  <c r="BP12" i="37"/>
  <c r="BQ38" i="12"/>
  <c r="BP8" i="28"/>
  <c r="BP19" i="16"/>
  <c r="BP21" i="16" s="1"/>
  <c r="BP26" i="11"/>
  <c r="BP27" i="11" s="1"/>
  <c r="BP39" i="16"/>
  <c r="BP40" i="16" s="1"/>
  <c r="BP10" i="31"/>
  <c r="BJ25" i="47" s="1"/>
  <c r="BQ41" i="15"/>
  <c r="AA29" i="35" l="1"/>
  <c r="BK12" i="9"/>
  <c r="BK13" i="9" s="1"/>
  <c r="BK11" i="31" s="1"/>
  <c r="BE26" i="47" s="1"/>
  <c r="BP11" i="28"/>
  <c r="BJ7" i="47" s="1"/>
  <c r="BJ4" i="47"/>
  <c r="BO76" i="20"/>
  <c r="BO78" i="20" s="1"/>
  <c r="BO81" i="20"/>
  <c r="BO48" i="20"/>
  <c r="BP9" i="19"/>
  <c r="BP11" i="19" s="1"/>
  <c r="BP22" i="19" s="1"/>
  <c r="BP23" i="19" s="1"/>
  <c r="BP30" i="15"/>
  <c r="BP36" i="15" s="1"/>
  <c r="BO11" i="34"/>
  <c r="BL48" i="17"/>
  <c r="BL34" i="17"/>
  <c r="BL35" i="17" s="1"/>
  <c r="BL13" i="17" s="1"/>
  <c r="BL15" i="17" s="1"/>
  <c r="BQ25" i="12"/>
  <c r="BQ10" i="13"/>
  <c r="BQ11" i="13" s="1"/>
  <c r="BP26" i="20"/>
  <c r="BP32" i="16"/>
  <c r="BP45" i="16"/>
  <c r="BP46" i="16" s="1"/>
  <c r="BP41" i="16"/>
  <c r="BL18" i="28"/>
  <c r="BF14" i="47" s="1"/>
  <c r="BQ44" i="12"/>
  <c r="BQ45" i="12" s="1"/>
  <c r="BQ11" i="11"/>
  <c r="BQ12" i="11" s="1"/>
  <c r="BQ20" i="10"/>
  <c r="BQ21" i="10" s="1"/>
  <c r="H26" i="10"/>
  <c r="BL34" i="18"/>
  <c r="BL35" i="18" s="1"/>
  <c r="BL13" i="18" s="1"/>
  <c r="BL15" i="18" s="1"/>
  <c r="BL48" i="18"/>
  <c r="BL22" i="34"/>
  <c r="BF61" i="47" s="1"/>
  <c r="BP14" i="31"/>
  <c r="BJ29" i="47" s="1"/>
  <c r="BQ24" i="11"/>
  <c r="BP19" i="34"/>
  <c r="BJ58" i="47" s="1"/>
  <c r="BP12" i="16"/>
  <c r="BP26" i="16"/>
  <c r="BL16" i="28"/>
  <c r="BF12" i="47" s="1"/>
  <c r="BK25" i="31"/>
  <c r="BE40" i="47" s="1"/>
  <c r="BL36" i="9"/>
  <c r="BK28" i="9"/>
  <c r="BK30" i="9" s="1"/>
  <c r="R25" i="33"/>
  <c r="AA25" i="32"/>
  <c r="BP14" i="34"/>
  <c r="BJ53" i="47" s="1"/>
  <c r="AA11" i="32" l="1"/>
  <c r="R11" i="33"/>
  <c r="BK9" i="8"/>
  <c r="BL11" i="9"/>
  <c r="BO12" i="34"/>
  <c r="BI51" i="47" s="1"/>
  <c r="BI50" i="47"/>
  <c r="BP9" i="20"/>
  <c r="BP10" i="20" s="1"/>
  <c r="BP14" i="20" s="1"/>
  <c r="BP15" i="20" s="1"/>
  <c r="BK12" i="31"/>
  <c r="BE27" i="47" s="1"/>
  <c r="BL19" i="28"/>
  <c r="BP14" i="28"/>
  <c r="BJ10" i="47" s="1"/>
  <c r="BL18" i="31"/>
  <c r="BF33" i="47" s="1"/>
  <c r="BM11" i="18"/>
  <c r="H44" i="12"/>
  <c r="H11" i="11"/>
  <c r="H20" i="10"/>
  <c r="BP30" i="19"/>
  <c r="BP32" i="19" s="1"/>
  <c r="BP49" i="19"/>
  <c r="BP51" i="19" s="1"/>
  <c r="BP36" i="19" s="1"/>
  <c r="BQ37" i="19" s="1"/>
  <c r="BP15" i="31"/>
  <c r="BJ30" i="47" s="1"/>
  <c r="BQ28" i="15"/>
  <c r="BQ10" i="37"/>
  <c r="BQ24" i="12"/>
  <c r="BQ26" i="12" s="1"/>
  <c r="J10" i="39"/>
  <c r="AC10" i="38"/>
  <c r="S10" i="39"/>
  <c r="N10" i="26"/>
  <c r="BQ16" i="19"/>
  <c r="BQ17" i="19" s="1"/>
  <c r="BQ42" i="15"/>
  <c r="BQ20" i="15"/>
  <c r="BQ25" i="11"/>
  <c r="H12" i="11"/>
  <c r="BQ16" i="37"/>
  <c r="BQ62" i="12"/>
  <c r="BQ64" i="12" s="1"/>
  <c r="BQ53" i="12"/>
  <c r="BQ56" i="12" s="1"/>
  <c r="J16" i="39"/>
  <c r="L16" i="38"/>
  <c r="M16" i="38"/>
  <c r="J16" i="26"/>
  <c r="K16" i="38"/>
  <c r="H45" i="12"/>
  <c r="K16" i="39"/>
  <c r="K16" i="26"/>
  <c r="L16" i="39"/>
  <c r="M16" i="39"/>
  <c r="L16" i="26"/>
  <c r="N16" i="39"/>
  <c r="O16" i="39"/>
  <c r="P16" i="39"/>
  <c r="M16" i="26"/>
  <c r="Q16" i="39"/>
  <c r="R16" i="39"/>
  <c r="N16" i="26"/>
  <c r="S16" i="39"/>
  <c r="AC16" i="38"/>
  <c r="BL23" i="34"/>
  <c r="BF62" i="47" s="1"/>
  <c r="BL16" i="31"/>
  <c r="BF31" i="47" s="1"/>
  <c r="BM11" i="17"/>
  <c r="BO21" i="28"/>
  <c r="BI17" i="47" s="1"/>
  <c r="BL25" i="34"/>
  <c r="BF64" i="47" s="1"/>
  <c r="BK27" i="31"/>
  <c r="BE42" i="47" s="1"/>
  <c r="BK16" i="22"/>
  <c r="AA27" i="32"/>
  <c r="R27" i="33"/>
  <c r="BP17" i="28"/>
  <c r="BJ13" i="47" s="1"/>
  <c r="BP47" i="16"/>
  <c r="BP33" i="16"/>
  <c r="BP34" i="16" s="1"/>
  <c r="BP13" i="16" s="1"/>
  <c r="BP15" i="16" s="1"/>
  <c r="BQ27" i="13"/>
  <c r="BQ29" i="13" s="1"/>
  <c r="BQ30" i="13" s="1"/>
  <c r="BQ12" i="13"/>
  <c r="H11" i="13"/>
  <c r="H27" i="13" s="1"/>
  <c r="BO20" i="31"/>
  <c r="BI35" i="47" s="1"/>
  <c r="BP75" i="20"/>
  <c r="R12" i="33" l="1"/>
  <c r="AA12" i="32"/>
  <c r="BK22" i="9"/>
  <c r="BK24" i="9" s="1"/>
  <c r="BK23" i="31" s="1"/>
  <c r="BE38" i="47" s="1"/>
  <c r="BO15" i="34"/>
  <c r="BI54" i="47" s="1"/>
  <c r="BP20" i="20"/>
  <c r="BP21" i="20" s="1"/>
  <c r="BP34" i="20" s="1"/>
  <c r="BL22" i="28"/>
  <c r="BF18" i="47" s="1"/>
  <c r="BF15" i="47"/>
  <c r="BL82" i="20"/>
  <c r="BL21" i="31"/>
  <c r="BF36" i="47" s="1"/>
  <c r="BL26" i="34"/>
  <c r="BP17" i="31"/>
  <c r="BJ32" i="47" s="1"/>
  <c r="BQ11" i="16"/>
  <c r="BP66" i="20"/>
  <c r="BP68" i="20" s="1"/>
  <c r="BM40" i="17"/>
  <c r="BM41" i="17" s="1"/>
  <c r="AA23" i="32"/>
  <c r="R23" i="33"/>
  <c r="H16" i="19"/>
  <c r="H20" i="15"/>
  <c r="H42" i="15"/>
  <c r="H25" i="11"/>
  <c r="BQ13" i="28"/>
  <c r="BK9" i="47" s="1"/>
  <c r="L13" i="29"/>
  <c r="K13" i="30"/>
  <c r="M13" i="29"/>
  <c r="J13" i="30"/>
  <c r="J13" i="23"/>
  <c r="D9" i="50" s="1"/>
  <c r="K13" i="29"/>
  <c r="H12" i="13"/>
  <c r="K13" i="23"/>
  <c r="E9" i="50" s="1"/>
  <c r="L13" i="30"/>
  <c r="M13" i="30"/>
  <c r="N13" i="30"/>
  <c r="L13" i="23"/>
  <c r="F9" i="50" s="1"/>
  <c r="O13" i="30"/>
  <c r="M13" i="23"/>
  <c r="G9" i="50" s="1"/>
  <c r="P13" i="30"/>
  <c r="Q13" i="30"/>
  <c r="R13" i="30"/>
  <c r="N13" i="23"/>
  <c r="H9" i="50" s="1"/>
  <c r="S13" i="30"/>
  <c r="AC13" i="29"/>
  <c r="BP24" i="34"/>
  <c r="BJ63" i="47" s="1"/>
  <c r="BQ11" i="37"/>
  <c r="BQ20" i="18"/>
  <c r="BQ22" i="18" s="1"/>
  <c r="BQ20" i="17"/>
  <c r="BQ22" i="17" s="1"/>
  <c r="BQ13" i="15"/>
  <c r="BQ14" i="15" s="1"/>
  <c r="BQ19" i="13"/>
  <c r="BQ21" i="13" s="1"/>
  <c r="BQ39" i="12"/>
  <c r="BQ41" i="12" s="1"/>
  <c r="BQ31" i="12"/>
  <c r="BQ17" i="9"/>
  <c r="BQ18" i="9" s="1"/>
  <c r="M11" i="38"/>
  <c r="J11" i="39"/>
  <c r="J11" i="26"/>
  <c r="K11" i="38"/>
  <c r="H26" i="12"/>
  <c r="L11" i="38"/>
  <c r="K11" i="39"/>
  <c r="K11" i="26"/>
  <c r="L11" i="39"/>
  <c r="M11" i="39"/>
  <c r="N11" i="39"/>
  <c r="L11" i="26"/>
  <c r="O11" i="39"/>
  <c r="M11" i="26"/>
  <c r="P11" i="39"/>
  <c r="Q11" i="39"/>
  <c r="N11" i="26"/>
  <c r="R11" i="39"/>
  <c r="S11" i="39"/>
  <c r="AC11" i="38"/>
  <c r="BQ17" i="37"/>
  <c r="BQ17" i="11"/>
  <c r="BQ18" i="11" s="1"/>
  <c r="J17" i="39"/>
  <c r="S17" i="39"/>
  <c r="N17" i="26"/>
  <c r="AC17" i="38"/>
  <c r="BQ15" i="37"/>
  <c r="K15" i="38"/>
  <c r="S15" i="39"/>
  <c r="N15" i="26"/>
  <c r="AC15" i="38"/>
  <c r="H16" i="39"/>
  <c r="H16" i="38"/>
  <c r="H16" i="37"/>
  <c r="H16" i="26"/>
  <c r="H62" i="12"/>
  <c r="H53" i="12"/>
  <c r="BQ21" i="19"/>
  <c r="BQ43" i="15"/>
  <c r="BQ45" i="15" s="1"/>
  <c r="BQ21" i="15"/>
  <c r="H17" i="19"/>
  <c r="BQ38" i="19"/>
  <c r="BQ31" i="19"/>
  <c r="H37" i="19"/>
  <c r="H31" i="19" s="1"/>
  <c r="BM40" i="18"/>
  <c r="BM41" i="18" s="1"/>
  <c r="BM27" i="18"/>
  <c r="BM28" i="18" s="1"/>
  <c r="BQ9" i="31"/>
  <c r="BK24" i="47" s="1"/>
  <c r="J9" i="33"/>
  <c r="K9" i="32"/>
  <c r="L9" i="32"/>
  <c r="AC9" i="32"/>
  <c r="S9" i="33"/>
  <c r="N9" i="24"/>
  <c r="H24" i="50" s="1"/>
  <c r="BP25" i="20"/>
  <c r="BP27" i="20" s="1"/>
  <c r="BP39" i="20"/>
  <c r="BP19" i="31"/>
  <c r="BJ34" i="47" s="1"/>
  <c r="BQ29" i="19"/>
  <c r="BK15" i="22" l="1"/>
  <c r="BK17" i="22" s="1"/>
  <c r="BK21" i="22" s="1"/>
  <c r="BL37" i="9"/>
  <c r="BL38" i="9" s="1"/>
  <c r="BM36" i="9" s="1"/>
  <c r="BL29" i="34"/>
  <c r="BF68" i="47" s="1"/>
  <c r="BF65" i="47"/>
  <c r="BL23" i="9"/>
  <c r="BQ10" i="31"/>
  <c r="BK25" i="47" s="1"/>
  <c r="K10" i="32"/>
  <c r="J10" i="33"/>
  <c r="S10" i="33"/>
  <c r="N10" i="24"/>
  <c r="H25" i="50" s="1"/>
  <c r="AC10" i="32"/>
  <c r="BQ15" i="15"/>
  <c r="BQ32" i="15"/>
  <c r="H14" i="15"/>
  <c r="H32" i="15" s="1"/>
  <c r="BM29" i="18"/>
  <c r="BM14" i="18"/>
  <c r="BM46" i="18"/>
  <c r="BM47" i="18" s="1"/>
  <c r="BM33" i="18"/>
  <c r="BM42" i="18"/>
  <c r="H21" i="19"/>
  <c r="H43" i="15"/>
  <c r="H21" i="15"/>
  <c r="BQ8" i="28"/>
  <c r="BQ19" i="16"/>
  <c r="BQ21" i="16" s="1"/>
  <c r="BQ26" i="11"/>
  <c r="BQ27" i="11" s="1"/>
  <c r="L8" i="29"/>
  <c r="K8" i="30"/>
  <c r="J8" i="23"/>
  <c r="D4" i="50" s="1"/>
  <c r="J8" i="30"/>
  <c r="K8" i="29"/>
  <c r="H18" i="11"/>
  <c r="L8" i="30"/>
  <c r="K8" i="23"/>
  <c r="E4" i="50" s="1"/>
  <c r="M8" i="30"/>
  <c r="N8" i="30"/>
  <c r="L8" i="23"/>
  <c r="F4" i="50" s="1"/>
  <c r="O8" i="30"/>
  <c r="M8" i="23"/>
  <c r="G4" i="50" s="1"/>
  <c r="P8" i="30"/>
  <c r="Q8" i="30"/>
  <c r="R8" i="30"/>
  <c r="N8" i="23"/>
  <c r="H4" i="50" s="1"/>
  <c r="S8" i="30"/>
  <c r="AC8" i="29"/>
  <c r="BQ12" i="37"/>
  <c r="J12" i="39"/>
  <c r="AC12" i="38"/>
  <c r="S12" i="39"/>
  <c r="N12" i="26"/>
  <c r="BP69" i="20"/>
  <c r="BP77" i="20"/>
  <c r="H11" i="38"/>
  <c r="H11" i="37"/>
  <c r="H11" i="39"/>
  <c r="H11" i="26"/>
  <c r="H20" i="18"/>
  <c r="H20" i="17"/>
  <c r="H13" i="15"/>
  <c r="H19" i="13"/>
  <c r="H39" i="12"/>
  <c r="H31" i="12"/>
  <c r="H17" i="9"/>
  <c r="BQ8" i="31"/>
  <c r="BK23" i="47" s="1"/>
  <c r="J8" i="33"/>
  <c r="S8" i="33"/>
  <c r="AC8" i="32"/>
  <c r="N8" i="24"/>
  <c r="H23" i="50" s="1"/>
  <c r="BQ39" i="16"/>
  <c r="BQ40" i="16" s="1"/>
  <c r="BQ48" i="19"/>
  <c r="BQ10" i="34"/>
  <c r="BK49" i="47" s="1"/>
  <c r="K10" i="36"/>
  <c r="M10" i="35"/>
  <c r="J10" i="36"/>
  <c r="J10" i="25"/>
  <c r="D49" i="50" s="1"/>
  <c r="H38" i="19"/>
  <c r="K10" i="35"/>
  <c r="L10" i="35"/>
  <c r="L10" i="36"/>
  <c r="K10" i="25"/>
  <c r="E49" i="50" s="1"/>
  <c r="M10" i="36"/>
  <c r="L10" i="25"/>
  <c r="F49" i="50" s="1"/>
  <c r="N10" i="36"/>
  <c r="O10" i="36"/>
  <c r="M10" i="25"/>
  <c r="G49" i="50" s="1"/>
  <c r="P10" i="36"/>
  <c r="Q10" i="36"/>
  <c r="N10" i="25"/>
  <c r="H49" i="50" s="1"/>
  <c r="R10" i="36"/>
  <c r="S10" i="36"/>
  <c r="AC10" i="35"/>
  <c r="BQ17" i="34"/>
  <c r="BK56" i="47" s="1"/>
  <c r="BQ12" i="17"/>
  <c r="BQ27" i="17"/>
  <c r="L17" i="35"/>
  <c r="J17" i="25"/>
  <c r="D56" i="50" s="1"/>
  <c r="J17" i="36"/>
  <c r="K17" i="35"/>
  <c r="H22" i="17"/>
  <c r="K17" i="36"/>
  <c r="K17" i="25"/>
  <c r="E56" i="50" s="1"/>
  <c r="L17" i="36"/>
  <c r="M17" i="36"/>
  <c r="N17" i="36"/>
  <c r="L17" i="25"/>
  <c r="F56" i="50" s="1"/>
  <c r="O17" i="36"/>
  <c r="P17" i="36"/>
  <c r="M17" i="25"/>
  <c r="G56" i="50" s="1"/>
  <c r="Q17" i="36"/>
  <c r="N17" i="25"/>
  <c r="H56" i="50" s="1"/>
  <c r="R17" i="36"/>
  <c r="S17" i="36"/>
  <c r="AC17" i="35"/>
  <c r="BQ21" i="34"/>
  <c r="BK60" i="47" s="1"/>
  <c r="BQ12" i="18"/>
  <c r="L21" i="35"/>
  <c r="K21" i="36"/>
  <c r="J21" i="25"/>
  <c r="D60" i="50" s="1"/>
  <c r="J21" i="36"/>
  <c r="H22" i="18"/>
  <c r="K21" i="35"/>
  <c r="L21" i="36"/>
  <c r="K21" i="25"/>
  <c r="E60" i="50" s="1"/>
  <c r="M21" i="36"/>
  <c r="N21" i="36"/>
  <c r="L21" i="25"/>
  <c r="F60" i="50" s="1"/>
  <c r="O21" i="36"/>
  <c r="M21" i="25"/>
  <c r="G60" i="50" s="1"/>
  <c r="P21" i="36"/>
  <c r="Q21" i="36"/>
  <c r="R21" i="36"/>
  <c r="N21" i="25"/>
  <c r="H60" i="50" s="1"/>
  <c r="S21" i="36"/>
  <c r="AC21" i="35"/>
  <c r="H13" i="29"/>
  <c r="H13" i="30"/>
  <c r="H13" i="28"/>
  <c r="H13" i="23"/>
  <c r="BP35" i="20"/>
  <c r="BP36" i="20" s="1"/>
  <c r="BQ33" i="20" s="1"/>
  <c r="BP40" i="20"/>
  <c r="BP41" i="20" s="1"/>
  <c r="BP46" i="20" s="1"/>
  <c r="BP47" i="20" s="1"/>
  <c r="BQ29" i="15"/>
  <c r="BQ10" i="12"/>
  <c r="BQ11" i="12" s="1"/>
  <c r="H18" i="9"/>
  <c r="BM33" i="17"/>
  <c r="BM46" i="17"/>
  <c r="BM47" i="17" s="1"/>
  <c r="BM42" i="17"/>
  <c r="BL25" i="31"/>
  <c r="BF40" i="47" s="1"/>
  <c r="BL28" i="9" l="1"/>
  <c r="BL30" i="9" s="1"/>
  <c r="BL12" i="9"/>
  <c r="BL13" i="9" s="1"/>
  <c r="BQ11" i="28"/>
  <c r="BK7" i="47" s="1"/>
  <c r="BK4" i="47"/>
  <c r="BM16" i="28"/>
  <c r="BG12" i="47" s="1"/>
  <c r="H17" i="36"/>
  <c r="H17" i="35"/>
  <c r="H17" i="34"/>
  <c r="H17" i="25"/>
  <c r="H27" i="17"/>
  <c r="H12" i="17"/>
  <c r="H10" i="36"/>
  <c r="H10" i="35"/>
  <c r="H10" i="34"/>
  <c r="H10" i="25"/>
  <c r="BM48" i="17"/>
  <c r="BM34" i="17"/>
  <c r="BM35" i="17" s="1"/>
  <c r="BM13" i="17" s="1"/>
  <c r="BM15" i="17" s="1"/>
  <c r="BQ45" i="16"/>
  <c r="BQ46" i="16" s="1"/>
  <c r="BQ41" i="16"/>
  <c r="BQ32" i="16"/>
  <c r="H40" i="16"/>
  <c r="BQ14" i="34"/>
  <c r="BK53" i="47" s="1"/>
  <c r="K14" i="35"/>
  <c r="L14" i="35"/>
  <c r="J14" i="36"/>
  <c r="J14" i="25"/>
  <c r="D53" i="50" s="1"/>
  <c r="H15" i="15"/>
  <c r="K14" i="36"/>
  <c r="K14" i="25"/>
  <c r="E53" i="50" s="1"/>
  <c r="L14" i="36"/>
  <c r="M14" i="36"/>
  <c r="N14" i="36"/>
  <c r="L14" i="25"/>
  <c r="F53" i="50" s="1"/>
  <c r="O14" i="36"/>
  <c r="P14" i="36"/>
  <c r="M14" i="25"/>
  <c r="G53" i="50" s="1"/>
  <c r="Q14" i="36"/>
  <c r="R14" i="36"/>
  <c r="N14" i="25"/>
  <c r="H53" i="50" s="1"/>
  <c r="S14" i="36"/>
  <c r="AC14" i="35"/>
  <c r="BL27" i="31"/>
  <c r="BF42" i="47" s="1"/>
  <c r="BL16" i="22"/>
  <c r="BM18" i="28"/>
  <c r="BG14" i="47" s="1"/>
  <c r="H21" i="36"/>
  <c r="H21" i="35"/>
  <c r="H21" i="34"/>
  <c r="H21" i="25"/>
  <c r="H12" i="18"/>
  <c r="BP11" i="34"/>
  <c r="BQ14" i="31"/>
  <c r="BK29" i="47" s="1"/>
  <c r="J14" i="33"/>
  <c r="L14" i="32"/>
  <c r="S14" i="33"/>
  <c r="AC14" i="32"/>
  <c r="N14" i="24"/>
  <c r="H29" i="50" s="1"/>
  <c r="BM34" i="18"/>
  <c r="BM35" i="18" s="1"/>
  <c r="BM13" i="18" s="1"/>
  <c r="BM15" i="18" s="1"/>
  <c r="BM48" i="18"/>
  <c r="BQ9" i="19"/>
  <c r="BQ11" i="19" s="1"/>
  <c r="BQ30" i="15"/>
  <c r="H11" i="12"/>
  <c r="BQ19" i="34"/>
  <c r="BK58" i="47" s="1"/>
  <c r="BQ12" i="16"/>
  <c r="BQ26" i="16"/>
  <c r="L19" i="35"/>
  <c r="J19" i="36"/>
  <c r="J19" i="25"/>
  <c r="D58" i="50" s="1"/>
  <c r="K19" i="35"/>
  <c r="H21" i="16"/>
  <c r="K19" i="36"/>
  <c r="K19" i="25"/>
  <c r="E58" i="50" s="1"/>
  <c r="L19" i="36"/>
  <c r="M19" i="36"/>
  <c r="L19" i="25"/>
  <c r="F58" i="50" s="1"/>
  <c r="N19" i="36"/>
  <c r="O19" i="36"/>
  <c r="P19" i="36"/>
  <c r="M19" i="25"/>
  <c r="G58" i="50" s="1"/>
  <c r="Q19" i="36"/>
  <c r="R19" i="36"/>
  <c r="N19" i="25"/>
  <c r="H58" i="50" s="1"/>
  <c r="S19" i="36"/>
  <c r="AC19" i="35"/>
  <c r="H29" i="15"/>
  <c r="H10" i="12"/>
  <c r="BP81" i="20"/>
  <c r="BP48" i="20"/>
  <c r="BP76" i="20"/>
  <c r="BP78" i="20" s="1"/>
  <c r="H8" i="29"/>
  <c r="H8" i="30"/>
  <c r="H8" i="28"/>
  <c r="H8" i="23"/>
  <c r="H19" i="16"/>
  <c r="H26" i="11"/>
  <c r="K11" i="30"/>
  <c r="L11" i="29"/>
  <c r="J11" i="23"/>
  <c r="D7" i="50" s="1"/>
  <c r="L11" i="30"/>
  <c r="K11" i="23"/>
  <c r="E7" i="50" s="1"/>
  <c r="M11" i="30"/>
  <c r="L11" i="23"/>
  <c r="F7" i="50" s="1"/>
  <c r="N11" i="30"/>
  <c r="O11" i="30"/>
  <c r="P11" i="30"/>
  <c r="M11" i="23"/>
  <c r="G7" i="50" s="1"/>
  <c r="Q11" i="30"/>
  <c r="R11" i="30"/>
  <c r="BM22" i="34"/>
  <c r="BG61" i="47" s="1"/>
  <c r="BQ36" i="15"/>
  <c r="BL11" i="31"/>
  <c r="BF26" i="47" s="1"/>
  <c r="BM11" i="9"/>
  <c r="BL9" i="8"/>
  <c r="BQ26" i="20"/>
  <c r="AC11" i="29" l="1"/>
  <c r="BP12" i="34"/>
  <c r="BJ51" i="47" s="1"/>
  <c r="BJ50" i="47"/>
  <c r="BQ9" i="20"/>
  <c r="BQ10" i="20" s="1"/>
  <c r="BQ14" i="20" s="1"/>
  <c r="BQ15" i="20" s="1"/>
  <c r="S11" i="30"/>
  <c r="H11" i="30" s="1"/>
  <c r="BQ14" i="28"/>
  <c r="BK10" i="47" s="1"/>
  <c r="N11" i="23"/>
  <c r="H7" i="50" s="1"/>
  <c r="BL12" i="31"/>
  <c r="H11" i="28"/>
  <c r="H9" i="20" s="1"/>
  <c r="BM18" i="31"/>
  <c r="BG33" i="47" s="1"/>
  <c r="BN11" i="18"/>
  <c r="H11" i="29"/>
  <c r="BQ47" i="16"/>
  <c r="BQ33" i="16"/>
  <c r="BQ34" i="16" s="1"/>
  <c r="H46" i="16"/>
  <c r="H33" i="16" s="1"/>
  <c r="BQ22" i="19"/>
  <c r="BQ23" i="19" s="1"/>
  <c r="H11" i="19"/>
  <c r="H22" i="19" s="1"/>
  <c r="BM23" i="34"/>
  <c r="BG62" i="47" s="1"/>
  <c r="K14" i="30"/>
  <c r="L14" i="29"/>
  <c r="M14" i="29"/>
  <c r="J14" i="30"/>
  <c r="J14" i="23"/>
  <c r="D10" i="50" s="1"/>
  <c r="K14" i="29"/>
  <c r="L14" i="30"/>
  <c r="K14" i="23"/>
  <c r="E10" i="50" s="1"/>
  <c r="M14" i="30"/>
  <c r="L14" i="23"/>
  <c r="F10" i="50" s="1"/>
  <c r="N14" i="30"/>
  <c r="O14" i="30"/>
  <c r="P14" i="30"/>
  <c r="M14" i="23"/>
  <c r="G10" i="50" s="1"/>
  <c r="Q14" i="30"/>
  <c r="R14" i="30"/>
  <c r="BP20" i="31"/>
  <c r="BJ35" i="47" s="1"/>
  <c r="BQ75" i="20"/>
  <c r="BM16" i="31"/>
  <c r="BG31" i="47" s="1"/>
  <c r="BN11" i="17"/>
  <c r="BP21" i="28"/>
  <c r="BJ17" i="47" s="1"/>
  <c r="BM25" i="34"/>
  <c r="BG64" i="47" s="1"/>
  <c r="H19" i="36"/>
  <c r="H19" i="35"/>
  <c r="H19" i="34"/>
  <c r="H19" i="25"/>
  <c r="H26" i="16"/>
  <c r="H12" i="16"/>
  <c r="BQ15" i="31"/>
  <c r="BK30" i="47" s="1"/>
  <c r="J15" i="33"/>
  <c r="K15" i="32"/>
  <c r="AC15" i="32"/>
  <c r="N15" i="24"/>
  <c r="H30" i="50" s="1"/>
  <c r="S15" i="33"/>
  <c r="H32" i="16"/>
  <c r="H45" i="16"/>
  <c r="H9" i="19"/>
  <c r="H30" i="15"/>
  <c r="H14" i="36"/>
  <c r="H14" i="35"/>
  <c r="H14" i="34"/>
  <c r="H14" i="25"/>
  <c r="BQ17" i="28"/>
  <c r="BK13" i="47" s="1"/>
  <c r="L17" i="29"/>
  <c r="M17" i="29"/>
  <c r="J17" i="30"/>
  <c r="J17" i="23"/>
  <c r="D13" i="50" s="1"/>
  <c r="K17" i="29"/>
  <c r="H41" i="16"/>
  <c r="L17" i="30"/>
  <c r="K17" i="23"/>
  <c r="E13" i="50" s="1"/>
  <c r="M17" i="30"/>
  <c r="L17" i="23"/>
  <c r="F13" i="50" s="1"/>
  <c r="N17" i="30"/>
  <c r="O17" i="30"/>
  <c r="P17" i="30"/>
  <c r="M17" i="23"/>
  <c r="G13" i="50" s="1"/>
  <c r="Q17" i="30"/>
  <c r="N17" i="23"/>
  <c r="H13" i="50" s="1"/>
  <c r="R17" i="30"/>
  <c r="S17" i="30"/>
  <c r="AC17" i="29"/>
  <c r="BM19" i="28"/>
  <c r="BG15" i="47" s="1"/>
  <c r="N14" i="23" l="1"/>
  <c r="H10" i="50" s="1"/>
  <c r="AC14" i="29"/>
  <c r="H14" i="29" s="1"/>
  <c r="H11" i="23"/>
  <c r="BP15" i="34"/>
  <c r="BJ54" i="47" s="1"/>
  <c r="H14" i="28"/>
  <c r="BL22" i="9"/>
  <c r="BL24" i="9" s="1"/>
  <c r="BL23" i="31" s="1"/>
  <c r="BF38" i="47" s="1"/>
  <c r="BF27" i="47"/>
  <c r="H10" i="20"/>
  <c r="H14" i="20" s="1"/>
  <c r="BQ20" i="20"/>
  <c r="BQ21" i="20" s="1"/>
  <c r="H21" i="20" s="1"/>
  <c r="H34" i="20" s="1"/>
  <c r="S14" i="30"/>
  <c r="H14" i="30" s="1"/>
  <c r="BM21" i="31"/>
  <c r="BG36" i="47" s="1"/>
  <c r="BM26" i="34"/>
  <c r="H14" i="23"/>
  <c r="BQ13" i="16"/>
  <c r="BQ15" i="16" s="1"/>
  <c r="H34" i="16"/>
  <c r="H13" i="16" s="1"/>
  <c r="BM22" i="28"/>
  <c r="BG18" i="47" s="1"/>
  <c r="BM82" i="20"/>
  <c r="BQ66" i="20"/>
  <c r="BQ68" i="20" s="1"/>
  <c r="BQ24" i="34"/>
  <c r="BK63" i="47" s="1"/>
  <c r="L24" i="35"/>
  <c r="M24" i="35"/>
  <c r="J24" i="36"/>
  <c r="J24" i="25"/>
  <c r="D63" i="50" s="1"/>
  <c r="H47" i="16"/>
  <c r="K24" i="35"/>
  <c r="K24" i="25"/>
  <c r="E63" i="50" s="1"/>
  <c r="L24" i="36"/>
  <c r="M24" i="36"/>
  <c r="L24" i="25"/>
  <c r="F63" i="50" s="1"/>
  <c r="N24" i="36"/>
  <c r="O24" i="36"/>
  <c r="M24" i="25"/>
  <c r="G63" i="50" s="1"/>
  <c r="P24" i="36"/>
  <c r="Q24" i="36"/>
  <c r="R24" i="36"/>
  <c r="N24" i="25"/>
  <c r="H63" i="50" s="1"/>
  <c r="S24" i="36"/>
  <c r="AC24" i="35"/>
  <c r="BQ25" i="20"/>
  <c r="BQ27" i="20" s="1"/>
  <c r="BQ39" i="20"/>
  <c r="H15" i="20"/>
  <c r="H17" i="29"/>
  <c r="H17" i="28"/>
  <c r="H17" i="30"/>
  <c r="H17" i="23"/>
  <c r="BN27" i="18"/>
  <c r="BN28" i="18" s="1"/>
  <c r="BN40" i="18"/>
  <c r="BN41" i="18" s="1"/>
  <c r="BN40" i="17"/>
  <c r="BN41" i="17" s="1"/>
  <c r="BQ49" i="19"/>
  <c r="BQ51" i="19" s="1"/>
  <c r="BQ30" i="19"/>
  <c r="BQ32" i="19" s="1"/>
  <c r="H23" i="19"/>
  <c r="BM29" i="34" l="1"/>
  <c r="BG68" i="47" s="1"/>
  <c r="BG65" i="47"/>
  <c r="BL15" i="22"/>
  <c r="BL17" i="22" s="1"/>
  <c r="BL21" i="22" s="1"/>
  <c r="BQ34" i="20"/>
  <c r="H20" i="20"/>
  <c r="BM23" i="9"/>
  <c r="H30" i="19"/>
  <c r="H49" i="19"/>
  <c r="BN29" i="18"/>
  <c r="BN14" i="18"/>
  <c r="H24" i="36"/>
  <c r="H24" i="34"/>
  <c r="H24" i="35"/>
  <c r="H24" i="25"/>
  <c r="BQ35" i="20"/>
  <c r="BQ40" i="20"/>
  <c r="BQ41" i="20" s="1"/>
  <c r="H27" i="20"/>
  <c r="BQ77" i="20"/>
  <c r="BQ69" i="20"/>
  <c r="H68" i="20"/>
  <c r="H77" i="20" s="1"/>
  <c r="BQ17" i="31"/>
  <c r="BK32" i="47" s="1"/>
  <c r="J17" i="33"/>
  <c r="AC17" i="32"/>
  <c r="S17" i="33"/>
  <c r="N17" i="24"/>
  <c r="H32" i="50" s="1"/>
  <c r="BN42" i="18"/>
  <c r="BN33" i="18"/>
  <c r="BN46" i="18"/>
  <c r="BN47" i="18" s="1"/>
  <c r="BQ19" i="31"/>
  <c r="BK34" i="47" s="1"/>
  <c r="J19" i="33"/>
  <c r="N19" i="24"/>
  <c r="H34" i="50" s="1"/>
  <c r="AC19" i="32"/>
  <c r="S19" i="33"/>
  <c r="BN33" i="17"/>
  <c r="BN46" i="17"/>
  <c r="BN47" i="17" s="1"/>
  <c r="BN42" i="17"/>
  <c r="H25" i="20"/>
  <c r="H39" i="20"/>
  <c r="BQ36" i="19"/>
  <c r="H51" i="19"/>
  <c r="H36" i="19" s="1"/>
  <c r="BM37" i="9"/>
  <c r="BM38" i="9" s="1"/>
  <c r="BM12" i="9" l="1"/>
  <c r="BM13" i="9" s="1"/>
  <c r="BQ36" i="20"/>
  <c r="BQ46" i="20"/>
  <c r="BQ47" i="20" s="1"/>
  <c r="H41" i="20"/>
  <c r="H46" i="20" s="1"/>
  <c r="BN16" i="28"/>
  <c r="BH12" i="47" s="1"/>
  <c r="AB16" i="29"/>
  <c r="BN48" i="18"/>
  <c r="BN34" i="18"/>
  <c r="BN35" i="18" s="1"/>
  <c r="BN13" i="18" s="1"/>
  <c r="BN15" i="18" s="1"/>
  <c r="BN48" i="17"/>
  <c r="BN34" i="17"/>
  <c r="BN35" i="17" s="1"/>
  <c r="BN13" i="17" s="1"/>
  <c r="BN15" i="17" s="1"/>
  <c r="BQ11" i="34"/>
  <c r="K11" i="36"/>
  <c r="L11" i="35"/>
  <c r="M11" i="35"/>
  <c r="J11" i="25"/>
  <c r="D50" i="50" s="1"/>
  <c r="J11" i="36"/>
  <c r="K11" i="35"/>
  <c r="H69" i="20"/>
  <c r="K11" i="25"/>
  <c r="E50" i="50" s="1"/>
  <c r="L11" i="36"/>
  <c r="M11" i="36"/>
  <c r="L11" i="25"/>
  <c r="F50" i="50" s="1"/>
  <c r="N11" i="36"/>
  <c r="O11" i="36"/>
  <c r="P11" i="36"/>
  <c r="M11" i="25"/>
  <c r="G50" i="50" s="1"/>
  <c r="Q11" i="36"/>
  <c r="R11" i="36"/>
  <c r="N11" i="25"/>
  <c r="H50" i="50" s="1"/>
  <c r="S11" i="36"/>
  <c r="AC11" i="35"/>
  <c r="BM25" i="31"/>
  <c r="BG40" i="47" s="1"/>
  <c r="BM28" i="9"/>
  <c r="BM30" i="9" s="1"/>
  <c r="BN36" i="9"/>
  <c r="BN18" i="28"/>
  <c r="BH14" i="47" s="1"/>
  <c r="AB18" i="29"/>
  <c r="H35" i="20"/>
  <c r="H40" i="20"/>
  <c r="BN22" i="34"/>
  <c r="BH61" i="47" s="1"/>
  <c r="AB22" i="35"/>
  <c r="BM11" i="31"/>
  <c r="BG26" i="47" s="1"/>
  <c r="BN11" i="9"/>
  <c r="BM9" i="8"/>
  <c r="BQ12" i="34" l="1"/>
  <c r="BK51" i="47" s="1"/>
  <c r="BK50" i="47"/>
  <c r="BM12" i="31"/>
  <c r="BN18" i="31"/>
  <c r="BH33" i="47" s="1"/>
  <c r="BO11" i="18"/>
  <c r="AB18" i="32"/>
  <c r="BN25" i="34"/>
  <c r="BH64" i="47" s="1"/>
  <c r="AB25" i="35"/>
  <c r="BN23" i="34"/>
  <c r="BH62" i="47" s="1"/>
  <c r="AB23" i="35"/>
  <c r="K12" i="36"/>
  <c r="L12" i="35"/>
  <c r="J12" i="25"/>
  <c r="D51" i="50" s="1"/>
  <c r="J12" i="36"/>
  <c r="K12" i="35"/>
  <c r="K12" i="25"/>
  <c r="E51" i="50" s="1"/>
  <c r="L12" i="36"/>
  <c r="M12" i="36"/>
  <c r="N12" i="36"/>
  <c r="L12" i="25"/>
  <c r="F51" i="50" s="1"/>
  <c r="O12" i="36"/>
  <c r="P12" i="36"/>
  <c r="M12" i="25"/>
  <c r="G51" i="50" s="1"/>
  <c r="Q12" i="36"/>
  <c r="R12" i="36"/>
  <c r="S12" i="36"/>
  <c r="BN19" i="28"/>
  <c r="BH15" i="47" s="1"/>
  <c r="BN16" i="31"/>
  <c r="BH31" i="47" s="1"/>
  <c r="BO11" i="17"/>
  <c r="AB16" i="32"/>
  <c r="H11" i="36"/>
  <c r="H11" i="35"/>
  <c r="H11" i="34"/>
  <c r="H11" i="25"/>
  <c r="BM27" i="31"/>
  <c r="BG42" i="47" s="1"/>
  <c r="BM16" i="22"/>
  <c r="BQ76" i="20"/>
  <c r="BQ78" i="20" s="1"/>
  <c r="BQ81" i="20"/>
  <c r="BQ48" i="20"/>
  <c r="H47" i="20"/>
  <c r="N12" i="25" l="1"/>
  <c r="H51" i="50" s="1"/>
  <c r="BQ15" i="34"/>
  <c r="BK54" i="47" s="1"/>
  <c r="H12" i="34"/>
  <c r="AC12" i="35"/>
  <c r="H12" i="35" s="1"/>
  <c r="BM22" i="9"/>
  <c r="BM24" i="9" s="1"/>
  <c r="BM23" i="31" s="1"/>
  <c r="BG38" i="47" s="1"/>
  <c r="BG27" i="47"/>
  <c r="BN26" i="34"/>
  <c r="BN21" i="31"/>
  <c r="BH36" i="47" s="1"/>
  <c r="BO40" i="17"/>
  <c r="BO41" i="17" s="1"/>
  <c r="BQ21" i="28"/>
  <c r="BK17" i="47" s="1"/>
  <c r="L21" i="29"/>
  <c r="J21" i="23"/>
  <c r="D17" i="50" s="1"/>
  <c r="K21" i="29"/>
  <c r="J21" i="30"/>
  <c r="H48" i="20"/>
  <c r="K21" i="30"/>
  <c r="K21" i="23"/>
  <c r="E17" i="50" s="1"/>
  <c r="L21" i="30"/>
  <c r="M21" i="30"/>
  <c r="N21" i="30"/>
  <c r="L21" i="23"/>
  <c r="F17" i="50" s="1"/>
  <c r="O21" i="30"/>
  <c r="M21" i="23"/>
  <c r="G17" i="50" s="1"/>
  <c r="P21" i="30"/>
  <c r="Q21" i="30"/>
  <c r="N21" i="23"/>
  <c r="H17" i="50" s="1"/>
  <c r="R21" i="30"/>
  <c r="S21" i="30"/>
  <c r="AC21" i="29"/>
  <c r="BN22" i="28"/>
  <c r="BH18" i="47" s="1"/>
  <c r="BN82" i="20"/>
  <c r="AB19" i="29"/>
  <c r="H12" i="36"/>
  <c r="BQ20" i="31"/>
  <c r="BK35" i="47" s="1"/>
  <c r="J20" i="33"/>
  <c r="K20" i="32"/>
  <c r="AC20" i="32"/>
  <c r="S20" i="33"/>
  <c r="N20" i="24"/>
  <c r="H35" i="50" s="1"/>
  <c r="H76" i="20"/>
  <c r="H81" i="20"/>
  <c r="M15" i="35"/>
  <c r="J15" i="25"/>
  <c r="D54" i="50" s="1"/>
  <c r="J15" i="36"/>
  <c r="K15" i="35"/>
  <c r="L15" i="35"/>
  <c r="K15" i="36"/>
  <c r="K15" i="25"/>
  <c r="E54" i="50" s="1"/>
  <c r="L15" i="36"/>
  <c r="M15" i="36"/>
  <c r="N15" i="36"/>
  <c r="L15" i="25"/>
  <c r="F54" i="50" s="1"/>
  <c r="O15" i="36"/>
  <c r="M15" i="25"/>
  <c r="G54" i="50" s="1"/>
  <c r="P15" i="36"/>
  <c r="Q15" i="36"/>
  <c r="R15" i="36"/>
  <c r="BO40" i="18"/>
  <c r="BO41" i="18" s="1"/>
  <c r="BO27" i="18"/>
  <c r="BO28" i="18" s="1"/>
  <c r="AC15" i="35" l="1"/>
  <c r="H15" i="35" s="1"/>
  <c r="S15" i="36"/>
  <c r="H15" i="36" s="1"/>
  <c r="H15" i="34"/>
  <c r="N15" i="25"/>
  <c r="H54" i="50" s="1"/>
  <c r="H12" i="25"/>
  <c r="BM15" i="22"/>
  <c r="BM17" i="22" s="1"/>
  <c r="BM21" i="22" s="1"/>
  <c r="BN29" i="34"/>
  <c r="BH68" i="47" s="1"/>
  <c r="BH65" i="47"/>
  <c r="AB21" i="32"/>
  <c r="AB26" i="35"/>
  <c r="BN23" i="9"/>
  <c r="H21" i="30"/>
  <c r="H21" i="29"/>
  <c r="H21" i="28"/>
  <c r="H21" i="23"/>
  <c r="BN37" i="9"/>
  <c r="BN38" i="9" s="1"/>
  <c r="AB22" i="29"/>
  <c r="BO14" i="18"/>
  <c r="BO29" i="18"/>
  <c r="BO46" i="18"/>
  <c r="BO47" i="18" s="1"/>
  <c r="BO42" i="18"/>
  <c r="BO33" i="18"/>
  <c r="AB29" i="35"/>
  <c r="BO33" i="17"/>
  <c r="BO46" i="17"/>
  <c r="BO47" i="17" s="1"/>
  <c r="BO42" i="17"/>
  <c r="H15" i="25" l="1"/>
  <c r="BN12" i="9"/>
  <c r="BN13" i="9" s="1"/>
  <c r="BN11" i="31" s="1"/>
  <c r="BH26" i="47" s="1"/>
  <c r="BN25" i="31"/>
  <c r="BH40" i="47" s="1"/>
  <c r="BN28" i="9"/>
  <c r="BN30" i="9" s="1"/>
  <c r="BO36" i="9"/>
  <c r="AB25" i="32"/>
  <c r="BO16" i="28"/>
  <c r="BI12" i="47" s="1"/>
  <c r="BO18" i="28"/>
  <c r="BI14" i="47" s="1"/>
  <c r="BO34" i="18"/>
  <c r="BO35" i="18" s="1"/>
  <c r="BO13" i="18" s="1"/>
  <c r="BO15" i="18" s="1"/>
  <c r="BO48" i="18"/>
  <c r="BO34" i="17"/>
  <c r="BO35" i="17" s="1"/>
  <c r="BO13" i="17" s="1"/>
  <c r="BO15" i="17" s="1"/>
  <c r="BO48" i="17"/>
  <c r="BO22" i="34"/>
  <c r="BI61" i="47" s="1"/>
  <c r="AB11" i="32" l="1"/>
  <c r="BN9" i="8"/>
  <c r="BO11" i="9"/>
  <c r="BN12" i="31"/>
  <c r="BO18" i="31"/>
  <c r="BI33" i="47" s="1"/>
  <c r="BP11" i="18"/>
  <c r="BO16" i="31"/>
  <c r="BI31" i="47" s="1"/>
  <c r="BP11" i="17"/>
  <c r="BO23" i="34"/>
  <c r="BI62" i="47" s="1"/>
  <c r="BN27" i="31"/>
  <c r="BH42" i="47" s="1"/>
  <c r="BN16" i="22"/>
  <c r="AB27" i="32"/>
  <c r="BO25" i="34"/>
  <c r="BI64" i="47" s="1"/>
  <c r="BO19" i="28"/>
  <c r="BI15" i="47" s="1"/>
  <c r="BN22" i="9" l="1"/>
  <c r="BN24" i="9" s="1"/>
  <c r="BN23" i="31" s="1"/>
  <c r="BH38" i="47" s="1"/>
  <c r="BH27" i="47"/>
  <c r="AB12" i="32"/>
  <c r="BO21" i="31"/>
  <c r="BI36" i="47" s="1"/>
  <c r="BO26" i="34"/>
  <c r="BP40" i="17"/>
  <c r="BP41" i="17" s="1"/>
  <c r="BO22" i="28"/>
  <c r="BI18" i="47" s="1"/>
  <c r="BO82" i="20"/>
  <c r="BP27" i="18"/>
  <c r="BP28" i="18" s="1"/>
  <c r="BP40" i="18"/>
  <c r="BP41" i="18" s="1"/>
  <c r="AB23" i="32" l="1"/>
  <c r="BN15" i="22"/>
  <c r="BN17" i="22" s="1"/>
  <c r="BN21" i="22" s="1"/>
  <c r="BO29" i="34"/>
  <c r="BI68" i="47" s="1"/>
  <c r="BI65" i="47"/>
  <c r="BO23" i="9"/>
  <c r="BP33" i="17"/>
  <c r="BP46" i="17"/>
  <c r="BP47" i="17" s="1"/>
  <c r="BP42" i="17"/>
  <c r="BP14" i="18"/>
  <c r="BP29" i="18"/>
  <c r="BP42" i="18"/>
  <c r="BP33" i="18"/>
  <c r="BP46" i="18"/>
  <c r="BP47" i="18" s="1"/>
  <c r="BO37" i="9"/>
  <c r="BO38" i="9" s="1"/>
  <c r="BO12" i="9" l="1"/>
  <c r="BO13" i="9" s="1"/>
  <c r="BP11" i="9" s="1"/>
  <c r="BP34" i="18"/>
  <c r="BP35" i="18" s="1"/>
  <c r="BP13" i="18" s="1"/>
  <c r="BP15" i="18" s="1"/>
  <c r="BP48" i="18"/>
  <c r="BP18" i="28"/>
  <c r="BJ14" i="47" s="1"/>
  <c r="BP22" i="34"/>
  <c r="BJ61" i="47" s="1"/>
  <c r="BP16" i="28"/>
  <c r="BJ12" i="47" s="1"/>
  <c r="BP34" i="17"/>
  <c r="BP35" i="17" s="1"/>
  <c r="BP13" i="17" s="1"/>
  <c r="BP15" i="17" s="1"/>
  <c r="BP48" i="17"/>
  <c r="BO25" i="31"/>
  <c r="BI40" i="47" s="1"/>
  <c r="BO28" i="9"/>
  <c r="BO30" i="9" s="1"/>
  <c r="BP36" i="9"/>
  <c r="BO11" i="31" l="1"/>
  <c r="BI26" i="47" s="1"/>
  <c r="BO9" i="8"/>
  <c r="BP19" i="28"/>
  <c r="BP16" i="31"/>
  <c r="BJ31" i="47" s="1"/>
  <c r="BQ11" i="17"/>
  <c r="BP23" i="34"/>
  <c r="BJ62" i="47" s="1"/>
  <c r="BO27" i="31"/>
  <c r="BI42" i="47" s="1"/>
  <c r="BO16" i="22"/>
  <c r="BP18" i="31"/>
  <c r="BJ33" i="47" s="1"/>
  <c r="BQ11" i="18"/>
  <c r="BP25" i="34"/>
  <c r="BJ64" i="47" s="1"/>
  <c r="BO12" i="31" l="1"/>
  <c r="BO22" i="9" s="1"/>
  <c r="BO24" i="9" s="1"/>
  <c r="BO23" i="31" s="1"/>
  <c r="BI38" i="47" s="1"/>
  <c r="BP22" i="28"/>
  <c r="BJ18" i="47" s="1"/>
  <c r="BJ15" i="47"/>
  <c r="BP82" i="20"/>
  <c r="BP26" i="34"/>
  <c r="BQ27" i="18"/>
  <c r="BQ28" i="18" s="1"/>
  <c r="BQ40" i="18"/>
  <c r="BQ41" i="18" s="1"/>
  <c r="BQ40" i="17"/>
  <c r="BQ41" i="17" s="1"/>
  <c r="BP21" i="31"/>
  <c r="BJ36" i="47" s="1"/>
  <c r="BI27" i="47" l="1"/>
  <c r="BP29" i="34"/>
  <c r="BJ68" i="47" s="1"/>
  <c r="BJ65" i="47"/>
  <c r="BP37" i="9"/>
  <c r="BP38" i="9" s="1"/>
  <c r="BP25" i="31" s="1"/>
  <c r="BJ40" i="47" s="1"/>
  <c r="BO15" i="22"/>
  <c r="BO17" i="22" s="1"/>
  <c r="BO21" i="22" s="1"/>
  <c r="BP23" i="9"/>
  <c r="BQ33" i="17"/>
  <c r="BQ46" i="17"/>
  <c r="BQ47" i="17" s="1"/>
  <c r="BQ42" i="17"/>
  <c r="H41" i="17"/>
  <c r="BQ33" i="18"/>
  <c r="BQ46" i="18"/>
  <c r="BQ47" i="18" s="1"/>
  <c r="BQ42" i="18"/>
  <c r="H41" i="18"/>
  <c r="BQ14" i="18"/>
  <c r="BQ29" i="18"/>
  <c r="H28" i="18"/>
  <c r="H14" i="18" s="1"/>
  <c r="BP12" i="9" l="1"/>
  <c r="BP13" i="9" s="1"/>
  <c r="BQ36" i="9"/>
  <c r="BP28" i="9"/>
  <c r="BP30" i="9" s="1"/>
  <c r="BP27" i="31" s="1"/>
  <c r="BJ42" i="47" s="1"/>
  <c r="H33" i="18"/>
  <c r="H46" i="18"/>
  <c r="BQ18" i="28"/>
  <c r="BK14" i="47" s="1"/>
  <c r="K18" i="30"/>
  <c r="L18" i="29"/>
  <c r="J18" i="30"/>
  <c r="J18" i="23"/>
  <c r="D14" i="50" s="1"/>
  <c r="K18" i="29"/>
  <c r="H42" i="18"/>
  <c r="L18" i="30"/>
  <c r="K18" i="23"/>
  <c r="E14" i="50" s="1"/>
  <c r="M18" i="30"/>
  <c r="L18" i="23"/>
  <c r="F14" i="50" s="1"/>
  <c r="N18" i="30"/>
  <c r="O18" i="30"/>
  <c r="M18" i="23"/>
  <c r="G14" i="50" s="1"/>
  <c r="P18" i="30"/>
  <c r="Q18" i="30"/>
  <c r="N18" i="23"/>
  <c r="H14" i="50" s="1"/>
  <c r="R18" i="30"/>
  <c r="S18" i="30"/>
  <c r="AC18" i="29"/>
  <c r="BQ48" i="18"/>
  <c r="BQ34" i="18"/>
  <c r="BQ35" i="18" s="1"/>
  <c r="H47" i="18"/>
  <c r="H34" i="18" s="1"/>
  <c r="H33" i="17"/>
  <c r="H46" i="17"/>
  <c r="BP11" i="31"/>
  <c r="BJ26" i="47" s="1"/>
  <c r="BP9" i="8"/>
  <c r="BQ11" i="9"/>
  <c r="BQ16" i="28"/>
  <c r="BK12" i="47" s="1"/>
  <c r="M16" i="29"/>
  <c r="J16" i="30"/>
  <c r="J16" i="23"/>
  <c r="D12" i="50" s="1"/>
  <c r="K16" i="29"/>
  <c r="H42" i="17"/>
  <c r="L16" i="29"/>
  <c r="K16" i="30"/>
  <c r="L16" i="30"/>
  <c r="K16" i="23"/>
  <c r="E12" i="50" s="1"/>
  <c r="M16" i="30"/>
  <c r="L16" i="23"/>
  <c r="F12" i="50" s="1"/>
  <c r="N16" i="30"/>
  <c r="O16" i="30"/>
  <c r="P16" i="30"/>
  <c r="M16" i="23"/>
  <c r="G12" i="50" s="1"/>
  <c r="Q16" i="30"/>
  <c r="N16" i="23"/>
  <c r="H12" i="50" s="1"/>
  <c r="R16" i="30"/>
  <c r="S16" i="30"/>
  <c r="AC16" i="29"/>
  <c r="BQ22" i="34"/>
  <c r="BK61" i="47" s="1"/>
  <c r="L22" i="35"/>
  <c r="M22" i="35"/>
  <c r="J22" i="36"/>
  <c r="J22" i="25"/>
  <c r="D61" i="50" s="1"/>
  <c r="K22" i="35"/>
  <c r="H29" i="18"/>
  <c r="K22" i="36"/>
  <c r="L22" i="36"/>
  <c r="K22" i="25"/>
  <c r="E61" i="50" s="1"/>
  <c r="M22" i="36"/>
  <c r="N22" i="36"/>
  <c r="L22" i="25"/>
  <c r="F61" i="50" s="1"/>
  <c r="O22" i="36"/>
  <c r="P22" i="36"/>
  <c r="M22" i="25"/>
  <c r="G61" i="50" s="1"/>
  <c r="Q22" i="36"/>
  <c r="R22" i="36"/>
  <c r="N22" i="25"/>
  <c r="H61" i="50" s="1"/>
  <c r="S22" i="36"/>
  <c r="AC22" i="35"/>
  <c r="BQ48" i="17"/>
  <c r="BQ34" i="17"/>
  <c r="BQ35" i="17" s="1"/>
  <c r="H47" i="17"/>
  <c r="H34" i="17" s="1"/>
  <c r="BP16" i="22" l="1"/>
  <c r="BP12" i="31"/>
  <c r="BQ19" i="28"/>
  <c r="BQ13" i="18"/>
  <c r="BQ15" i="18" s="1"/>
  <c r="H35" i="18"/>
  <c r="H13" i="18" s="1"/>
  <c r="BQ13" i="17"/>
  <c r="BQ15" i="17" s="1"/>
  <c r="H35" i="17"/>
  <c r="H13" i="17" s="1"/>
  <c r="H16" i="30"/>
  <c r="H16" i="29"/>
  <c r="H16" i="28"/>
  <c r="H16" i="23"/>
  <c r="BQ23" i="34"/>
  <c r="BK62" i="47" s="1"/>
  <c r="M23" i="35"/>
  <c r="J23" i="25"/>
  <c r="D62" i="50" s="1"/>
  <c r="J23" i="36"/>
  <c r="K23" i="35"/>
  <c r="H48" i="17"/>
  <c r="L23" i="35"/>
  <c r="K23" i="36"/>
  <c r="L23" i="36"/>
  <c r="K23" i="25"/>
  <c r="E62" i="50" s="1"/>
  <c r="M23" i="36"/>
  <c r="N23" i="36"/>
  <c r="L23" i="25"/>
  <c r="F62" i="50" s="1"/>
  <c r="O23" i="36"/>
  <c r="P23" i="36"/>
  <c r="M23" i="25"/>
  <c r="G62" i="50" s="1"/>
  <c r="Q23" i="36"/>
  <c r="N23" i="25"/>
  <c r="H62" i="50" s="1"/>
  <c r="R23" i="36"/>
  <c r="S23" i="36"/>
  <c r="AC23" i="35"/>
  <c r="BQ25" i="34"/>
  <c r="BK64" i="47" s="1"/>
  <c r="K25" i="36"/>
  <c r="L25" i="35"/>
  <c r="J25" i="25"/>
  <c r="D64" i="50" s="1"/>
  <c r="J25" i="36"/>
  <c r="H48" i="18"/>
  <c r="K25" i="35"/>
  <c r="L25" i="36"/>
  <c r="K25" i="25"/>
  <c r="E64" i="50" s="1"/>
  <c r="M25" i="36"/>
  <c r="L25" i="25"/>
  <c r="F64" i="50" s="1"/>
  <c r="N25" i="36"/>
  <c r="O25" i="36"/>
  <c r="P25" i="36"/>
  <c r="M25" i="25"/>
  <c r="G64" i="50" s="1"/>
  <c r="Q25" i="36"/>
  <c r="N25" i="25"/>
  <c r="H64" i="50" s="1"/>
  <c r="R25" i="36"/>
  <c r="S25" i="36"/>
  <c r="AC25" i="35"/>
  <c r="BQ82" i="20"/>
  <c r="F83" i="20" s="1"/>
  <c r="K19" i="30"/>
  <c r="L19" i="29"/>
  <c r="J19" i="30"/>
  <c r="J19" i="23"/>
  <c r="D15" i="50" s="1"/>
  <c r="K19" i="29"/>
  <c r="H19" i="28"/>
  <c r="H82" i="20" s="1"/>
  <c r="L19" i="30"/>
  <c r="K19" i="23"/>
  <c r="E15" i="50" s="1"/>
  <c r="M19" i="30"/>
  <c r="N19" i="30"/>
  <c r="L19" i="23"/>
  <c r="F15" i="50" s="1"/>
  <c r="O19" i="30"/>
  <c r="P19" i="30"/>
  <c r="M19" i="23"/>
  <c r="G15" i="50" s="1"/>
  <c r="Q19" i="30"/>
  <c r="R19" i="30"/>
  <c r="N19" i="23"/>
  <c r="H15" i="50" s="1"/>
  <c r="S19" i="30"/>
  <c r="H22" i="36"/>
  <c r="H22" i="35"/>
  <c r="H22" i="34"/>
  <c r="H22" i="25"/>
  <c r="H18" i="29"/>
  <c r="H18" i="30"/>
  <c r="H18" i="28"/>
  <c r="H18" i="23"/>
  <c r="BP22" i="9" l="1"/>
  <c r="BP24" i="9" s="1"/>
  <c r="BP23" i="31" s="1"/>
  <c r="BJ38" i="47" s="1"/>
  <c r="BJ27" i="47"/>
  <c r="AC19" i="29"/>
  <c r="H19" i="29" s="1"/>
  <c r="BK15" i="47"/>
  <c r="BQ22" i="28"/>
  <c r="AC22" i="29" s="1"/>
  <c r="BQ26" i="34"/>
  <c r="K26" i="36"/>
  <c r="M26" i="35"/>
  <c r="J26" i="25"/>
  <c r="D65" i="50" s="1"/>
  <c r="J26" i="36"/>
  <c r="K26" i="35"/>
  <c r="L26" i="36"/>
  <c r="K26" i="25"/>
  <c r="E65" i="50" s="1"/>
  <c r="M26" i="36"/>
  <c r="N26" i="36"/>
  <c r="L26" i="25"/>
  <c r="F65" i="50" s="1"/>
  <c r="O26" i="36"/>
  <c r="M26" i="25"/>
  <c r="G65" i="50" s="1"/>
  <c r="P26" i="36"/>
  <c r="Q26" i="36"/>
  <c r="R26" i="36"/>
  <c r="H25" i="36"/>
  <c r="H25" i="35"/>
  <c r="H25" i="34"/>
  <c r="H25" i="25"/>
  <c r="L22" i="29"/>
  <c r="K22" i="29"/>
  <c r="J22" i="30"/>
  <c r="J22" i="23"/>
  <c r="D18" i="50" s="1"/>
  <c r="K22" i="30"/>
  <c r="K22" i="23"/>
  <c r="E18" i="50" s="1"/>
  <c r="L22" i="30"/>
  <c r="M22" i="30"/>
  <c r="N22" i="30"/>
  <c r="L22" i="23"/>
  <c r="F18" i="50" s="1"/>
  <c r="O22" i="30"/>
  <c r="M22" i="23"/>
  <c r="G18" i="50" s="1"/>
  <c r="P22" i="30"/>
  <c r="Q22" i="30"/>
  <c r="R22" i="30"/>
  <c r="H19" i="23"/>
  <c r="BQ16" i="31"/>
  <c r="BK31" i="47" s="1"/>
  <c r="J16" i="33"/>
  <c r="K16" i="32"/>
  <c r="S16" i="33"/>
  <c r="N16" i="24"/>
  <c r="H31" i="50" s="1"/>
  <c r="AC16" i="32"/>
  <c r="H19" i="30"/>
  <c r="H23" i="36"/>
  <c r="H23" i="35"/>
  <c r="H23" i="34"/>
  <c r="H23" i="25"/>
  <c r="BQ18" i="31"/>
  <c r="BK33" i="47" s="1"/>
  <c r="J18" i="33"/>
  <c r="K18" i="32"/>
  <c r="N18" i="24"/>
  <c r="H33" i="50" s="1"/>
  <c r="AC18" i="32"/>
  <c r="S18" i="33"/>
  <c r="BP15" i="22" l="1"/>
  <c r="BP17" i="22" s="1"/>
  <c r="BP21" i="22" s="1"/>
  <c r="BQ29" i="34"/>
  <c r="BK68" i="47" s="1"/>
  <c r="BK65" i="47"/>
  <c r="BQ37" i="9"/>
  <c r="BQ38" i="9" s="1"/>
  <c r="BQ25" i="31" s="1"/>
  <c r="BK40" i="47" s="1"/>
  <c r="BK18" i="47"/>
  <c r="H26" i="34"/>
  <c r="H22" i="28"/>
  <c r="H37" i="9" s="1"/>
  <c r="AC26" i="35"/>
  <c r="H26" i="35" s="1"/>
  <c r="S26" i="36"/>
  <c r="H26" i="36" s="1"/>
  <c r="N26" i="25"/>
  <c r="S22" i="30"/>
  <c r="H22" i="30" s="1"/>
  <c r="N22" i="23"/>
  <c r="H18" i="50" s="1"/>
  <c r="BQ21" i="31"/>
  <c r="BK36" i="47" s="1"/>
  <c r="H22" i="29"/>
  <c r="J25" i="33"/>
  <c r="L29" i="35"/>
  <c r="K29" i="36"/>
  <c r="J29" i="25"/>
  <c r="D68" i="50" s="1"/>
  <c r="J29" i="36"/>
  <c r="K29" i="35"/>
  <c r="K29" i="25"/>
  <c r="E68" i="50" s="1"/>
  <c r="L29" i="36"/>
  <c r="M29" i="36"/>
  <c r="L29" i="25"/>
  <c r="F68" i="50" s="1"/>
  <c r="N29" i="36"/>
  <c r="O29" i="36"/>
  <c r="P29" i="36"/>
  <c r="M29" i="25"/>
  <c r="G68" i="50" s="1"/>
  <c r="Q29" i="36"/>
  <c r="R29" i="36"/>
  <c r="S29" i="36" l="1"/>
  <c r="H29" i="36" s="1"/>
  <c r="AC29" i="35"/>
  <c r="H29" i="35" s="1"/>
  <c r="BQ12" i="9"/>
  <c r="BQ13" i="9" s="1"/>
  <c r="BQ11" i="31" s="1"/>
  <c r="BK26" i="47" s="1"/>
  <c r="N29" i="25"/>
  <c r="H68" i="50" s="1"/>
  <c r="H29" i="34"/>
  <c r="H12" i="9" s="1"/>
  <c r="N25" i="24"/>
  <c r="H40" i="50" s="1"/>
  <c r="AC25" i="32"/>
  <c r="S25" i="33"/>
  <c r="BQ28" i="9"/>
  <c r="BQ30" i="9" s="1"/>
  <c r="BQ16" i="22" s="1"/>
  <c r="H26" i="25"/>
  <c r="H65" i="50"/>
  <c r="S21" i="33"/>
  <c r="AC21" i="32"/>
  <c r="H22" i="23"/>
  <c r="N21" i="24"/>
  <c r="H36" i="50" s="1"/>
  <c r="BQ23" i="9"/>
  <c r="J11" i="33"/>
  <c r="N11" i="24"/>
  <c r="H26" i="50" s="1"/>
  <c r="S11" i="33"/>
  <c r="AC11" i="32"/>
  <c r="BQ9" i="8" l="1"/>
  <c r="F10" i="8" s="1"/>
  <c r="F8" i="27" s="1"/>
  <c r="S27" i="33"/>
  <c r="AC27" i="32"/>
  <c r="BQ27" i="31"/>
  <c r="BK42" i="47" s="1"/>
  <c r="H29" i="25"/>
  <c r="N27" i="24"/>
  <c r="H42" i="50" s="1"/>
  <c r="BQ12" i="31"/>
  <c r="F8" i="42"/>
  <c r="F8" i="40"/>
  <c r="F8" i="41" l="1"/>
  <c r="BQ22" i="9"/>
  <c r="BQ24" i="9" s="1"/>
  <c r="AC23" i="32" s="1"/>
  <c r="BK27" i="47"/>
  <c r="S12" i="33"/>
  <c r="N12" i="24"/>
  <c r="H27" i="50" s="1"/>
  <c r="AC12" i="32"/>
  <c r="J23" i="32"/>
  <c r="L23" i="32"/>
  <c r="N23" i="24" l="1"/>
  <c r="H38" i="50" s="1"/>
  <c r="S23" i="33"/>
  <c r="BQ15" i="22"/>
  <c r="BQ17" i="22" s="1"/>
  <c r="BQ21" i="22" s="1"/>
  <c r="F22" i="22" s="1"/>
  <c r="F10" i="22" s="1"/>
  <c r="F11" i="22" s="1"/>
  <c r="F2" i="4" s="1"/>
  <c r="BQ23" i="31"/>
  <c r="BK38" i="47" s="1"/>
  <c r="F2" i="42"/>
  <c r="F2" i="41"/>
  <c r="F2" i="40"/>
  <c r="F2" i="37"/>
  <c r="F2" i="35"/>
  <c r="F2" i="33"/>
  <c r="F2" i="34"/>
  <c r="F2" i="30"/>
  <c r="F2" i="32"/>
  <c r="F2" i="26"/>
  <c r="F2" i="28"/>
  <c r="F2" i="25"/>
  <c r="F2" i="24"/>
  <c r="F2" i="22"/>
  <c r="F2" i="19"/>
  <c r="F2" i="18"/>
  <c r="F2" i="17"/>
  <c r="F2" i="16"/>
  <c r="F2" i="12"/>
  <c r="F2" i="10"/>
  <c r="F2" i="11"/>
  <c r="F2" i="9"/>
  <c r="F2" i="7"/>
  <c r="F2" i="8"/>
  <c r="F2" i="5"/>
  <c r="F2" i="43" l="1"/>
  <c r="F2" i="20"/>
  <c r="F2" i="27"/>
  <c r="F2" i="36"/>
  <c r="F2" i="6"/>
  <c r="F2" i="15"/>
  <c r="F2" i="21"/>
  <c r="F2" i="29"/>
  <c r="F2" i="38"/>
  <c r="F2" i="13"/>
  <c r="F2" i="14"/>
  <c r="F2" i="23"/>
  <c r="F2" i="31"/>
  <c r="F2" i="3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<sst xmlns="http://schemas.openxmlformats.org/spreadsheetml/2006/main" count="1395" uniqueCount="459">
  <si>
    <t>Percentage Calculation</t>
  </si>
  <si>
    <t>Raised by</t>
  </si>
  <si>
    <t>Report SubTotal</t>
  </si>
  <si>
    <t>Invoice Term</t>
  </si>
  <si>
    <t>Opening Depreciation</t>
  </si>
  <si>
    <t>Opening Inventory</t>
  </si>
  <si>
    <t>INVOICE FINANCE</t>
  </si>
  <si>
    <t>[Contract year]</t>
  </si>
  <si>
    <t>Timeline label: Month to Year : period end flag</t>
  </si>
  <si>
    <t>Supply Chain Finance enabled flag</t>
  </si>
  <si>
    <t>Invoice Finance Enabled flag</t>
  </si>
  <si>
    <t>Month to Year : first timeline date</t>
  </si>
  <si>
    <t>Retained Earnings</t>
  </si>
  <si>
    <t>New customers orders</t>
  </si>
  <si>
    <t>Invoice finance drawdown</t>
  </si>
  <si>
    <t>Supply Chain Finance drawdown</t>
  </si>
  <si>
    <t>Asset Finance drawdown</t>
  </si>
  <si>
    <t>Taxable income</t>
  </si>
  <si>
    <t>Share Capital</t>
  </si>
  <si>
    <t>Model Checks</t>
  </si>
  <si>
    <t>CF after capex</t>
  </si>
  <si>
    <t>flag</t>
  </si>
  <si>
    <t>Depreciation this period POS</t>
  </si>
  <si>
    <t>Asset Finance interest POS</t>
  </si>
  <si>
    <t>Date Result</t>
  </si>
  <si>
    <t>[Modelling contact email address]</t>
  </si>
  <si>
    <t>Report Total</t>
  </si>
  <si>
    <t>SUPPLIER ORDERS</t>
  </si>
  <si>
    <t>All in Invoice Finance annual interest rate</t>
  </si>
  <si>
    <t>VAT return this period beginning date</t>
  </si>
  <si>
    <t>MODEL CONSTANTS</t>
  </si>
  <si>
    <t>Model period start</t>
  </si>
  <si>
    <t>Model period end: Month to Year : period end flag</t>
  </si>
  <si>
    <t>VAT return this period first period number</t>
  </si>
  <si>
    <t>Month to Quarter : period end flag</t>
  </si>
  <si>
    <t>Shareholder Equity</t>
  </si>
  <si>
    <t>Invoice finance period interest rate</t>
  </si>
  <si>
    <t>Corporation tax paid this period</t>
  </si>
  <si>
    <t>Retained Earnings this period</t>
  </si>
  <si>
    <t>index</t>
  </si>
  <si>
    <t>Retained Earnings BEG</t>
  </si>
  <si>
    <t>Share Capital BEG</t>
  </si>
  <si>
    <t>[PROJECT NAME] FINANCIAL MODEL</t>
  </si>
  <si>
    <t>Scenario 2</t>
  </si>
  <si>
    <t>Case</t>
  </si>
  <si>
    <t>ID</t>
  </si>
  <si>
    <t>Date raised</t>
  </si>
  <si>
    <t>Supplier order deposit</t>
  </si>
  <si>
    <t>Order lead time (months)</t>
  </si>
  <si>
    <t>Invoice Finance Enabled end date</t>
  </si>
  <si>
    <t>ASSET FINANCE</t>
  </si>
  <si>
    <t>All in Trade finance annual interest rate</t>
  </si>
  <si>
    <t>Asset Finance Advance %</t>
  </si>
  <si>
    <t>HEADERS</t>
  </si>
  <si>
    <t>Period number: Month to Year (financial year) : period end flag</t>
  </si>
  <si>
    <t>Fixed Operating Cost Growth Rate escalation indexation factor</t>
  </si>
  <si>
    <t>Debts flags</t>
  </si>
  <si>
    <t>Use short term forecast flag</t>
  </si>
  <si>
    <t>Month to Year period number counter</t>
  </si>
  <si>
    <t>Cash Low</t>
  </si>
  <si>
    <t>Depreciation</t>
  </si>
  <si>
    <t>Cash in from Sales</t>
  </si>
  <si>
    <t>VAT due</t>
  </si>
  <si>
    <t>EBIT</t>
  </si>
  <si>
    <t>Debtors BEG</t>
  </si>
  <si>
    <t>Corporation tax POS</t>
  </si>
  <si>
    <t>Check</t>
  </si>
  <si>
    <t>range end</t>
  </si>
  <si>
    <t>Input differences</t>
  </si>
  <si>
    <t>Base case 3</t>
  </si>
  <si>
    <t>Customer Order Growth annual start escalation rate</t>
  </si>
  <si>
    <t>Months</t>
  </si>
  <si>
    <t>Minimum quantity before reorder</t>
  </si>
  <si>
    <t>Opening Retained Earnings</t>
  </si>
  <si>
    <t>Supply Chain Finance enabled end date</t>
  </si>
  <si>
    <t>VAT rate</t>
  </si>
  <si>
    <t>Months in year</t>
  </si>
  <si>
    <t>New share capital issued</t>
  </si>
  <si>
    <t>VAT return this period first period number constant</t>
  </si>
  <si>
    <t>Month to Quarter : first timeline date</t>
  </si>
  <si>
    <t>Variable Operating expense</t>
  </si>
  <si>
    <t>Invoice finance principal repayment</t>
  </si>
  <si>
    <t>Asset Finance interest paid</t>
  </si>
  <si>
    <t>Tax losses carried forward balance</t>
  </si>
  <si>
    <t>Balance Sheet Balances overall</t>
  </si>
  <si>
    <t>Assets</t>
  </si>
  <si>
    <t>Deferred Income BEG</t>
  </si>
  <si>
    <t>Fixed operating expense POS</t>
  </si>
  <si>
    <t>Variable Operating expense POS</t>
  </si>
  <si>
    <t>Invoice finance principal repayment POS</t>
  </si>
  <si>
    <t>counter</t>
  </si>
  <si>
    <t>Section</t>
  </si>
  <si>
    <t>Output - Base case 1</t>
  </si>
  <si>
    <t>Source</t>
  </si>
  <si>
    <t>REPORTS</t>
  </si>
  <si>
    <t xml:space="preserve">Resolved by </t>
  </si>
  <si>
    <t>Comments</t>
  </si>
  <si>
    <t>Alerts</t>
  </si>
  <si>
    <t>Fixed operating cost base</t>
  </si>
  <si>
    <t>OPENING BALANCES</t>
  </si>
  <si>
    <t>Asset Finance Period</t>
  </si>
  <si>
    <t>EQUITY</t>
  </si>
  <si>
    <t>First Customer Order Growth escalation period</t>
  </si>
  <si>
    <t>Period of first Customer Order Growth escalation</t>
  </si>
  <si>
    <t>Day in period Customer Order Growth escalation occurs</t>
  </si>
  <si>
    <t>years since Customer Order Growth base date</t>
  </si>
  <si>
    <t>Fixed Operating Cost Growth Rate escalation duration flag</t>
  </si>
  <si>
    <t>Asset Finance Enabled flag</t>
  </si>
  <si>
    <t>VAT return this period mod of period number</t>
  </si>
  <si>
    <t>Inventory</t>
  </si>
  <si>
    <t>Cash out on Operating Expense</t>
  </si>
  <si>
    <t>Supply Chain Finance principal repayment</t>
  </si>
  <si>
    <t>Supply Chain Finance interest</t>
  </si>
  <si>
    <t>Operating Cashflow</t>
  </si>
  <si>
    <t>Net Cashflow</t>
  </si>
  <si>
    <t>Invoice finance interest paid POS</t>
  </si>
  <si>
    <t>KEY</t>
  </si>
  <si>
    <t>Percentage Input</t>
  </si>
  <si>
    <t>For enquiries please contact:</t>
  </si>
  <si>
    <t>Diff Pct</t>
  </si>
  <si>
    <t>Active scenario</t>
  </si>
  <si>
    <t>Sub-section</t>
  </si>
  <si>
    <t>Units</t>
  </si>
  <si>
    <t>Opening Debtors</t>
  </si>
  <si>
    <t>day</t>
  </si>
  <si>
    <t>Opening Supply Chain Finance balance</t>
  </si>
  <si>
    <t>Percentage of expense subject to VAT</t>
  </si>
  <si>
    <t>Model period end: Month to Year (financial year) : period end flag</t>
  </si>
  <si>
    <t>Fixed Operating Cost Growth Rate escalation step up frequency flag</t>
  </si>
  <si>
    <t>Units ordered</t>
  </si>
  <si>
    <t>Units in stock</t>
  </si>
  <si>
    <t>Invoice finance interest</t>
  </si>
  <si>
    <t>Invoice finance interest paid</t>
  </si>
  <si>
    <t>Supply Chain Finance balance</t>
  </si>
  <si>
    <t>Asset Finance balance</t>
  </si>
  <si>
    <t>Asset Finance interest</t>
  </si>
  <si>
    <t>Taxable income net of tax losses utilised</t>
  </si>
  <si>
    <t>Checks breached any period</t>
  </si>
  <si>
    <t>Units in stock BEG</t>
  </si>
  <si>
    <t>Depreciation POS</t>
  </si>
  <si>
    <t>Percentage Result</t>
  </si>
  <si>
    <t>Comparison scenario</t>
  </si>
  <si>
    <t>Scenario 3</t>
  </si>
  <si>
    <t>Error chks</t>
  </si>
  <si>
    <t>Time</t>
  </si>
  <si>
    <t>Resolved?</t>
  </si>
  <si>
    <t>DEBT</t>
  </si>
  <si>
    <t>Financial year end month</t>
  </si>
  <si>
    <t>Customer Order Growth index</t>
  </si>
  <si>
    <t>Month to Quarter period number counter</t>
  </si>
  <si>
    <t>New Deferred Income from customer orders</t>
  </si>
  <si>
    <t>Supply Chain Finance unpaid interest</t>
  </si>
  <si>
    <t>Cash out on Operating Expense POS</t>
  </si>
  <si>
    <t>Corporation tax creditor BEG</t>
  </si>
  <si>
    <t>Date Calculation</t>
  </si>
  <si>
    <t>&lt;INSERT LOGO HERE&gt;</t>
  </si>
  <si>
    <t>vw</t>
  </si>
  <si>
    <t>Base case</t>
  </si>
  <si>
    <t>Where</t>
  </si>
  <si>
    <t>EXPENSE</t>
  </si>
  <si>
    <t>Depreciation Term</t>
  </si>
  <si>
    <t>Opening Units in use</t>
  </si>
  <si>
    <t>Opening Cash</t>
  </si>
  <si>
    <t>SUPPLY CHAIN FINANCE</t>
  </si>
  <si>
    <t>Headers</t>
  </si>
  <si>
    <t>Timeline label: Month to Quarter : period end flag</t>
  </si>
  <si>
    <t>Timeline label: Month to SemiAnnual : period end flag</t>
  </si>
  <si>
    <t>Customer Order Growth escalation indexation factor</t>
  </si>
  <si>
    <t>Month to Year (financial year) : period end flag</t>
  </si>
  <si>
    <t>Sales</t>
  </si>
  <si>
    <t>Income</t>
  </si>
  <si>
    <t>Units on order</t>
  </si>
  <si>
    <t>Depreciation this period</t>
  </si>
  <si>
    <t>VAT balance</t>
  </si>
  <si>
    <t>VAT payment delay</t>
  </si>
  <si>
    <t>Corporation tax paid</t>
  </si>
  <si>
    <t>EBITDA</t>
  </si>
  <si>
    <t>Profit before tax</t>
  </si>
  <si>
    <t>CF after financing</t>
  </si>
  <si>
    <t>Customer Orders Awaiting Fullfilment BEG</t>
  </si>
  <si>
    <t>Supply Chain Finance principal repayment POS</t>
  </si>
  <si>
    <t>[do not delete row]</t>
  </si>
  <si>
    <t>Customer base order number</t>
  </si>
  <si>
    <t>Opening Customer Orders Awaiting Fullfilment</t>
  </si>
  <si>
    <t>Opening Deferred Income</t>
  </si>
  <si>
    <t>All in Supply Chain Finance annual interest rate</t>
  </si>
  <si>
    <t>Opening Asset Finance balance</t>
  </si>
  <si>
    <t>VAT</t>
  </si>
  <si>
    <t>Months per period (Primary)</t>
  </si>
  <si>
    <t>Timeline label: Month to Year (financial year) : period end flag</t>
  </si>
  <si>
    <t>Model period end: Month to Quarter : period end flag</t>
  </si>
  <si>
    <t>Model period end: Month to SemiAnnual : period end flag</t>
  </si>
  <si>
    <t>Customer Order Growth escalation step up frequency flag</t>
  </si>
  <si>
    <t>Period of first Fixed Operating Cost Growth Rate escalation</t>
  </si>
  <si>
    <t>VAT on inventory</t>
  </si>
  <si>
    <t>Units delivered</t>
  </si>
  <si>
    <t>Invoice finance unpaid interest</t>
  </si>
  <si>
    <t>Supply Chain Finance interest paid</t>
  </si>
  <si>
    <t>VAT quarterly return</t>
  </si>
  <si>
    <t>Inventory BEG</t>
  </si>
  <si>
    <t>Creditors BEG</t>
  </si>
  <si>
    <t>Currency Calculation</t>
  </si>
  <si>
    <t>Total</t>
  </si>
  <si>
    <t>Timeline label</t>
  </si>
  <si>
    <t>Difference</t>
  </si>
  <si>
    <t>%</t>
  </si>
  <si>
    <t>Customer Order Growth escalation frequency</t>
  </si>
  <si>
    <t>Supplier price per unit</t>
  </si>
  <si>
    <t>INVENTORY</t>
  </si>
  <si>
    <t>Opening VAT balance</t>
  </si>
  <si>
    <t>date</t>
  </si>
  <si>
    <t>Opening Invoice finance balance</t>
  </si>
  <si>
    <t>VAT payment delay in months</t>
  </si>
  <si>
    <t>Day in period Fixed Operating Cost Growth Rate escalation occurs</t>
  </si>
  <si>
    <t>Model timelines</t>
  </si>
  <si>
    <t>Month to Year (financial year) : first timeline date</t>
  </si>
  <si>
    <t>plus</t>
  </si>
  <si>
    <t>Customer orders fullfilled</t>
  </si>
  <si>
    <t>Units in use</t>
  </si>
  <si>
    <t>Supply Chain Finance period interest rate</t>
  </si>
  <si>
    <t>Date corporation tax paid this year</t>
  </si>
  <si>
    <t>Corporation tax creditor</t>
  </si>
  <si>
    <t>Liabilities</t>
  </si>
  <si>
    <t>Units on order BEG</t>
  </si>
  <si>
    <t>Unit</t>
  </si>
  <si>
    <t>Comparison column label</t>
  </si>
  <si>
    <t>Base case 1</t>
  </si>
  <si>
    <t>Scenario 4</t>
  </si>
  <si>
    <t>Description</t>
  </si>
  <si>
    <t>Opening Creditors</t>
  </si>
  <si>
    <t>VAT return this period every x periods</t>
  </si>
  <si>
    <t>Tax losses carried forward - initial balance</t>
  </si>
  <si>
    <t>INPUTS</t>
  </si>
  <si>
    <t>Period number: Month to Year : period end flag</t>
  </si>
  <si>
    <t>Period number: Month to SemiAnnual : period end flag</t>
  </si>
  <si>
    <t>Customer Order Growth escalation duration flag</t>
  </si>
  <si>
    <t>Fixed Operating Cost Growth Rate index</t>
  </si>
  <si>
    <t>years since Fixed Operating Cost Growth Rate base date</t>
  </si>
  <si>
    <t>VAT return this period first period flag</t>
  </si>
  <si>
    <t>Deployed units returned</t>
  </si>
  <si>
    <t>Units deployed</t>
  </si>
  <si>
    <t>Asset Finance period interest rate</t>
  </si>
  <si>
    <t>Tax losses arising</t>
  </si>
  <si>
    <t>Depreciation BEG</t>
  </si>
  <si>
    <t>Invoice finance interest POS</t>
  </si>
  <si>
    <t>Asset Finance principal repayment POS</t>
  </si>
  <si>
    <t>Asset Finance interest paid POS</t>
  </si>
  <si>
    <t>period</t>
  </si>
  <si>
    <t>Constant</t>
  </si>
  <si>
    <t>KEY OUTPUTS</t>
  </si>
  <si>
    <t>Sheet</t>
  </si>
  <si>
    <t>Customer Retention</t>
  </si>
  <si>
    <t>GBP</t>
  </si>
  <si>
    <t>Invoice Finance Enabled beginning date</t>
  </si>
  <si>
    <t>CORPORATION TAX</t>
  </si>
  <si>
    <t>Month to SemiAnnual : period end flag</t>
  </si>
  <si>
    <t>Month to SemiAnnual : first timeline date</t>
  </si>
  <si>
    <t>Fixed operating expense</t>
  </si>
  <si>
    <t>Cash out on Inventory</t>
  </si>
  <si>
    <t>Asset Finance principal repayment</t>
  </si>
  <si>
    <t>Output VAT</t>
  </si>
  <si>
    <t>VAT paid</t>
  </si>
  <si>
    <t>Taxable income / (Tax losses arising)</t>
  </si>
  <si>
    <t>Corporation tax</t>
  </si>
  <si>
    <t>VAT paid POS</t>
  </si>
  <si>
    <t>END</t>
  </si>
  <si>
    <t>Standard Input</t>
  </si>
  <si>
    <t>Currency Input</t>
  </si>
  <si>
    <t>Filename</t>
  </si>
  <si>
    <t>Sales Price Unit</t>
  </si>
  <si>
    <t>Contract Length</t>
  </si>
  <si>
    <t>Days in period</t>
  </si>
  <si>
    <t>Supply Chain Finance enabled beginning date</t>
  </si>
  <si>
    <t>Asset Finance Enabled beginning date</t>
  </si>
  <si>
    <t>Opening Corporation tax creditor</t>
  </si>
  <si>
    <t>TIME</t>
  </si>
  <si>
    <t>First Fixed Operating Cost Growth Rate escalation period</t>
  </si>
  <si>
    <t>Month to Year (financial year) period number counter</t>
  </si>
  <si>
    <t>Net Assets</t>
  </si>
  <si>
    <t>Counter</t>
  </si>
  <si>
    <t>Supply Chain Finance interest POS</t>
  </si>
  <si>
    <t>Supply Chain Finance interest paid POS</t>
  </si>
  <si>
    <t>VAT balance BEG</t>
  </si>
  <si>
    <t>Currency Result</t>
  </si>
  <si>
    <t>[Modelling contact]</t>
  </si>
  <si>
    <t>Date</t>
  </si>
  <si>
    <t>Minimum supplier order quantity</t>
  </si>
  <si>
    <t>Opening Units in stock</t>
  </si>
  <si>
    <t>debt day count convention</t>
  </si>
  <si>
    <t>Supply Chain Finance Advance %</t>
  </si>
  <si>
    <t>Asset Finance Enabled end date</t>
  </si>
  <si>
    <t>First Customer Order Growth escalation flag</t>
  </si>
  <si>
    <t>First Fixed Operating Cost Growth Rate escalation flag</t>
  </si>
  <si>
    <t>less</t>
  </si>
  <si>
    <t>Units retired</t>
  </si>
  <si>
    <t>Creditors</t>
  </si>
  <si>
    <t>Debtors</t>
  </si>
  <si>
    <t>Invoice finance balance</t>
  </si>
  <si>
    <t>Effective tax rate</t>
  </si>
  <si>
    <t>Balance Sheet Balances</t>
  </si>
  <si>
    <t>Cash BEG</t>
  </si>
  <si>
    <t>Cash out on Inventory POS</t>
  </si>
  <si>
    <t>Standard Result</t>
  </si>
  <si>
    <t>Scenario 1</t>
  </si>
  <si>
    <t>Base case 2</t>
  </si>
  <si>
    <t>Period number</t>
  </si>
  <si>
    <t>Customer payment terms (months)</t>
  </si>
  <si>
    <t>Fixed Operating Cost Growth Rate escalation frequency</t>
  </si>
  <si>
    <t>Variable Operating Costs as a % of sales</t>
  </si>
  <si>
    <t>Invoice Finance Advance %</t>
  </si>
  <si>
    <t>Start date</t>
  </si>
  <si>
    <t>VAT return this period flag</t>
  </si>
  <si>
    <t>Month to SemiAnnual period number counter</t>
  </si>
  <si>
    <t>Cash</t>
  </si>
  <si>
    <t>Supplier Invoices</t>
  </si>
  <si>
    <t>Customer Orders Awaiting Fullfilment</t>
  </si>
  <si>
    <t>VAT on operating expense</t>
  </si>
  <si>
    <t>Asset Finance unpaid interest</t>
  </si>
  <si>
    <t>Tax losses</t>
  </si>
  <si>
    <t>Tax losses utilised</t>
  </si>
  <si>
    <t>Corporation tax paid POS</t>
  </si>
  <si>
    <t>Standard Calculation</t>
  </si>
  <si>
    <t>Date Input</t>
  </si>
  <si>
    <t>MODEL RUN INFO</t>
  </si>
  <si>
    <t>Model period end</t>
  </si>
  <si>
    <t>Financial year ending</t>
  </si>
  <si>
    <t>CUSTOMER ORDERS</t>
  </si>
  <si>
    <t>Fixed Operating Cost Growth Rate annual start escalation rate</t>
  </si>
  <si>
    <t>Opening Units on order</t>
  </si>
  <si>
    <t>Opening Share Capital</t>
  </si>
  <si>
    <t>Corporation tax rate</t>
  </si>
  <si>
    <t>Month corporation tax paid</t>
  </si>
  <si>
    <t>SHORT TERM FORECAST</t>
  </si>
  <si>
    <t>Use short term forecast flag end date</t>
  </si>
  <si>
    <t>Period number: Month to Quarter : period end flag</t>
  </si>
  <si>
    <t>Month to Year : period end flag</t>
  </si>
  <si>
    <t>Renewing Customer Orders</t>
  </si>
  <si>
    <t>Deferred Income</t>
  </si>
  <si>
    <t>Input VAT</t>
  </si>
  <si>
    <t>Units in use BEG</t>
  </si>
  <si>
    <t>Invoice finance balance BEG</t>
  </si>
  <si>
    <t>Supply Chain Finance balance BEG</t>
  </si>
  <si>
    <t>Asset Finance balance BEG</t>
  </si>
  <si>
    <t>Tax losses carried forward balance BEG</t>
  </si>
  <si>
    <t>Cashflow</t>
  </si>
  <si>
    <t>Balance Sheet</t>
  </si>
  <si>
    <t>Income Statement</t>
  </si>
  <si>
    <t>Export</t>
  </si>
  <si>
    <t>Export to excel</t>
  </si>
  <si>
    <t>Export to excel functionalisty</t>
  </si>
  <si>
    <t>Actual</t>
  </si>
  <si>
    <t>Base</t>
  </si>
  <si>
    <t>Buffer</t>
  </si>
  <si>
    <t>height</t>
  </si>
  <si>
    <t>width</t>
  </si>
  <si>
    <t>y</t>
  </si>
  <si>
    <t>X</t>
  </si>
  <si>
    <t>Canvas</t>
  </si>
  <si>
    <t>show</t>
  </si>
  <si>
    <t>Annual</t>
  </si>
  <si>
    <t>Hide</t>
  </si>
  <si>
    <t>Show Charts</t>
  </si>
  <si>
    <t>Monthly</t>
  </si>
  <si>
    <t>Show</t>
  </si>
  <si>
    <t>visible</t>
  </si>
  <si>
    <t>Show Annual/Monthly</t>
  </si>
  <si>
    <t>Show Reports Button</t>
  </si>
  <si>
    <t>Reports</t>
  </si>
  <si>
    <t>Show Charts Button</t>
  </si>
  <si>
    <t>Charts</t>
  </si>
  <si>
    <t>Show Drivers Button</t>
  </si>
  <si>
    <t>Drivers</t>
  </si>
  <si>
    <t>This sheet enables navigation</t>
  </si>
  <si>
    <t>Units in Use</t>
  </si>
  <si>
    <t>Customer orders waiting</t>
  </si>
  <si>
    <t>Trade Finance</t>
  </si>
  <si>
    <t>Invoice Finance</t>
  </si>
  <si>
    <t>Fixed Expense</t>
  </si>
  <si>
    <t>Variable Expense</t>
  </si>
  <si>
    <t>Profit After Tax</t>
  </si>
  <si>
    <t>Trade Finance Balance</t>
  </si>
  <si>
    <t>Invoice Finance Balance</t>
  </si>
  <si>
    <t>Cash Balance</t>
  </si>
  <si>
    <t>Dates</t>
  </si>
  <si>
    <t>'''SQRMonthly</t>
  </si>
  <si>
    <t>Year 1 / 2</t>
  </si>
  <si>
    <t>Chart offsets</t>
  </si>
  <si>
    <t>offset</t>
  </si>
  <si>
    <t>AF Drawdown</t>
  </si>
  <si>
    <t>Trade finance Advance %</t>
  </si>
  <si>
    <t>AF Interest Rate</t>
  </si>
  <si>
    <t>Opening Trade finance balance</t>
  </si>
  <si>
    <t>TF Drawdown</t>
  </si>
  <si>
    <t>Trade finance enabled beginning date</t>
  </si>
  <si>
    <t>TF Interest Rate</t>
  </si>
  <si>
    <t>Trade finance enabled end date</t>
  </si>
  <si>
    <t>IF Drawdown</t>
  </si>
  <si>
    <t>IF Interest Rate</t>
  </si>
  <si>
    <t>AF End Year</t>
  </si>
  <si>
    <t>AF End Month</t>
  </si>
  <si>
    <t>Year 4 / 5</t>
  </si>
  <si>
    <t>End Date</t>
  </si>
  <si>
    <t>AF Start Year</t>
  </si>
  <si>
    <t>Year 3 / 4</t>
  </si>
  <si>
    <t>AF Start Month</t>
  </si>
  <si>
    <t>Year 2 / 3</t>
  </si>
  <si>
    <t>unchecked</t>
  </si>
  <si>
    <t>AF Enabled</t>
  </si>
  <si>
    <t>Start Date</t>
  </si>
  <si>
    <t>TF End Year</t>
  </si>
  <si>
    <t>Charts Drop Down</t>
  </si>
  <si>
    <t>TF End Month</t>
  </si>
  <si>
    <t>TF Start Year</t>
  </si>
  <si>
    <t>TF Start Month</t>
  </si>
  <si>
    <t>TF Enabled</t>
  </si>
  <si>
    <t>IF End Year</t>
  </si>
  <si>
    <t>IF End Month</t>
  </si>
  <si>
    <t>IF Start Year</t>
  </si>
  <si>
    <t>IF Start Month</t>
  </si>
  <si>
    <t>IF Enabled</t>
  </si>
  <si>
    <t>Dec</t>
  </si>
  <si>
    <t>Variable operating costs as a % of sales</t>
  </si>
  <si>
    <t>Nov</t>
  </si>
  <si>
    <t>FOC annual growth rate</t>
  </si>
  <si>
    <t>Oct</t>
  </si>
  <si>
    <t>fixed operating cost (FOC)</t>
  </si>
  <si>
    <t>Sep</t>
  </si>
  <si>
    <t>Expense:</t>
  </si>
  <si>
    <t>Aug</t>
  </si>
  <si>
    <t>Jul</t>
  </si>
  <si>
    <t>Customer Retention:</t>
  </si>
  <si>
    <t>Jun</t>
  </si>
  <si>
    <t>Annual Growth Rate:</t>
  </si>
  <si>
    <t>May</t>
  </si>
  <si>
    <t>customer contract length (months):</t>
  </si>
  <si>
    <t>Apr</t>
  </si>
  <si>
    <t>sales price (per unit):</t>
  </si>
  <si>
    <t>Mar</t>
  </si>
  <si>
    <t>Customer payment terms (months):</t>
  </si>
  <si>
    <t>Feb</t>
  </si>
  <si>
    <t>Customer base monthly order:</t>
  </si>
  <si>
    <t>Jan</t>
  </si>
  <si>
    <t>Customer Orders:</t>
  </si>
  <si>
    <t>Years</t>
  </si>
  <si>
    <t>minimum stock:</t>
  </si>
  <si>
    <t>Finance</t>
  </si>
  <si>
    <t>minimum order:</t>
  </si>
  <si>
    <t>cost per unit:</t>
  </si>
  <si>
    <t>Lead time (months):</t>
  </si>
  <si>
    <t>Supplier Deposit:</t>
  </si>
  <si>
    <t>(link INC directly to each of these</t>
  </si>
  <si>
    <t>(for model drivers</t>
  </si>
  <si>
    <t>(saved in scenarios</t>
  </si>
  <si>
    <t>Supplier Orders:</t>
  </si>
  <si>
    <t>Dropdown lists and labels</t>
  </si>
  <si>
    <t>Model Drivers</t>
  </si>
  <si>
    <t>Calculations from Inputs</t>
  </si>
  <si>
    <t>Dashbboard Inputs</t>
  </si>
  <si>
    <t>Dashboard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</si>
</sst>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dd/mm/yyyy;@"/>
    <numFmt numFmtId="165" formatCode="#,##0_);\(#,##0\);&quot;-  &quot;;&quot; &quot;@&quot; &quot;"/>
    <numFmt numFmtId="166" formatCode="#,##0_);\(#,##0\);&quot;-  &quot;;&quot; &quot;@"/>
    <numFmt numFmtId="167" formatCode="dd\ mmm\ yy_);\(###0\);&quot;-  &quot;;&quot; &quot;@&quot; &quot;"/>
    <numFmt numFmtId="168" formatCode="#,##0.0000_);\(#,##0.0000\);&quot;-  &quot;;&quot; &quot;@&quot; &quot;"/>
    <numFmt numFmtId="169" formatCode="0.00%_);\-0.00%_);&quot;-  &quot;;&quot; &quot;@&quot; &quot;"/>
    <numFmt numFmtId="170" formatCode="dd\ mmm\ yyyy_);\(###0\);&quot;-  &quot;;&quot; &quot;@&quot; &quot;"/>
    <numFmt numFmtId="171" formatCode="###0_);\(###0\);&quot;-  &quot;;&quot; &quot;@&quot; &quot;"/>
    <numFmt numFmtId="172" formatCode="[$-F400]h:mm:ss\ AM/PM"/>
    <numFmt numFmtId="173" formatCode="dd/mmm/yy_);;&quot;-  &quot;;&quot; &quot;@"/>
    <numFmt numFmtId="174" formatCode="&quot;tu&quot;;;&quot;vw&quot;"/>
    <numFmt numFmtId="175" formatCode="#,##0.000_);\(#,##0.000\);&quot;-  &quot;;&quot; &quot;@"/>
    <numFmt numFmtId="176" formatCode="0%_);\-0%_);&quot;-  &quot;;&quot; &quot;@&quot; &quot;"/>
    <numFmt numFmtId="177" formatCode="0;0;&quot;-&quot;"/>
    <numFmt numFmtId="178" formatCode="0.00%;\-0.00%_);&quot;-  &quot;;&quot; &quot;@&quot; &quot;"/>
    <numFmt numFmtId="179" formatCode="#,##0.0000;\(#,##0.0000\);&quot;-  &quot;;&quot; &quot;@&quot; &quot;"/>
    <numFmt numFmtId="180" formatCode="mmm\-yyyy"/>
  </numFmts>
  <fonts count="64">
    <font>
      <sz val="8"/>
      <color theme="1"/>
      <name val="Tahoma"/>
      <family val="2"/>
    </font>
    <font>
      <sz val="11"/>
      <color theme="1"/>
      <name val="Calibri"/>
      <family val="2"/>
      <scheme val="minor"/>
    </font>
    <font>
      <sz val="10"/>
      <name val="Arial"/>
      <family val="2"/>
    </font>
    <font>
      <sz val="11"/>
      <color theme="1"/>
      <name val="Calibri"/>
      <family val="2"/>
      <scheme val="minor"/>
    </font>
    <font>
      <u/>
      <sz val="8"/>
      <color theme="10"/>
      <name val="Tahoma"/>
      <family val="2"/>
    </font>
    <font>
      <sz val="10"/>
      <color rgb="FF000000"/>
      <name val="Arial"/>
      <family val="2"/>
    </font>
    <font>
      <sz val="10"/>
      <color rgb="FFFF0000"/>
      <name val="Arial"/>
      <family val="2"/>
    </font>
    <font>
      <sz val="10"/>
      <color rgb="FF0000FF"/>
      <name val="Arial"/>
      <family val="2"/>
    </font>
    <font>
      <b/>
      <sz val="10"/>
      <name val="Arial"/>
      <family val="2"/>
    </font>
    <font>
      <sz val="10"/>
      <color theme="1"/>
      <name val="Arial"/>
      <family val="2"/>
    </font>
    <font>
      <b/>
      <sz val="10"/>
      <color rgb="FF0000FF"/>
      <name val="Arial"/>
      <family val="2"/>
    </font>
    <font>
      <b/>
      <sz val="14"/>
      <name val="Arial"/>
      <family val="2"/>
    </font>
    <font>
      <u/>
      <sz val="10"/>
      <color rgb="FF0000FF"/>
      <name val="Arial"/>
      <family val="2"/>
    </font>
    <font>
      <b/>
      <sz val="10"/>
      <color rgb="FFFF0000"/>
      <name val="Arial"/>
      <family val="2"/>
    </font>
    <font>
      <b/>
      <sz val="20"/>
      <name val="Arial"/>
      <family val="2"/>
    </font>
    <font>
      <sz val="16"/>
      <color indexed="12"/>
      <name val="Arial"/>
      <family val="2"/>
    </font>
    <font>
      <b/>
      <sz val="10"/>
      <color rgb="FF000000"/>
      <name val="Arial"/>
      <family val="2"/>
    </font>
    <font>
      <u/>
      <sz val="10"/>
      <name val="Arial"/>
      <family val="2"/>
    </font>
    <font>
      <u/>
      <sz val="12"/>
      <color theme="10"/>
      <name val="Tahoma"/>
      <family val="2"/>
    </font>
    <font>
      <i/>
      <sz val="10"/>
      <name val="Arial"/>
      <family val="2"/>
    </font>
    <font>
      <u/>
      <sz val="10"/>
      <color rgb="FFFF0000"/>
      <name val="Arial"/>
      <family val="2"/>
    </font>
    <font>
      <sz val="20"/>
      <name val="Arial"/>
      <family val="2"/>
    </font>
    <font>
      <u/>
      <sz val="10"/>
      <color rgb="FF000000"/>
      <name val="Arial"/>
      <family val="2"/>
    </font>
    <font>
      <u/>
      <sz val="20"/>
      <name val="Arial"/>
      <family val="2"/>
    </font>
    <font>
      <sz val="10"/>
      <color theme="0" tint="-0.24991607409894101"/>
      <name val="Wingdings 3"/>
      <family val="1"/>
      <charset val="2"/>
    </font>
    <font>
      <sz val="8"/>
      <color theme="1"/>
      <name val="Times New Roman"/>
      <family val="1"/>
    </font>
    <font>
      <u/>
      <sz val="10"/>
      <color rgb="FF00B050"/>
      <name val="Arial"/>
      <family val="2"/>
    </font>
    <font>
      <sz val="8"/>
      <color theme="1"/>
      <name val="Arial"/>
      <family val="2"/>
    </font>
    <font>
      <sz val="10"/>
      <color theme="0" tint="-0.24994659260841701"/>
      <name val="Arial"/>
      <family val="2"/>
    </font>
    <font>
      <sz val="36"/>
      <color theme="0" tint="-0.24994659260841701"/>
      <name val="Wingdings 3"/>
      <family val="1"/>
      <charset val="2"/>
    </font>
    <font>
      <b/>
      <sz val="11"/>
      <color theme="1"/>
      <name val="Arial"/>
      <family val="2"/>
    </font>
    <font>
      <sz val="11"/>
      <color theme="1"/>
      <name val="Arial"/>
      <family val="2"/>
    </font>
    <font>
      <sz val="10"/>
      <color indexed="12"/>
      <name val="Arial"/>
      <family val="2"/>
    </font>
    <font>
      <b/>
      <sz val="18"/>
      <name val="Circular Pro Black"/>
      <family val="2"/>
    </font>
    <font>
      <b/>
      <u/>
      <sz val="12"/>
      <color rgb="FF00B050"/>
      <name val="Arial"/>
      <family val="2"/>
    </font>
    <font>
      <sz val="12"/>
      <color theme="1"/>
      <name val="Times New Roman"/>
      <family val="1"/>
    </font>
    <font>
      <sz val="10"/>
      <color rgb="FF00B050"/>
      <name val="Arial"/>
      <family val="2"/>
    </font>
    <font>
      <sz val="10"/>
      <color theme="0" tint="-0.24994659260841701"/>
      <name val="Wingdings 3"/>
      <family val="1"/>
      <charset val="2"/>
    </font>
    <font>
      <b/>
      <sz val="12"/>
      <name val="Arial"/>
      <family val="2"/>
    </font>
    <font>
      <sz val="8"/>
      <name val="Arial"/>
      <family val="2"/>
    </font>
    <font>
      <sz val="10"/>
      <name val="Circular Pro Bold"/>
      <family val="2"/>
    </font>
    <font>
      <sz val="10"/>
      <color theme="0" tint="-0.24991607409894101"/>
      <name val="Arial"/>
      <family val="2"/>
    </font>
    <font>
      <sz val="16"/>
      <color theme="0" tint="-0.24994659260841701"/>
      <name val="Arial"/>
      <family val="2"/>
    </font>
    <font>
      <u/>
      <sz val="12"/>
      <color rgb="FF0000FF"/>
      <name val="Arial"/>
      <family val="2"/>
    </font>
    <font>
      <sz val="11"/>
      <name val="Calibri"/>
      <family val="2"/>
      <scheme val="minor"/>
    </font>
    <font>
      <sz val="18"/>
      <name val="Arial"/>
      <family val="2"/>
    </font>
    <font>
      <sz val="10"/>
      <color indexed="10"/>
      <name val="Arial"/>
      <family val="2"/>
    </font>
    <font>
      <b/>
      <sz val="10"/>
      <color theme="1"/>
      <name val="Arial"/>
      <family val="2"/>
    </font>
    <font>
      <sz val="10"/>
      <color theme="1"/>
      <name val="Times New Roman"/>
      <family val="1"/>
    </font>
    <font>
      <u/>
      <sz val="10"/>
      <color theme="0" tint="-0.24994659260841701"/>
      <name val="Arial"/>
      <family val="2"/>
    </font>
    <font>
      <b/>
      <u/>
      <sz val="14"/>
      <color theme="1"/>
      <name val="Times New Roman"/>
      <family val="1"/>
    </font>
    <font>
      <u/>
      <sz val="12"/>
      <color rgb="FF00B050"/>
      <name val="Arial"/>
      <family val="2"/>
    </font>
    <font>
      <sz val="8"/>
      <color theme="1"/>
      <name val="Tahoma"/>
      <family val="2"/>
    </font>
    <font>
      <b/>
      <sz val="11"/>
      <color theme="1"/>
      <name val="Calibri"/>
      <family val="2"/>
      <scheme val="minor"/>
    </font>
    <font>
      <sz val="11"/>
      <color theme="1"/>
      <name val="Calibri"/>
    </font>
    <font>
      <sz val="10"/>
      <color rgb="FF000000"/>
      <name val="Open Sans"/>
    </font>
    <font>
      <b/>
      <sz val="10"/>
      <color theme="1"/>
      <name val="Tahoma"/>
    </font>
    <font>
      <b/>
      <sz val="12"/>
      <color rgb="FF000000"/>
      <name val="Open Sans"/>
    </font>
    <font>
      <sz val="10"/>
      <name val="Arial"/>
    </font>
    <font>
      <sz val="10"/>
      <color theme="1"/>
      <name val="Arial"/>
    </font>
    <font>
      <sz val="10"/>
      <color rgb="FF000000"/>
      <name val="Arial"/>
    </font>
    <font>
      <sz val="10"/>
      <color theme="1"/>
      <name val="Calibri"/>
    </font>
    <font>
      <sz val="10"/>
      <color rgb="FF000000"/>
      <name val="Calibri"/>
      <family val="2"/>
      <scheme val="minor"/>
    </font>
    <font>
      <sz val="10"/>
      <color theme="1"/>
      <name val="Calibri"/>
      <family val="2"/>
      <scheme val="minor"/>
    </font>
  </fonts>
  <fills count="17">
    <fill>
      <patternFill patternType="none"/>
    </fill>
    <fill>
      <patternFill patternType="gray125"/>
    </fill>
    <fill>
      <patternFill patternType="solid">
        <fgColor rgb="FFFFFFE5"/>
        <bgColor indexed="64"/>
      </patternFill>
    </fill>
    <fill>
      <patternFill patternType="solid">
        <fgColor rgb="FFC0C0C0"/>
        <bgColor indexed="64"/>
      </patternFill>
    </fill>
    <fill>
      <patternFill patternType="solid">
        <fgColor rgb="FFFFFF99"/>
        <bgColor indexed="64"/>
      </patternFill>
    </fill>
    <fill>
      <patternFill patternType="solid">
        <fgColor theme="8" tint="0.59996337778862885"/>
        <bgColor indexed="64"/>
      </patternFill>
    </fill>
    <fill>
      <patternFill patternType="solid">
        <fgColor rgb="FFFFFF00"/>
        <bgColor indexed="64"/>
      </patternFill>
    </fill>
    <fill>
      <patternFill patternType="solid">
        <fgColor rgb="FFFFFFAF"/>
        <bgColor indexed="64"/>
      </patternFill>
    </fill>
    <fill>
      <patternFill patternType="solid">
        <fgColor rgb="FF92D050"/>
        <bgColor indexed="64"/>
      </patternFill>
    </fill>
    <fill>
      <patternFill patternType="solid">
        <fgColor rgb="FFD9D9D9"/>
        <bgColor indexed="64"/>
      </patternFill>
    </fill>
    <fill>
      <patternFill patternType="solid">
        <fgColor indexed="41"/>
        <bgColor indexed="64"/>
      </patternFill>
    </fill>
    <fill>
      <patternFill patternType="solid">
        <fgColor rgb="FFCCFFFF"/>
        <bgColor indexed="64"/>
      </patternFill>
    </fill>
    <fill>
      <patternFill patternType="solid">
        <fgColor rgb="FFE9F5DB"/>
        <bgColor indexed="64"/>
      </patternFill>
    </fill>
    <fill>
      <patternFill patternType="solid">
        <bgColor rgb="FF999999"/>
      </patternFill>
    </fill>
    <fill>
      <patternFill patternType="solid">
        <fgColor rgb="FFFFFF00"/>
        <bgColor rgb="FFFEFF03"/>
      </patternFill>
    </fill>
    <fill>
      <patternFill patternType="solid">
        <fgColor rgb="FF92D050"/>
        <bgColor rgb="FFFFFFFF"/>
      </patternFill>
    </fill>
    <fill>
      <patternFill patternType="solid">
        <fgColor rgb="FF92D050"/>
        <bgColor rgb="FF00FF00"/>
      </patternFill>
    </fill>
  </fills>
  <borders count="15">
    <border>
      <left/>
      <right/>
      <top/>
      <bottom/>
      <diagonal/>
    </border>
    <border>
      <left style="thin">
        <color theme="0" tint="-0.24991607409894101"/>
      </left>
      <right/>
      <top style="thin">
        <color theme="0" tint="-0.24991607409894101"/>
      </top>
      <bottom style="thin">
        <color theme="0" tint="-0.24991607409894101"/>
      </bottom>
      <diagonal/>
    </border>
    <border>
      <left/>
      <right/>
      <top style="medium">
        <color auto="1"/>
      </top>
      <bottom style="medium">
        <color auto="1"/>
      </bottom>
      <diagonal/>
    </border>
    <border>
      <left/>
      <right/>
      <top style="medium">
        <color auto="1"/>
      </top>
      <bottom style="double">
        <color auto="1"/>
      </bottom>
      <diagonal/>
    </border>
    <border>
      <left/>
      <right/>
      <top/>
      <bottom style="thin">
        <color rgb="FF808080"/>
      </bottom>
      <diagonal/>
    </border>
    <border>
      <left/>
      <right/>
      <top style="thin">
        <color rgb="FF808080"/>
      </top>
      <bottom style="thin">
        <color rgb="FF808080"/>
      </bottom>
      <diagonal/>
    </border>
    <border>
      <left/>
      <right/>
      <top style="thin">
        <color rgb="FF808080"/>
      </top>
      <bottom/>
      <diagonal/>
    </border>
    <border>
      <left style="thin">
        <color theme="0" tint="-0.24991607409894101"/>
      </left>
      <right style="thin">
        <color theme="0" tint="-0.24991607409894101"/>
      </right>
      <top style="thin">
        <color theme="0" tint="-0.24991607409894101"/>
      </top>
      <bottom style="thin">
        <color theme="0" tint="-0.24991607409894101"/>
      </bottom>
      <diagonal/>
    </border>
    <border>
      <left style="hair">
        <color theme="0" tint="-0.24991607409894101"/>
      </left>
      <right style="hair">
        <color indexed="64"/>
      </right>
      <top style="hair">
        <color theme="0" tint="-0.24991607409894101"/>
      </top>
      <bottom style="hair">
        <color theme="0" tint="-0.24991607409894101"/>
      </bottom>
      <diagonal/>
    </border>
    <border>
      <left style="thin">
        <color theme="0" tint="-0.24991607409894101"/>
      </left>
      <right style="thin">
        <color theme="0" tint="-0.24991607409894101"/>
      </right>
      <top/>
      <bottom style="thin">
        <color theme="0" tint="-0.24991607409894101"/>
      </bottom>
      <diagonal/>
    </border>
    <border>
      <left style="thin">
        <color theme="0" tint="-0.24991607409894101"/>
      </left>
      <right style="thin">
        <color theme="0" tint="-0.24991607409894101"/>
      </right>
      <top style="thin">
        <color theme="0" tint="-0.24991607409894101"/>
      </top>
      <bottom/>
      <diagonal/>
    </border>
    <border>
      <left/>
      <right/>
      <top/>
      <bottom style="thin">
        <color indexed="64"/>
      </bottom>
      <diagonal/>
    </border>
    <border>
      <left/>
      <right/>
      <top style="thin">
        <color indexed="64"/>
      </top>
      <bottom style="thin">
        <color indexed="64"/>
      </bottom>
      <diagonal/>
    </border>
    <border>
      <left style="thin">
        <color theme="0"/>
      </left>
      <right/>
      <top style="thin">
        <color theme="0"/>
      </top>
      <bottom style="thin">
        <color theme="0"/>
      </bottom>
      <diagonal/>
    </border>
    <border>
      <left style="hair">
        <color theme="0"/>
      </left>
      <right style="hair">
        <color indexed="64"/>
      </right>
      <top style="hair">
        <color theme="0"/>
      </top>
      <bottom style="hair">
        <color theme="0"/>
      </bottom>
      <diagonal/>
    </border>
  </borders>
  <cellStyleXfs count="36">
    <xf numFmtId="165" fontId="0" fillId="0" borderId="0" applyFont="0" applyFill="0" applyBorder="0" applyProtection="0">
      <alignment vertical="top"/>
    </xf>
    <xf numFmtId="165" fontId="2" fillId="0" borderId="0" applyBorder="0">
      <alignment vertical="top"/>
    </xf>
    <xf numFmtId="169" fontId="2" fillId="0" borderId="0" applyBorder="0">
      <alignment vertical="top"/>
    </xf>
    <xf numFmtId="165" fontId="2" fillId="0" borderId="0" applyBorder="0">
      <alignment vertical="top"/>
    </xf>
    <xf numFmtId="167" fontId="2" fillId="0" borderId="0" applyBorder="0">
      <alignment vertical="top"/>
    </xf>
    <xf numFmtId="166" fontId="2" fillId="0" borderId="0" applyFont="0" applyFill="0" applyBorder="0" applyProtection="0">
      <alignment vertical="top"/>
    </xf>
    <xf numFmtId="170" fontId="2" fillId="0" borderId="0" applyFont="0" applyFill="0" applyBorder="0" applyProtection="0">
      <alignment vertical="top"/>
    </xf>
    <xf numFmtId="170" fontId="2" fillId="0" borderId="0" applyFont="0" applyFill="0" applyBorder="0" applyProtection="0">
      <alignment vertical="top"/>
    </xf>
    <xf numFmtId="167" fontId="2" fillId="0" borderId="0" applyFont="0" applyFill="0" applyBorder="0" applyProtection="0">
      <alignment vertical="top"/>
    </xf>
    <xf numFmtId="167" fontId="2" fillId="0" borderId="0" applyFont="0" applyFill="0" applyBorder="0" applyProtection="0">
      <alignment vertical="top"/>
    </xf>
    <xf numFmtId="179" fontId="2" fillId="0" borderId="0" applyFont="0" applyFill="0" applyBorder="0" applyProtection="0">
      <alignment vertical="top"/>
    </xf>
    <xf numFmtId="168" fontId="3" fillId="0" borderId="0" applyFont="0" applyFill="0" applyBorder="0" applyProtection="0">
      <alignment vertical="top"/>
    </xf>
    <xf numFmtId="168" fontId="2" fillId="0" borderId="0" applyFont="0" applyFill="0" applyBorder="0" applyProtection="0">
      <alignment vertical="top"/>
    </xf>
    <xf numFmtId="0" fontId="4" fillId="0" borderId="0" applyNumberFormat="0" applyFill="0" applyBorder="0" applyAlignment="0" applyProtection="0"/>
    <xf numFmtId="169" fontId="5" fillId="2" borderId="1" applyProtection="0">
      <alignment vertical="top"/>
    </xf>
    <xf numFmtId="165" fontId="5" fillId="2" borderId="1" applyProtection="0">
      <alignment vertical="top"/>
    </xf>
    <xf numFmtId="164" fontId="5" fillId="2" borderId="1" applyProtection="0">
      <alignment vertical="top"/>
    </xf>
    <xf numFmtId="165" fontId="5" fillId="2" borderId="1" applyProtection="0">
      <alignment vertical="top"/>
    </xf>
    <xf numFmtId="165" fontId="2" fillId="0" borderId="0" applyFont="0" applyFill="0" applyBorder="0" applyProtection="0">
      <alignment vertical="top"/>
    </xf>
    <xf numFmtId="165" fontId="2" fillId="0" borderId="0" applyFont="0" applyFill="0" applyBorder="0" applyProtection="0">
      <alignment vertical="top"/>
    </xf>
    <xf numFmtId="165" fontId="3" fillId="0" borderId="0" applyFont="0" applyFill="0" applyBorder="0" applyProtection="0">
      <alignment vertical="top"/>
    </xf>
    <xf numFmtId="165" fontId="3" fillId="0" borderId="0" applyFont="0" applyFill="0" applyBorder="0" applyProtection="0">
      <alignment vertical="top"/>
    </xf>
    <xf numFmtId="165" fontId="2" fillId="0" borderId="0" applyFont="0" applyFill="0" applyBorder="0" applyProtection="0">
      <alignment vertical="top"/>
    </xf>
    <xf numFmtId="178" fontId="52" fillId="0" borderId="0" applyFont="0" applyFill="0" applyBorder="0" applyProtection="0">
      <alignment vertical="top"/>
    </xf>
    <xf numFmtId="169" fontId="2" fillId="0" borderId="0" applyFont="0" applyFill="0" applyBorder="0" applyProtection="0">
      <alignment vertical="top"/>
    </xf>
    <xf numFmtId="169" fontId="3" fillId="0" borderId="0" applyFont="0" applyFill="0" applyBorder="0" applyProtection="0">
      <alignment vertical="top"/>
    </xf>
    <xf numFmtId="169" fontId="2" fillId="0" borderId="0" applyFont="0" applyFill="0" applyBorder="0" applyProtection="0">
      <alignment vertical="top"/>
    </xf>
    <xf numFmtId="165" fontId="52" fillId="0" borderId="2" applyNumberFormat="0" applyFont="0" applyFill="0" applyAlignment="0">
      <alignment vertical="top"/>
    </xf>
    <xf numFmtId="165" fontId="52" fillId="0" borderId="3" applyNumberFormat="0" applyFont="0" applyFill="0" applyAlignment="0">
      <alignment vertical="top"/>
    </xf>
    <xf numFmtId="166" fontId="2" fillId="0" borderId="0" applyBorder="0">
      <alignment vertical="top"/>
    </xf>
    <xf numFmtId="9" fontId="2" fillId="0" borderId="0" applyBorder="0">
      <alignment vertical="top"/>
    </xf>
    <xf numFmtId="166" fontId="2" fillId="0" borderId="0" applyBorder="0">
      <alignment vertical="top"/>
    </xf>
    <xf numFmtId="167" fontId="5" fillId="0" borderId="0" applyBorder="0">
      <alignment vertical="top"/>
    </xf>
    <xf numFmtId="171" fontId="2" fillId="0" borderId="0" applyFont="0" applyFill="0" applyBorder="0" applyProtection="0">
      <alignment vertical="top"/>
    </xf>
    <xf numFmtId="171" fontId="2" fillId="0" borderId="0" applyFont="0" applyFill="0" applyBorder="0" applyProtection="0">
      <alignment vertical="top"/>
    </xf>
    <xf numFmtId="0" fontId="54" fillId="0" borderId="0"/>
  </cellStyleXfs>
  <cellXfs count="341">
    <xf numFmtId="165" fontId="0" fillId="0" borderId="0" xfId="0">
      <alignment vertical="top"/>
    </xf>
    <xf numFmtId="165" fontId="0" fillId="0" borderId="3" xfId="28" applyFont="1">
      <alignment vertical="top"/>
    </xf>
    <xf numFmtId="165" fontId="2" fillId="0" borderId="0" xfId="1">
      <alignment vertical="top"/>
    </xf>
    <xf numFmtId="165" fontId="6" fillId="0" borderId="0" xfId="1" applyFont="1">
      <alignment vertical="top"/>
    </xf>
    <xf numFmtId="165" fontId="7" fillId="0" borderId="0" xfId="1" applyFont="1">
      <alignment vertical="top"/>
    </xf>
    <xf numFmtId="171" fontId="2" fillId="0" borderId="0" xfId="1" applyNumberFormat="1">
      <alignment vertical="top"/>
    </xf>
    <xf numFmtId="167" fontId="8" fillId="0" borderId="0" xfId="9" applyFont="1">
      <alignment vertical="top"/>
    </xf>
    <xf numFmtId="166" fontId="2" fillId="3" borderId="0" xfId="5" applyFont="1" applyFill="1" applyAlignment="1">
      <alignment horizontal="right" vertical="top"/>
    </xf>
    <xf numFmtId="167" fontId="2" fillId="0" borderId="0" xfId="4">
      <alignment vertical="top"/>
    </xf>
    <xf numFmtId="166" fontId="2" fillId="0" borderId="0" xfId="29">
      <alignment vertical="top"/>
    </xf>
    <xf numFmtId="171" fontId="7" fillId="0" borderId="0" xfId="1" applyNumberFormat="1" applyFont="1">
      <alignment vertical="top"/>
    </xf>
    <xf numFmtId="165" fontId="6" fillId="0" borderId="4" xfId="1" applyFont="1" applyBorder="1">
      <alignment vertical="top"/>
    </xf>
    <xf numFmtId="166" fontId="2" fillId="0" borderId="5" xfId="29" applyBorder="1">
      <alignment vertical="top"/>
    </xf>
    <xf numFmtId="167" fontId="6" fillId="0" borderId="0" xfId="4" applyFont="1">
      <alignment vertical="top"/>
    </xf>
    <xf numFmtId="171" fontId="6" fillId="0" borderId="0" xfId="1" applyNumberFormat="1" applyFont="1">
      <alignment vertical="top"/>
    </xf>
    <xf numFmtId="166" fontId="2" fillId="0" borderId="0" xfId="5" applyFont="1">
      <alignment vertical="top"/>
    </xf>
    <xf numFmtId="166" fontId="9" fillId="0" borderId="0" xfId="0" applyNumberFormat="1" applyFont="1">
      <alignment vertical="top"/>
    </xf>
    <xf numFmtId="166" fontId="2" fillId="0" borderId="3" xfId="28" applyNumberFormat="1" applyFont="1">
      <alignment vertical="top"/>
    </xf>
    <xf numFmtId="165" fontId="10" fillId="0" borderId="0" xfId="18" applyFont="1">
      <alignment vertical="top"/>
    </xf>
    <xf numFmtId="167" fontId="7" fillId="0" borderId="0" xfId="4" applyFont="1">
      <alignment vertical="top"/>
    </xf>
    <xf numFmtId="165" fontId="5" fillId="4" borderId="1" xfId="17" applyFill="1" applyProtection="1">
      <alignment vertical="top"/>
      <protection locked="0"/>
    </xf>
    <xf numFmtId="165" fontId="6" fillId="0" borderId="0" xfId="18" applyFont="1">
      <alignment vertical="top"/>
    </xf>
    <xf numFmtId="165" fontId="5" fillId="0" borderId="0" xfId="18" applyFont="1">
      <alignment vertical="top"/>
    </xf>
    <xf numFmtId="168" fontId="7" fillId="0" borderId="0" xfId="1" applyNumberFormat="1" applyFont="1">
      <alignment vertical="top"/>
    </xf>
    <xf numFmtId="165" fontId="8" fillId="0" borderId="0" xfId="0" applyFont="1">
      <alignment vertical="top"/>
    </xf>
    <xf numFmtId="168" fontId="6" fillId="0" borderId="0" xfId="1" applyNumberFormat="1" applyFont="1">
      <alignment vertical="top"/>
    </xf>
    <xf numFmtId="165" fontId="11" fillId="5" borderId="0" xfId="18" applyFont="1" applyFill="1" applyAlignment="1">
      <alignment vertical="center"/>
    </xf>
    <xf numFmtId="165" fontId="8" fillId="0" borderId="0" xfId="18" applyFont="1">
      <alignment vertical="top"/>
    </xf>
    <xf numFmtId="171" fontId="2" fillId="0" borderId="0" xfId="5" applyNumberFormat="1" applyFont="1">
      <alignment vertical="top"/>
    </xf>
    <xf numFmtId="165" fontId="2" fillId="5" borderId="0" xfId="18" applyFont="1" applyFill="1">
      <alignment vertical="top"/>
    </xf>
    <xf numFmtId="165" fontId="12" fillId="0" borderId="0" xfId="18" applyFont="1">
      <alignment vertical="top"/>
    </xf>
    <xf numFmtId="165" fontId="7" fillId="0" borderId="0" xfId="18" applyFont="1" applyAlignment="1">
      <alignment horizontal="right" vertical="top"/>
    </xf>
    <xf numFmtId="166" fontId="9" fillId="0" borderId="5" xfId="0" applyNumberFormat="1" applyFont="1" applyBorder="1">
      <alignment vertical="top"/>
    </xf>
    <xf numFmtId="169" fontId="5" fillId="4" borderId="1" xfId="14" applyFill="1" applyProtection="1">
      <alignment vertical="top"/>
      <protection locked="0"/>
    </xf>
    <xf numFmtId="171" fontId="5" fillId="0" borderId="0" xfId="33" applyFont="1">
      <alignment vertical="top"/>
    </xf>
    <xf numFmtId="165" fontId="6" fillId="0" borderId="4" xfId="18" applyFont="1" applyBorder="1">
      <alignment vertical="top"/>
    </xf>
    <xf numFmtId="165" fontId="13" fillId="0" borderId="0" xfId="18" applyFont="1">
      <alignment vertical="top"/>
    </xf>
    <xf numFmtId="165" fontId="2" fillId="0" borderId="4" xfId="1" applyBorder="1">
      <alignment vertical="top"/>
    </xf>
    <xf numFmtId="167" fontId="6" fillId="6" borderId="1" xfId="16" applyNumberFormat="1" applyFont="1" applyFill="1" applyProtection="1">
      <alignment vertical="top"/>
      <protection locked="0"/>
    </xf>
    <xf numFmtId="165" fontId="2" fillId="0" borderId="0" xfId="18" applyFont="1">
      <alignment vertical="top"/>
    </xf>
    <xf numFmtId="165" fontId="7" fillId="0" borderId="6" xfId="1" applyFont="1" applyBorder="1">
      <alignment vertical="top"/>
    </xf>
    <xf numFmtId="170" fontId="2" fillId="7" borderId="7" xfId="7" applyFont="1" applyFill="1" applyBorder="1">
      <alignment vertical="top"/>
    </xf>
    <xf numFmtId="166" fontId="2" fillId="0" borderId="0" xfId="0" applyNumberFormat="1" applyFont="1">
      <alignment vertical="top"/>
    </xf>
    <xf numFmtId="165" fontId="2" fillId="0" borderId="0" xfId="0" applyFont="1">
      <alignment vertical="top"/>
    </xf>
    <xf numFmtId="169" fontId="7" fillId="0" borderId="0" xfId="2" applyFont="1">
      <alignment vertical="top"/>
    </xf>
    <xf numFmtId="165" fontId="14" fillId="0" borderId="0" xfId="20" applyFont="1">
      <alignment vertical="top"/>
    </xf>
    <xf numFmtId="165" fontId="2" fillId="0" borderId="0" xfId="18">
      <alignment vertical="top"/>
    </xf>
    <xf numFmtId="165" fontId="15" fillId="0" borderId="0" xfId="0" applyFont="1" applyAlignment="1">
      <alignment horizontal="left" vertical="top"/>
    </xf>
    <xf numFmtId="165" fontId="16" fillId="0" borderId="0" xfId="0" applyFont="1">
      <alignment vertical="top"/>
    </xf>
    <xf numFmtId="165" fontId="17" fillId="0" borderId="0" xfId="0" applyFont="1">
      <alignment vertical="top"/>
    </xf>
    <xf numFmtId="165" fontId="5" fillId="0" borderId="0" xfId="0" applyFont="1">
      <alignment vertical="top"/>
    </xf>
    <xf numFmtId="177" fontId="2" fillId="8" borderId="0" xfId="0" applyNumberFormat="1" applyFont="1" applyFill="1" applyBorder="1" applyAlignment="1">
      <alignment horizontal="center" vertical="top"/>
    </xf>
    <xf numFmtId="165" fontId="18" fillId="0" borderId="0" xfId="13" applyNumberFormat="1" applyFont="1" applyAlignment="1">
      <alignment vertical="top"/>
    </xf>
    <xf numFmtId="167" fontId="5" fillId="0" borderId="0" xfId="8" applyFont="1">
      <alignment vertical="top"/>
    </xf>
    <xf numFmtId="166" fontId="2" fillId="0" borderId="5" xfId="0" applyNumberFormat="1" applyFont="1" applyBorder="1">
      <alignment vertical="top"/>
    </xf>
    <xf numFmtId="167" fontId="19" fillId="0" borderId="0" xfId="9" applyFont="1">
      <alignment vertical="top"/>
    </xf>
    <xf numFmtId="165" fontId="15" fillId="0" borderId="0" xfId="18" applyFont="1" applyAlignment="1">
      <alignment horizontal="left" vertical="top"/>
    </xf>
    <xf numFmtId="165" fontId="16" fillId="0" borderId="0" xfId="18" applyFont="1">
      <alignment vertical="top"/>
    </xf>
    <xf numFmtId="169" fontId="2" fillId="0" borderId="0" xfId="2">
      <alignment vertical="top"/>
    </xf>
    <xf numFmtId="165" fontId="10" fillId="0" borderId="6" xfId="18" applyFont="1" applyBorder="1">
      <alignment vertical="top"/>
    </xf>
    <xf numFmtId="167" fontId="5" fillId="4" borderId="1" xfId="16" applyNumberFormat="1" applyFill="1" applyProtection="1">
      <alignment vertical="top"/>
      <protection locked="0"/>
    </xf>
    <xf numFmtId="165" fontId="17" fillId="0" borderId="0" xfId="18" applyFont="1">
      <alignment vertical="top"/>
    </xf>
    <xf numFmtId="165" fontId="13" fillId="0" borderId="4" xfId="18" applyFont="1" applyBorder="1">
      <alignment vertical="top"/>
    </xf>
    <xf numFmtId="165" fontId="9" fillId="0" borderId="0" xfId="20" applyFont="1">
      <alignment vertical="top"/>
    </xf>
    <xf numFmtId="165" fontId="6" fillId="0" borderId="0" xfId="18" applyFont="1" applyAlignment="1">
      <alignment horizontal="right" vertical="top"/>
    </xf>
    <xf numFmtId="165" fontId="20" fillId="0" borderId="0" xfId="18" applyFont="1">
      <alignment vertical="top"/>
    </xf>
    <xf numFmtId="165" fontId="3" fillId="9" borderId="0" xfId="20" applyFill="1">
      <alignment vertical="top"/>
    </xf>
    <xf numFmtId="166" fontId="9" fillId="0" borderId="0" xfId="28" applyNumberFormat="1" applyFont="1" applyBorder="1">
      <alignment vertical="top"/>
    </xf>
    <xf numFmtId="165" fontId="21" fillId="0" borderId="0" xfId="18" applyFont="1">
      <alignment vertical="top"/>
    </xf>
    <xf numFmtId="165" fontId="14" fillId="0" borderId="0" xfId="0" applyFont="1">
      <alignment vertical="top"/>
    </xf>
    <xf numFmtId="165" fontId="2" fillId="0" borderId="0" xfId="0" applyFont="1" applyAlignment="1">
      <alignment horizontal="left" vertical="top"/>
    </xf>
    <xf numFmtId="165" fontId="21" fillId="0" borderId="0" xfId="0" applyFont="1" applyAlignment="1">
      <alignment horizontal="left" vertical="top"/>
    </xf>
    <xf numFmtId="165" fontId="22" fillId="0" borderId="0" xfId="0" applyFont="1">
      <alignment vertical="top"/>
    </xf>
    <xf numFmtId="165" fontId="5" fillId="0" borderId="0" xfId="0" applyFont="1" applyAlignment="1">
      <alignment horizontal="left" vertical="top"/>
    </xf>
    <xf numFmtId="165" fontId="23" fillId="0" borderId="0" xfId="0" applyFont="1">
      <alignment vertical="top"/>
    </xf>
    <xf numFmtId="165" fontId="21" fillId="0" borderId="0" xfId="0" applyFont="1">
      <alignment vertical="top"/>
    </xf>
    <xf numFmtId="165" fontId="0" fillId="0" borderId="0" xfId="0" applyAlignment="1">
      <alignment horizontal="left" vertical="top"/>
    </xf>
    <xf numFmtId="169" fontId="3" fillId="9" borderId="0" xfId="20" applyNumberFormat="1" applyFill="1">
      <alignment vertical="top"/>
    </xf>
    <xf numFmtId="169" fontId="9" fillId="0" borderId="0" xfId="20" applyNumberFormat="1" applyFont="1">
      <alignment vertical="top"/>
    </xf>
    <xf numFmtId="165" fontId="23" fillId="0" borderId="0" xfId="18" applyFont="1">
      <alignment vertical="top"/>
    </xf>
    <xf numFmtId="165" fontId="22" fillId="0" borderId="0" xfId="18" applyFont="1">
      <alignment vertical="top"/>
    </xf>
    <xf numFmtId="165" fontId="14" fillId="0" borderId="0" xfId="18" applyFont="1">
      <alignment vertical="top"/>
    </xf>
    <xf numFmtId="165" fontId="5" fillId="0" borderId="0" xfId="18" applyFont="1" applyAlignment="1">
      <alignment horizontal="right" vertical="top"/>
    </xf>
    <xf numFmtId="165" fontId="2" fillId="0" borderId="4" xfId="18" applyBorder="1">
      <alignment vertical="top"/>
    </xf>
    <xf numFmtId="165" fontId="7" fillId="0" borderId="6" xfId="18" applyFont="1" applyBorder="1" applyAlignment="1">
      <alignment horizontal="right" vertical="top"/>
    </xf>
    <xf numFmtId="165" fontId="2" fillId="0" borderId="6" xfId="18" applyBorder="1">
      <alignment vertical="top"/>
    </xf>
    <xf numFmtId="165" fontId="12" fillId="0" borderId="6" xfId="18" applyFont="1" applyBorder="1">
      <alignment vertical="top"/>
    </xf>
    <xf numFmtId="165" fontId="2" fillId="0" borderId="6" xfId="1" applyBorder="1">
      <alignment vertical="top"/>
    </xf>
    <xf numFmtId="165" fontId="2" fillId="0" borderId="0" xfId="18" applyAlignment="1">
      <alignment horizontal="right" vertical="top"/>
    </xf>
    <xf numFmtId="165" fontId="21" fillId="0" borderId="0" xfId="18" applyFont="1" applyAlignment="1">
      <alignment horizontal="right" vertical="top"/>
    </xf>
    <xf numFmtId="165" fontId="20" fillId="0" borderId="4" xfId="18" applyFont="1" applyBorder="1">
      <alignment vertical="top"/>
    </xf>
    <xf numFmtId="165" fontId="6" fillId="0" borderId="4" xfId="18" applyFont="1" applyBorder="1" applyAlignment="1">
      <alignment horizontal="right" vertical="top"/>
    </xf>
    <xf numFmtId="165" fontId="2" fillId="0" borderId="0" xfId="18" applyFont="1" applyAlignment="1">
      <alignment horizontal="right" vertical="top"/>
    </xf>
    <xf numFmtId="165" fontId="2" fillId="0" borderId="8" xfId="1" applyBorder="1">
      <alignment vertical="top"/>
    </xf>
    <xf numFmtId="165" fontId="3" fillId="0" borderId="0" xfId="20">
      <alignment vertical="top"/>
    </xf>
    <xf numFmtId="165" fontId="2" fillId="0" borderId="0" xfId="20" applyFont="1">
      <alignment vertical="top"/>
    </xf>
    <xf numFmtId="165" fontId="2" fillId="0" borderId="0" xfId="18" applyFont="1" applyFill="1" applyBorder="1">
      <alignment vertical="top"/>
    </xf>
    <xf numFmtId="171" fontId="24" fillId="0" borderId="0" xfId="34" applyFont="1" applyAlignment="1">
      <alignment horizontal="center" vertical="top"/>
    </xf>
    <xf numFmtId="167" fontId="9" fillId="0" borderId="0" xfId="20" applyNumberFormat="1" applyFont="1">
      <alignment vertical="top"/>
    </xf>
    <xf numFmtId="169" fontId="2" fillId="0" borderId="8" xfId="2" applyBorder="1">
      <alignment vertical="top"/>
    </xf>
    <xf numFmtId="169" fontId="3" fillId="0" borderId="0" xfId="20" applyNumberFormat="1">
      <alignment vertical="top"/>
    </xf>
    <xf numFmtId="167" fontId="3" fillId="9" borderId="0" xfId="20" applyNumberFormat="1" applyFill="1">
      <alignment vertical="top"/>
    </xf>
    <xf numFmtId="165" fontId="5" fillId="0" borderId="0" xfId="18" applyFont="1" applyFill="1">
      <alignment vertical="top"/>
    </xf>
    <xf numFmtId="165" fontId="25" fillId="0" borderId="0" xfId="0" applyFont="1">
      <alignment vertical="top"/>
    </xf>
    <xf numFmtId="165" fontId="8" fillId="0" borderId="0" xfId="18" applyFont="1" applyFill="1" applyBorder="1">
      <alignment vertical="top"/>
    </xf>
    <xf numFmtId="166" fontId="2" fillId="7" borderId="7" xfId="5" applyFont="1" applyFill="1" applyBorder="1" applyAlignment="1">
      <alignment horizontal="center" vertical="top"/>
    </xf>
    <xf numFmtId="165" fontId="8" fillId="0" borderId="0" xfId="20" applyFont="1">
      <alignment vertical="top"/>
    </xf>
    <xf numFmtId="165" fontId="2" fillId="0" borderId="0" xfId="18" applyFont="1" applyFill="1">
      <alignment vertical="top"/>
    </xf>
    <xf numFmtId="169" fontId="2" fillId="0" borderId="0" xfId="26" applyFont="1" applyFill="1" applyBorder="1">
      <alignment vertical="top"/>
    </xf>
    <xf numFmtId="165" fontId="9" fillId="0" borderId="0" xfId="0" applyFont="1">
      <alignment vertical="top"/>
    </xf>
    <xf numFmtId="166" fontId="2" fillId="0" borderId="0" xfId="28" applyNumberFormat="1" applyFont="1" applyBorder="1">
      <alignment vertical="top"/>
    </xf>
    <xf numFmtId="167" fontId="8" fillId="7" borderId="7" xfId="9" applyFont="1" applyFill="1" applyBorder="1" applyAlignment="1">
      <alignment horizontal="center" vertical="center"/>
    </xf>
    <xf numFmtId="165" fontId="26" fillId="0" borderId="0" xfId="0" applyFont="1">
      <alignment vertical="top"/>
    </xf>
    <xf numFmtId="169" fontId="7" fillId="0" borderId="0" xfId="26" applyFont="1" applyFill="1">
      <alignment vertical="top"/>
    </xf>
    <xf numFmtId="165" fontId="2" fillId="9" borderId="0" xfId="18" applyFont="1" applyFill="1">
      <alignment vertical="top"/>
    </xf>
    <xf numFmtId="169" fontId="2" fillId="10" borderId="0" xfId="26" applyFont="1" applyFill="1">
      <alignment vertical="top"/>
    </xf>
    <xf numFmtId="166" fontId="2" fillId="9" borderId="0" xfId="5" applyFont="1" applyFill="1">
      <alignment vertical="top"/>
    </xf>
    <xf numFmtId="165" fontId="2" fillId="10" borderId="0" xfId="18" applyFont="1" applyFill="1">
      <alignment vertical="top"/>
    </xf>
    <xf numFmtId="165" fontId="2" fillId="0" borderId="0" xfId="22">
      <alignment vertical="top"/>
    </xf>
    <xf numFmtId="169" fontId="2" fillId="9" borderId="0" xfId="26" applyFont="1" applyFill="1">
      <alignment vertical="top"/>
    </xf>
    <xf numFmtId="167" fontId="6" fillId="6" borderId="0" xfId="18" applyNumberFormat="1" applyFont="1" applyFill="1">
      <alignment vertical="top"/>
    </xf>
    <xf numFmtId="167" fontId="3" fillId="0" borderId="0" xfId="20" applyNumberFormat="1">
      <alignment vertical="top"/>
    </xf>
    <xf numFmtId="165" fontId="5" fillId="0" borderId="0" xfId="18" applyFont="1" applyFill="1" applyBorder="1">
      <alignment vertical="top"/>
    </xf>
    <xf numFmtId="167" fontId="2" fillId="0" borderId="8" xfId="4" applyBorder="1">
      <alignment vertical="top"/>
    </xf>
    <xf numFmtId="165" fontId="2" fillId="0" borderId="0" xfId="18" applyFont="1" applyFill="1" applyBorder="1" applyAlignment="1">
      <alignment horizontal="right" vertical="top"/>
    </xf>
    <xf numFmtId="165" fontId="2" fillId="0" borderId="0" xfId="18" applyFont="1" applyBorder="1">
      <alignment vertical="top"/>
    </xf>
    <xf numFmtId="166" fontId="2" fillId="7" borderId="9" xfId="5" applyFont="1" applyFill="1" applyBorder="1" applyAlignment="1">
      <alignment horizontal="center" vertical="top"/>
    </xf>
    <xf numFmtId="167" fontId="2" fillId="0" borderId="0" xfId="9">
      <alignment vertical="top"/>
    </xf>
    <xf numFmtId="165" fontId="27" fillId="0" borderId="0" xfId="0" applyFont="1">
      <alignment vertical="top"/>
    </xf>
    <xf numFmtId="165" fontId="17" fillId="0" borderId="0" xfId="18" applyFont="1" applyFill="1" applyBorder="1">
      <alignment vertical="top"/>
    </xf>
    <xf numFmtId="165" fontId="2" fillId="9" borderId="0" xfId="20" applyFont="1" applyFill="1">
      <alignment vertical="top"/>
    </xf>
    <xf numFmtId="169" fontId="8" fillId="0" borderId="0" xfId="26" applyFont="1" applyFill="1" applyBorder="1">
      <alignment vertical="top"/>
    </xf>
    <xf numFmtId="165" fontId="28" fillId="0" borderId="0" xfId="22" applyFont="1">
      <alignment vertical="top"/>
    </xf>
    <xf numFmtId="165" fontId="28" fillId="0" borderId="0" xfId="22" applyFont="1" applyFill="1">
      <alignment vertical="top"/>
    </xf>
    <xf numFmtId="169" fontId="0" fillId="0" borderId="0" xfId="26" applyFont="1">
      <alignment vertical="top"/>
    </xf>
    <xf numFmtId="166" fontId="2" fillId="0" borderId="0" xfId="18" applyNumberFormat="1" applyFont="1" applyFill="1">
      <alignment vertical="top"/>
    </xf>
    <xf numFmtId="169" fontId="2" fillId="0" borderId="0" xfId="20" applyNumberFormat="1" applyFont="1">
      <alignment vertical="top"/>
    </xf>
    <xf numFmtId="165" fontId="17" fillId="0" borderId="0" xfId="20" applyFont="1">
      <alignment vertical="top"/>
    </xf>
    <xf numFmtId="0" fontId="29" fillId="0" borderId="0" xfId="5" applyNumberFormat="1" applyFont="1" applyAlignment="1">
      <alignment horizontal="center" vertical="center"/>
    </xf>
    <xf numFmtId="173" fontId="2" fillId="11" borderId="7" xfId="18" applyNumberFormat="1" applyFont="1" applyFill="1" applyBorder="1" applyAlignment="1">
      <alignment horizontal="center" vertical="top"/>
    </xf>
    <xf numFmtId="165" fontId="5" fillId="10" borderId="0" xfId="18" applyFont="1" applyFill="1">
      <alignment vertical="top"/>
    </xf>
    <xf numFmtId="166" fontId="5" fillId="9" borderId="0" xfId="18" applyNumberFormat="1" applyFont="1" applyFill="1">
      <alignment vertical="top"/>
    </xf>
    <xf numFmtId="165" fontId="8" fillId="0" borderId="0" xfId="18" applyFont="1" applyBorder="1">
      <alignment vertical="top"/>
    </xf>
    <xf numFmtId="166" fontId="2" fillId="0" borderId="9" xfId="5" applyFont="1" applyFill="1" applyBorder="1" applyAlignment="1">
      <alignment horizontal="center" vertical="top"/>
    </xf>
    <xf numFmtId="165" fontId="2" fillId="0" borderId="0" xfId="20" applyFont="1" applyAlignment="1">
      <alignment horizontal="left" vertical="top"/>
    </xf>
    <xf numFmtId="165" fontId="2" fillId="0" borderId="0" xfId="18" applyFont="1" applyBorder="1" applyAlignment="1">
      <alignment horizontal="right" vertical="top"/>
    </xf>
    <xf numFmtId="165" fontId="2" fillId="7" borderId="7" xfId="18" applyFont="1" applyFill="1" applyBorder="1" applyAlignment="1">
      <alignment horizontal="center" vertical="top"/>
    </xf>
    <xf numFmtId="167" fontId="2" fillId="11" borderId="7" xfId="9" applyFont="1" applyFill="1" applyBorder="1" applyAlignment="1">
      <alignment horizontal="center" vertical="top"/>
    </xf>
    <xf numFmtId="165" fontId="30" fillId="0" borderId="0" xfId="20" applyFont="1">
      <alignment vertical="top"/>
    </xf>
    <xf numFmtId="168" fontId="2" fillId="10" borderId="0" xfId="12" applyFont="1" applyFill="1">
      <alignment vertical="top"/>
    </xf>
    <xf numFmtId="165" fontId="5" fillId="10" borderId="0" xfId="18" applyFont="1" applyFill="1" applyBorder="1">
      <alignment vertical="top"/>
    </xf>
    <xf numFmtId="168" fontId="2" fillId="0" borderId="0" xfId="12" applyFont="1" applyFill="1" applyBorder="1">
      <alignment vertical="top"/>
    </xf>
    <xf numFmtId="165" fontId="5" fillId="0" borderId="0" xfId="22" applyFont="1">
      <alignment vertical="top"/>
    </xf>
    <xf numFmtId="168" fontId="7" fillId="0" borderId="0" xfId="12" applyFont="1" applyFill="1">
      <alignment vertical="top"/>
    </xf>
    <xf numFmtId="165" fontId="5" fillId="11" borderId="0" xfId="18" applyFont="1" applyFill="1">
      <alignment vertical="top"/>
    </xf>
    <xf numFmtId="172" fontId="2" fillId="0" borderId="0" xfId="18" applyNumberFormat="1" applyFont="1" applyFill="1" applyBorder="1" applyAlignment="1">
      <alignment vertical="top" wrapText="1"/>
    </xf>
    <xf numFmtId="172" fontId="5" fillId="10" borderId="0" xfId="9" applyNumberFormat="1" applyFont="1" applyFill="1">
      <alignment vertical="top"/>
    </xf>
    <xf numFmtId="166" fontId="8" fillId="0" borderId="0" xfId="18" applyNumberFormat="1" applyFont="1" applyFill="1" applyBorder="1">
      <alignment vertical="top"/>
    </xf>
    <xf numFmtId="165" fontId="31" fillId="0" borderId="0" xfId="20" applyFont="1">
      <alignment vertical="top"/>
    </xf>
    <xf numFmtId="169" fontId="32" fillId="0" borderId="0" xfId="26" applyFont="1" applyFill="1">
      <alignment vertical="top"/>
    </xf>
    <xf numFmtId="167" fontId="5" fillId="0" borderId="0" xfId="32">
      <alignment vertical="top"/>
    </xf>
    <xf numFmtId="167" fontId="2" fillId="0" borderId="0" xfId="9" applyFont="1">
      <alignment vertical="top"/>
    </xf>
    <xf numFmtId="165" fontId="33" fillId="5" borderId="0" xfId="18" applyFont="1" applyFill="1">
      <alignment vertical="top"/>
    </xf>
    <xf numFmtId="165" fontId="5" fillId="7" borderId="1" xfId="17" applyFill="1">
      <alignment vertical="top"/>
    </xf>
    <xf numFmtId="165" fontId="2" fillId="0" borderId="0" xfId="18" applyFont="1" applyAlignment="1">
      <alignment horizontal="left" vertical="top"/>
    </xf>
    <xf numFmtId="165" fontId="8" fillId="0" borderId="0" xfId="20" applyFont="1" applyAlignment="1">
      <alignment vertical="top" wrapText="1"/>
    </xf>
    <xf numFmtId="165" fontId="34" fillId="0" borderId="0" xfId="0" applyFont="1">
      <alignment vertical="top"/>
    </xf>
    <xf numFmtId="168" fontId="8" fillId="0" borderId="0" xfId="12" applyFont="1" applyFill="1" applyBorder="1">
      <alignment vertical="top"/>
    </xf>
    <xf numFmtId="165" fontId="2" fillId="0" borderId="0" xfId="3">
      <alignment vertical="top"/>
    </xf>
    <xf numFmtId="165" fontId="8" fillId="0" borderId="4" xfId="18" applyFont="1" applyBorder="1">
      <alignment vertical="top"/>
    </xf>
    <xf numFmtId="165" fontId="9" fillId="9" borderId="0" xfId="20" applyFont="1" applyFill="1">
      <alignment vertical="top"/>
    </xf>
    <xf numFmtId="171" fontId="2" fillId="9" borderId="0" xfId="34" applyFont="1" applyFill="1">
      <alignment vertical="top"/>
    </xf>
    <xf numFmtId="169" fontId="2" fillId="0" borderId="0" xfId="26" applyFont="1" applyFill="1">
      <alignment vertical="top"/>
    </xf>
    <xf numFmtId="169" fontId="17" fillId="0" borderId="0" xfId="26" applyFont="1" applyBorder="1">
      <alignment vertical="top"/>
    </xf>
    <xf numFmtId="165" fontId="17" fillId="0" borderId="0" xfId="18" applyFont="1" applyBorder="1">
      <alignment vertical="top"/>
    </xf>
    <xf numFmtId="165" fontId="21" fillId="0" borderId="0" xfId="18" applyFont="1" applyAlignment="1">
      <alignment horizontal="left" vertical="top"/>
    </xf>
    <xf numFmtId="165" fontId="35" fillId="0" borderId="0" xfId="0" applyFont="1">
      <alignment vertical="top"/>
    </xf>
    <xf numFmtId="170" fontId="2" fillId="9" borderId="0" xfId="7" applyFont="1" applyFill="1">
      <alignment vertical="top"/>
    </xf>
    <xf numFmtId="165" fontId="8" fillId="9" borderId="0" xfId="18" applyFont="1" applyFill="1" applyBorder="1">
      <alignment vertical="top"/>
    </xf>
    <xf numFmtId="165" fontId="2" fillId="0" borderId="0" xfId="22" applyFont="1">
      <alignment vertical="top"/>
    </xf>
    <xf numFmtId="166" fontId="2" fillId="0" borderId="0" xfId="31">
      <alignment vertical="top"/>
    </xf>
    <xf numFmtId="165" fontId="5" fillId="7" borderId="1" xfId="15" applyFill="1">
      <alignment vertical="top"/>
    </xf>
    <xf numFmtId="165" fontId="2" fillId="5" borderId="0" xfId="18" applyFill="1">
      <alignment vertical="top"/>
    </xf>
    <xf numFmtId="165" fontId="5" fillId="0" borderId="0" xfId="18" applyFont="1" applyAlignment="1">
      <alignment horizontal="left" vertical="top"/>
    </xf>
    <xf numFmtId="168" fontId="2" fillId="9" borderId="0" xfId="12" applyFont="1" applyFill="1">
      <alignment vertical="top"/>
    </xf>
    <xf numFmtId="165" fontId="13" fillId="6" borderId="0" xfId="18" applyFont="1" applyFill="1">
      <alignment vertical="top"/>
    </xf>
    <xf numFmtId="165" fontId="36" fillId="0" borderId="0" xfId="0" applyFont="1">
      <alignment vertical="top"/>
    </xf>
    <xf numFmtId="164" fontId="5" fillId="7" borderId="1" xfId="16" applyFill="1">
      <alignment vertical="top"/>
    </xf>
    <xf numFmtId="9" fontId="2" fillId="0" borderId="0" xfId="30">
      <alignment vertical="top"/>
    </xf>
    <xf numFmtId="169" fontId="5" fillId="0" borderId="0" xfId="26" applyFont="1">
      <alignment vertical="top"/>
    </xf>
    <xf numFmtId="172" fontId="8" fillId="0" borderId="0" xfId="9" applyNumberFormat="1" applyFont="1" applyFill="1" applyBorder="1">
      <alignment vertical="top"/>
    </xf>
    <xf numFmtId="166" fontId="5" fillId="9" borderId="0" xfId="5" applyFont="1" applyFill="1" applyBorder="1">
      <alignment vertical="top"/>
    </xf>
    <xf numFmtId="169" fontId="2" fillId="0" borderId="0" xfId="26">
      <alignment vertical="top"/>
    </xf>
    <xf numFmtId="169" fontId="2" fillId="9" borderId="0" xfId="20" applyNumberFormat="1" applyFont="1" applyFill="1">
      <alignment vertical="top"/>
    </xf>
    <xf numFmtId="174" fontId="37" fillId="0" borderId="0" xfId="22" applyNumberFormat="1" applyFont="1" applyAlignment="1">
      <alignment horizontal="center" vertical="center"/>
    </xf>
    <xf numFmtId="167" fontId="2" fillId="9" borderId="0" xfId="9" applyFont="1" applyFill="1">
      <alignment vertical="top"/>
    </xf>
    <xf numFmtId="165" fontId="5" fillId="0" borderId="0" xfId="18" applyFont="1" applyFill="1" applyAlignment="1">
      <alignment horizontal="right" vertical="top"/>
    </xf>
    <xf numFmtId="166" fontId="8" fillId="9" borderId="0" xfId="18" applyNumberFormat="1" applyFont="1" applyFill="1" applyBorder="1">
      <alignment vertical="top"/>
    </xf>
    <xf numFmtId="165" fontId="38" fillId="5" borderId="0" xfId="18" applyFont="1" applyFill="1" applyAlignment="1">
      <alignment vertical="center"/>
    </xf>
    <xf numFmtId="165" fontId="17" fillId="0" borderId="0" xfId="22" applyFont="1" applyBorder="1">
      <alignment vertical="top"/>
    </xf>
    <xf numFmtId="167" fontId="8" fillId="9" borderId="0" xfId="9" applyFont="1" applyFill="1">
      <alignment vertical="top"/>
    </xf>
    <xf numFmtId="165" fontId="39" fillId="0" borderId="0" xfId="0" applyFont="1">
      <alignment vertical="top"/>
    </xf>
    <xf numFmtId="165" fontId="2" fillId="0" borderId="0" xfId="18" applyFont="1" applyFill="1" applyAlignment="1">
      <alignment horizontal="right" vertical="top"/>
    </xf>
    <xf numFmtId="165" fontId="28" fillId="9" borderId="0" xfId="22" applyFont="1" applyFill="1">
      <alignment vertical="top"/>
    </xf>
    <xf numFmtId="166" fontId="5" fillId="9" borderId="0" xfId="18" applyNumberFormat="1" applyFont="1" applyFill="1" applyAlignment="1">
      <alignment horizontal="left"/>
    </xf>
    <xf numFmtId="169" fontId="5" fillId="7" borderId="1" xfId="14" applyFill="1">
      <alignment vertical="top"/>
    </xf>
    <xf numFmtId="166" fontId="5" fillId="9" borderId="0" xfId="5" applyFont="1" applyFill="1">
      <alignment vertical="top"/>
    </xf>
    <xf numFmtId="165" fontId="5" fillId="0" borderId="0" xfId="22" applyFont="1" applyFill="1">
      <alignment vertical="top"/>
    </xf>
    <xf numFmtId="168" fontId="0" fillId="0" borderId="0" xfId="12" applyFont="1">
      <alignment vertical="top"/>
    </xf>
    <xf numFmtId="165" fontId="40" fillId="5" borderId="0" xfId="18" applyFont="1" applyFill="1">
      <alignment vertical="top"/>
    </xf>
    <xf numFmtId="165" fontId="0" fillId="0" borderId="3" xfId="0" applyBorder="1">
      <alignment vertical="top"/>
    </xf>
    <xf numFmtId="165" fontId="17" fillId="0" borderId="0" xfId="20" applyFont="1" applyAlignment="1">
      <alignment vertical="top" wrapText="1"/>
    </xf>
    <xf numFmtId="169" fontId="5" fillId="0" borderId="0" xfId="26" applyFont="1" applyFill="1">
      <alignment vertical="top"/>
    </xf>
    <xf numFmtId="171" fontId="41" fillId="0" borderId="7" xfId="34" applyFont="1" applyFill="1" applyBorder="1" applyAlignment="1">
      <alignment horizontal="center" vertical="top"/>
    </xf>
    <xf numFmtId="165" fontId="17" fillId="0" borderId="4" xfId="18" applyFont="1" applyBorder="1">
      <alignment vertical="top"/>
    </xf>
    <xf numFmtId="165" fontId="5" fillId="12" borderId="7" xfId="0" applyFont="1" applyFill="1" applyBorder="1" applyAlignment="1">
      <alignment horizontal="center" vertical="top"/>
    </xf>
    <xf numFmtId="167" fontId="5" fillId="0" borderId="0" xfId="9" applyFont="1">
      <alignment vertical="top"/>
    </xf>
    <xf numFmtId="166" fontId="17" fillId="9" borderId="0" xfId="18" applyNumberFormat="1" applyFont="1" applyFill="1" applyBorder="1">
      <alignment vertical="top"/>
    </xf>
    <xf numFmtId="165" fontId="14" fillId="0" borderId="0" xfId="18" applyFont="1" applyFill="1" applyBorder="1">
      <alignment vertical="top"/>
    </xf>
    <xf numFmtId="165" fontId="42" fillId="0" borderId="0" xfId="22" applyFont="1" applyBorder="1">
      <alignment vertical="top"/>
    </xf>
    <xf numFmtId="175" fontId="32" fillId="0" borderId="0" xfId="18" applyNumberFormat="1" applyFont="1" applyFill="1">
      <alignment vertical="top"/>
    </xf>
    <xf numFmtId="166" fontId="2" fillId="0" borderId="0" xfId="18" applyNumberFormat="1" applyFont="1" applyFill="1" applyBorder="1">
      <alignment vertical="top"/>
    </xf>
    <xf numFmtId="165" fontId="2" fillId="0" borderId="0" xfId="22" applyFill="1">
      <alignment vertical="top"/>
    </xf>
    <xf numFmtId="167" fontId="2" fillId="0" borderId="0" xfId="9" applyFont="1" applyBorder="1">
      <alignment vertical="top"/>
    </xf>
    <xf numFmtId="165" fontId="8" fillId="7" borderId="9" xfId="0" applyFont="1" applyFill="1" applyBorder="1" applyAlignment="1">
      <alignment horizontal="center" vertical="top"/>
    </xf>
    <xf numFmtId="172" fontId="17" fillId="0" borderId="0" xfId="9" applyNumberFormat="1" applyFont="1" applyFill="1" applyBorder="1">
      <alignment vertical="top"/>
    </xf>
    <xf numFmtId="165" fontId="2" fillId="9" borderId="0" xfId="18" applyFont="1" applyFill="1" applyAlignment="1">
      <alignment horizontal="right" vertical="top"/>
    </xf>
    <xf numFmtId="165" fontId="17" fillId="9" borderId="0" xfId="18" applyFont="1" applyFill="1" applyBorder="1">
      <alignment vertical="top"/>
    </xf>
    <xf numFmtId="167" fontId="2" fillId="0" borderId="10" xfId="9" applyFill="1" applyBorder="1" applyAlignment="1">
      <alignment horizontal="center" vertical="top"/>
    </xf>
    <xf numFmtId="165" fontId="16" fillId="9" borderId="0" xfId="18" applyFont="1" applyFill="1">
      <alignment vertical="top"/>
    </xf>
    <xf numFmtId="165" fontId="2" fillId="9" borderId="0" xfId="22" applyFont="1" applyFill="1">
      <alignment vertical="top"/>
    </xf>
    <xf numFmtId="169" fontId="2" fillId="0" borderId="0" xfId="26" applyFont="1">
      <alignment vertical="top"/>
    </xf>
    <xf numFmtId="165" fontId="2" fillId="0" borderId="0" xfId="22" applyFont="1" applyFill="1" applyBorder="1">
      <alignment vertical="top"/>
    </xf>
    <xf numFmtId="171" fontId="2" fillId="0" borderId="0" xfId="34" applyFont="1" applyAlignment="1">
      <alignment horizontal="center" vertical="top"/>
    </xf>
    <xf numFmtId="165" fontId="8" fillId="0" borderId="11" xfId="18" applyFont="1" applyBorder="1">
      <alignment vertical="top"/>
    </xf>
    <xf numFmtId="165" fontId="6" fillId="6" borderId="0" xfId="18" applyFont="1" applyFill="1" applyAlignment="1">
      <alignment horizontal="left" vertical="top"/>
    </xf>
    <xf numFmtId="166" fontId="5" fillId="9" borderId="0" xfId="18" applyNumberFormat="1" applyFont="1" applyFill="1" applyAlignment="1">
      <alignment horizontal="right"/>
    </xf>
    <xf numFmtId="164" fontId="2" fillId="0" borderId="0" xfId="0" applyNumberFormat="1" applyFont="1">
      <alignment vertical="top"/>
    </xf>
    <xf numFmtId="165" fontId="9" fillId="0" borderId="10" xfId="0" applyFont="1" applyBorder="1" applyAlignment="1">
      <alignment horizontal="center" vertical="top"/>
    </xf>
    <xf numFmtId="172" fontId="5" fillId="0" borderId="0" xfId="9" applyNumberFormat="1" applyFont="1">
      <alignment vertical="top"/>
    </xf>
    <xf numFmtId="172" fontId="5" fillId="0" borderId="7" xfId="9" applyNumberFormat="1" applyFont="1" applyFill="1" applyBorder="1" applyAlignment="1">
      <alignment horizontal="right" vertical="top"/>
    </xf>
    <xf numFmtId="165" fontId="8" fillId="9" borderId="0" xfId="18" applyFont="1" applyFill="1">
      <alignment vertical="top"/>
    </xf>
    <xf numFmtId="165" fontId="31" fillId="0" borderId="0" xfId="20" applyFont="1" applyAlignment="1">
      <alignment horizontal="left" vertical="top"/>
    </xf>
    <xf numFmtId="165" fontId="2" fillId="0" borderId="0" xfId="22" applyFont="1" applyFill="1">
      <alignment vertical="top"/>
    </xf>
    <xf numFmtId="167" fontId="17" fillId="0" borderId="0" xfId="9" applyFont="1">
      <alignment vertical="top"/>
    </xf>
    <xf numFmtId="166" fontId="43" fillId="0" borderId="0" xfId="18" applyNumberFormat="1" applyFont="1" applyFill="1">
      <alignment vertical="top"/>
    </xf>
    <xf numFmtId="166" fontId="2" fillId="0" borderId="0" xfId="5" applyFont="1" applyFill="1">
      <alignment vertical="top"/>
    </xf>
    <xf numFmtId="168" fontId="32" fillId="0" borderId="0" xfId="12" applyFont="1" applyFill="1">
      <alignment vertical="top"/>
    </xf>
    <xf numFmtId="165" fontId="8" fillId="0" borderId="0" xfId="18" applyFont="1" applyFill="1">
      <alignment vertical="top"/>
    </xf>
    <xf numFmtId="166" fontId="19" fillId="0" borderId="0" xfId="18" applyNumberFormat="1" applyFont="1" applyBorder="1" applyAlignment="1">
      <alignment horizontal="left" vertical="top"/>
    </xf>
    <xf numFmtId="165" fontId="28" fillId="12" borderId="7" xfId="22" applyFont="1" applyFill="1" applyBorder="1">
      <alignment vertical="top"/>
    </xf>
    <xf numFmtId="173" fontId="2" fillId="0" borderId="7" xfId="18" applyNumberFormat="1" applyFont="1" applyFill="1" applyBorder="1" applyAlignment="1">
      <alignment horizontal="center" vertical="top"/>
    </xf>
    <xf numFmtId="165" fontId="2" fillId="9" borderId="0" xfId="22" applyFill="1">
      <alignment vertical="top"/>
    </xf>
    <xf numFmtId="172" fontId="2" fillId="0" borderId="0" xfId="9" applyNumberFormat="1" applyFont="1" applyFill="1" applyBorder="1">
      <alignment vertical="top"/>
    </xf>
    <xf numFmtId="165" fontId="20" fillId="6" borderId="0" xfId="18" applyFont="1" applyFill="1">
      <alignment vertical="top"/>
    </xf>
    <xf numFmtId="165" fontId="23" fillId="0" borderId="0" xfId="18" applyFont="1" applyFill="1" applyBorder="1">
      <alignment vertical="top"/>
    </xf>
    <xf numFmtId="168" fontId="2" fillId="0" borderId="0" xfId="12">
      <alignment vertical="top"/>
    </xf>
    <xf numFmtId="165" fontId="44" fillId="0" borderId="0" xfId="20" applyFont="1">
      <alignment vertical="top"/>
    </xf>
    <xf numFmtId="166" fontId="2" fillId="0" borderId="0" xfId="18" applyNumberFormat="1" applyFont="1" applyFill="1" applyBorder="1" applyAlignment="1">
      <alignment horizontal="right" vertical="top"/>
    </xf>
    <xf numFmtId="165" fontId="5" fillId="0" borderId="7" xfId="18" applyFont="1" applyFill="1" applyBorder="1" applyAlignment="1">
      <alignment horizontal="right" vertical="top"/>
    </xf>
    <xf numFmtId="166" fontId="8" fillId="0" borderId="0" xfId="5" applyFont="1">
      <alignment vertical="top"/>
    </xf>
    <xf numFmtId="165" fontId="21" fillId="0" borderId="0" xfId="18" applyFont="1" applyBorder="1" applyAlignment="1">
      <alignment horizontal="right" vertical="top"/>
    </xf>
    <xf numFmtId="165" fontId="16" fillId="0" borderId="0" xfId="18" applyFont="1" applyFill="1">
      <alignment vertical="top"/>
    </xf>
    <xf numFmtId="165" fontId="8" fillId="0" borderId="10" xfId="0" applyFont="1" applyBorder="1" applyAlignment="1">
      <alignment horizontal="center" vertical="center"/>
    </xf>
    <xf numFmtId="165" fontId="21" fillId="0" borderId="0" xfId="18" applyFont="1" applyFill="1">
      <alignment vertical="top"/>
    </xf>
    <xf numFmtId="165" fontId="45" fillId="5" borderId="0" xfId="18" applyFont="1" applyFill="1">
      <alignment vertical="top"/>
    </xf>
    <xf numFmtId="165" fontId="5" fillId="0" borderId="0" xfId="22" applyFont="1" applyBorder="1">
      <alignment vertical="top"/>
    </xf>
    <xf numFmtId="165" fontId="6" fillId="6" borderId="0" xfId="18" applyFont="1" applyFill="1">
      <alignment vertical="top"/>
    </xf>
    <xf numFmtId="169" fontId="5" fillId="0" borderId="0" xfId="26" applyFont="1" applyBorder="1">
      <alignment vertical="top"/>
    </xf>
    <xf numFmtId="167" fontId="2" fillId="0" borderId="0" xfId="9" applyAlignment="1">
      <alignment horizontal="left" vertical="top"/>
    </xf>
    <xf numFmtId="166" fontId="14" fillId="0" borderId="0" xfId="5" applyFont="1" applyFill="1">
      <alignment vertical="top"/>
    </xf>
    <xf numFmtId="165" fontId="28" fillId="0" borderId="0" xfId="22" applyFont="1" applyBorder="1">
      <alignment vertical="top"/>
    </xf>
    <xf numFmtId="165" fontId="46" fillId="0" borderId="0" xfId="18" applyFont="1" applyFill="1">
      <alignment vertical="top"/>
    </xf>
    <xf numFmtId="165" fontId="8" fillId="7" borderId="7" xfId="0" applyFont="1" applyFill="1" applyBorder="1" applyAlignment="1">
      <alignment horizontal="center" vertical="top"/>
    </xf>
    <xf numFmtId="165" fontId="47" fillId="0" borderId="0" xfId="20" applyFont="1">
      <alignment vertical="top"/>
    </xf>
    <xf numFmtId="166" fontId="17" fillId="0" borderId="0" xfId="18" applyNumberFormat="1" applyFont="1" applyFill="1" applyBorder="1">
      <alignment vertical="top"/>
    </xf>
    <xf numFmtId="169" fontId="5" fillId="9" borderId="0" xfId="26" applyFont="1" applyFill="1">
      <alignment vertical="top"/>
    </xf>
    <xf numFmtId="165" fontId="21" fillId="0" borderId="0" xfId="22" applyFont="1">
      <alignment vertical="top"/>
    </xf>
    <xf numFmtId="165" fontId="5" fillId="9" borderId="0" xfId="18" applyFont="1" applyFill="1">
      <alignment vertical="top"/>
    </xf>
    <xf numFmtId="169" fontId="21" fillId="0" borderId="0" xfId="26" applyFont="1">
      <alignment vertical="top"/>
    </xf>
    <xf numFmtId="165" fontId="5" fillId="9" borderId="0" xfId="22" applyFont="1" applyFill="1">
      <alignment vertical="top"/>
    </xf>
    <xf numFmtId="165" fontId="2" fillId="0" borderId="0" xfId="20" applyFont="1" applyAlignment="1">
      <alignment horizontal="left" vertical="top" wrapText="1"/>
    </xf>
    <xf numFmtId="165" fontId="48" fillId="0" borderId="0" xfId="0" applyFont="1">
      <alignment vertical="top"/>
    </xf>
    <xf numFmtId="165" fontId="2" fillId="7" borderId="7" xfId="18" applyFont="1" applyFill="1" applyBorder="1" applyAlignment="1">
      <alignment horizontal="center" vertical="top" wrapText="1"/>
    </xf>
    <xf numFmtId="165" fontId="49" fillId="0" borderId="0" xfId="22" applyFont="1" applyBorder="1">
      <alignment vertical="top"/>
    </xf>
    <xf numFmtId="165" fontId="50" fillId="0" borderId="0" xfId="0" applyFont="1">
      <alignment vertical="top"/>
    </xf>
    <xf numFmtId="165" fontId="2" fillId="9" borderId="0" xfId="18" applyFont="1" applyFill="1" applyBorder="1" applyAlignment="1">
      <alignment horizontal="right" vertical="top"/>
    </xf>
    <xf numFmtId="165" fontId="2" fillId="0" borderId="4" xfId="18" applyBorder="1" applyAlignment="1">
      <alignment horizontal="right" vertical="top"/>
    </xf>
    <xf numFmtId="165" fontId="51" fillId="0" borderId="0" xfId="0" applyFont="1">
      <alignment vertical="top"/>
    </xf>
    <xf numFmtId="176" fontId="2" fillId="0" borderId="0" xfId="26" applyNumberFormat="1" applyFont="1" applyFill="1">
      <alignment vertical="top"/>
    </xf>
    <xf numFmtId="166" fontId="2" fillId="9" borderId="0" xfId="18" applyNumberFormat="1" applyFont="1" applyFill="1" applyBorder="1" applyAlignment="1">
      <alignment horizontal="right" vertical="top"/>
    </xf>
    <xf numFmtId="165" fontId="0" fillId="0" borderId="2" xfId="27" applyFont="1">
      <alignment vertical="top"/>
    </xf>
    <xf numFmtId="0" fontId="54" fillId="0" borderId="0" xfId="35"/>
    <xf numFmtId="165" fontId="54" fillId="0" borderId="0" xfId="35" applyNumberFormat="1"/>
    <xf numFmtId="165" fontId="55" fillId="0" borderId="0" xfId="35" applyNumberFormat="1" applyFont="1"/>
    <xf numFmtId="165" fontId="56" fillId="0" borderId="0" xfId="35" applyNumberFormat="1" applyFont="1"/>
    <xf numFmtId="0" fontId="54" fillId="13" borderId="0" xfId="35" applyFill="1"/>
    <xf numFmtId="165" fontId="57" fillId="0" borderId="0" xfId="35" applyNumberFormat="1" applyFont="1" applyAlignment="1">
      <alignment vertical="top"/>
    </xf>
    <xf numFmtId="166" fontId="58" fillId="0" borderId="0" xfId="35" applyNumberFormat="1" applyFont="1" applyAlignment="1">
      <alignment vertical="top"/>
    </xf>
    <xf numFmtId="166" fontId="59" fillId="0" borderId="0" xfId="35" applyNumberFormat="1" applyFont="1" applyAlignment="1">
      <alignment vertical="top"/>
    </xf>
    <xf numFmtId="165" fontId="57" fillId="0" borderId="0" xfId="35" applyNumberFormat="1" applyFont="1"/>
    <xf numFmtId="165" fontId="59" fillId="0" borderId="0" xfId="35" applyNumberFormat="1" applyFont="1" applyAlignment="1">
      <alignment vertical="top"/>
    </xf>
    <xf numFmtId="167" fontId="60" fillId="4" borderId="13" xfId="35" applyNumberFormat="1" applyFont="1" applyFill="1" applyBorder="1" applyAlignment="1">
      <alignment vertical="top"/>
    </xf>
    <xf numFmtId="167" fontId="59" fillId="0" borderId="0" xfId="35" applyNumberFormat="1" applyFont="1" applyAlignment="1">
      <alignment vertical="top"/>
    </xf>
    <xf numFmtId="165" fontId="60" fillId="4" borderId="13" xfId="35" applyNumberFormat="1" applyFont="1" applyFill="1" applyBorder="1" applyAlignment="1">
      <alignment vertical="top"/>
    </xf>
    <xf numFmtId="165" fontId="54" fillId="14" borderId="0" xfId="35" applyNumberFormat="1" applyFill="1"/>
    <xf numFmtId="169" fontId="59" fillId="0" borderId="0" xfId="35" applyNumberFormat="1" applyFont="1" applyAlignment="1">
      <alignment vertical="top"/>
    </xf>
    <xf numFmtId="169" fontId="58" fillId="0" borderId="14" xfId="35" applyNumberFormat="1" applyFont="1" applyBorder="1" applyAlignment="1">
      <alignment vertical="top"/>
    </xf>
    <xf numFmtId="165" fontId="58" fillId="0" borderId="14" xfId="35" applyNumberFormat="1" applyFont="1" applyBorder="1" applyAlignment="1">
      <alignment vertical="top"/>
    </xf>
    <xf numFmtId="165" fontId="54" fillId="15" borderId="0" xfId="35" applyNumberFormat="1" applyFill="1"/>
    <xf numFmtId="10" fontId="58" fillId="0" borderId="14" xfId="35" applyNumberFormat="1" applyFont="1" applyBorder="1" applyAlignment="1">
      <alignment vertical="top"/>
    </xf>
    <xf numFmtId="165" fontId="54" fillId="16" borderId="0" xfId="35" applyNumberFormat="1" applyFill="1"/>
    <xf numFmtId="0" fontId="54" fillId="6" borderId="0" xfId="35" applyFill="1"/>
    <xf numFmtId="169" fontId="58" fillId="0" borderId="0" xfId="35" applyNumberFormat="1" applyFont="1" applyAlignment="1">
      <alignment vertical="top"/>
    </xf>
    <xf numFmtId="0" fontId="61" fillId="0" borderId="0" xfId="35" applyFont="1"/>
    <xf numFmtId="165" fontId="56" fillId="0" borderId="0" xfId="35" applyNumberFormat="1" applyFont="1" applyAlignment="1">
      <alignment vertical="top"/>
    </xf>
    <xf numFmtId="3" fontId="61" fillId="0" borderId="12" xfId="35" applyNumberFormat="1" applyFont="1" applyBorder="1" applyAlignment="1">
      <alignment horizontal="right"/>
    </xf>
    <xf numFmtId="3" fontId="61" fillId="0" borderId="0" xfId="35" applyNumberFormat="1" applyFont="1" applyAlignment="1">
      <alignment horizontal="right"/>
    </xf>
    <xf numFmtId="165" fontId="61" fillId="0" borderId="0" xfId="35" applyNumberFormat="1" applyFont="1" applyAlignment="1">
      <alignment horizontal="right"/>
    </xf>
    <xf numFmtId="1" fontId="61" fillId="0" borderId="12" xfId="35" applyNumberFormat="1" applyFont="1" applyBorder="1"/>
    <xf numFmtId="1" fontId="61" fillId="0" borderId="0" xfId="35" applyNumberFormat="1" applyFont="1"/>
    <xf numFmtId="0" fontId="54" fillId="0" borderId="12" xfId="35" applyBorder="1"/>
    <xf numFmtId="0" fontId="61" fillId="0" borderId="12" xfId="35" applyFont="1" applyBorder="1"/>
    <xf numFmtId="165" fontId="62" fillId="0" borderId="0" xfId="35" applyNumberFormat="1" applyFont="1"/>
    <xf numFmtId="0" fontId="1" fillId="0" borderId="0" xfId="35" applyFont="1"/>
    <xf numFmtId="165" fontId="1" fillId="0" borderId="0" xfId="35" applyNumberFormat="1" applyFont="1" applyAlignment="1">
      <alignment vertical="top"/>
    </xf>
    <xf numFmtId="165" fontId="53" fillId="0" borderId="0" xfId="35" applyNumberFormat="1" applyFont="1" applyAlignment="1">
      <alignment vertical="top"/>
    </xf>
    <xf numFmtId="165" fontId="63" fillId="0" borderId="0" xfId="35" applyNumberFormat="1" applyFont="1"/>
    <xf numFmtId="3" fontId="63" fillId="0" borderId="0" xfId="35" applyNumberFormat="1" applyFont="1"/>
    <xf numFmtId="165" fontId="63" fillId="0" borderId="12" xfId="35" applyNumberFormat="1" applyFont="1" applyBorder="1"/>
    <xf numFmtId="0" fontId="1" fillId="0" borderId="12" xfId="35" applyFont="1" applyBorder="1"/>
    <xf numFmtId="3" fontId="63" fillId="0" borderId="12" xfId="35" applyNumberFormat="1" applyFont="1" applyBorder="1"/>
    <xf numFmtId="165" fontId="1" fillId="0" borderId="12" xfId="35" applyNumberFormat="1" applyFont="1" applyBorder="1" applyAlignment="1">
      <alignment vertical="top"/>
    </xf>
    <xf numFmtId="3" fontId="62" fillId="0" borderId="0" xfId="35" applyNumberFormat="1" applyFont="1"/>
    <xf numFmtId="165" fontId="1" fillId="0" borderId="0" xfId="35" applyNumberFormat="1" applyFont="1"/>
    <xf numFmtId="0" fontId="1" fillId="0" borderId="0" xfId="35" applyFont="1" applyAlignment="1">
      <alignment horizontal="right"/>
    </xf>
    <xf numFmtId="165" fontId="53" fillId="0" borderId="0" xfId="35" applyNumberFormat="1" applyFont="1" applyAlignment="1">
      <alignment horizontal="left"/>
    </xf>
    <xf numFmtId="180" fontId="53" fillId="0" borderId="0" xfId="35" applyNumberFormat="1" applyFont="1" applyAlignment="1">
      <alignment horizontal="right"/>
    </xf>
    <xf numFmtId="165" fontId="53" fillId="0" borderId="0" xfId="35" applyNumberFormat="1" applyFont="1"/>
    <xf numFmtId="180" fontId="53" fillId="0" borderId="0" xfId="35" applyNumberFormat="1" applyFont="1"/>
    <xf numFmtId="1" fontId="54" fillId="0" borderId="0" xfId="35" applyNumberFormat="1"/>
  </cellXfs>
  <cellStyles count="36">
    <cellStyle name="Calcs" xfId="1" xr:uid="{00000000-0005-0000-0000-000000000000}"/>
    <cellStyle name="Calcs%" xfId="2" xr:uid="{00000000-0005-0000-0000-000001000000}"/>
    <cellStyle name="CalcsCurrency" xfId="3" xr:uid="{00000000-0005-0000-0000-000002000000}"/>
    <cellStyle name="CalcsDate" xfId="4" xr:uid="{00000000-0005-0000-0000-000003000000}"/>
    <cellStyle name="Comma 2" xfId="5" xr:uid="{00000000-0005-0000-0000-000004000000}"/>
    <cellStyle name="DateLong" xfId="6" xr:uid="{00000000-0005-0000-0000-000005000000}"/>
    <cellStyle name="DateLong 2" xfId="7" xr:uid="{00000000-0005-0000-0000-000006000000}"/>
    <cellStyle name="DateShort" xfId="8" xr:uid="{00000000-0005-0000-0000-000007000000}"/>
    <cellStyle name="DateShort 2" xfId="9" xr:uid="{00000000-0005-0000-0000-000008000000}"/>
    <cellStyle name="Factor" xfId="10" xr:uid="{00000000-0005-0000-0000-000009000000}"/>
    <cellStyle name="Factor 2" xfId="11" xr:uid="{00000000-0005-0000-0000-00000A000000}"/>
    <cellStyle name="Factor 3" xfId="12" xr:uid="{00000000-0005-0000-0000-00000B000000}"/>
    <cellStyle name="Hyperlink" xfId="13" builtinId="8"/>
    <cellStyle name="Input%" xfId="14" xr:uid="{00000000-0005-0000-0000-00000D000000}"/>
    <cellStyle name="InputCurrency" xfId="15" xr:uid="{00000000-0005-0000-0000-00000E000000}"/>
    <cellStyle name="InputDate" xfId="16" xr:uid="{00000000-0005-0000-0000-00000F000000}"/>
    <cellStyle name="InputStyle" xfId="17" xr:uid="{00000000-0005-0000-0000-000010000000}"/>
    <cellStyle name="Normal" xfId="0" builtinId="0" customBuiltin="1"/>
    <cellStyle name="Normal 2" xfId="18" xr:uid="{00000000-0005-0000-0000-000012000000}"/>
    <cellStyle name="Normal 3" xfId="19" xr:uid="{00000000-0005-0000-0000-000013000000}"/>
    <cellStyle name="Normal 4" xfId="20" xr:uid="{00000000-0005-0000-0000-000014000000}"/>
    <cellStyle name="Normal 5" xfId="21" xr:uid="{00000000-0005-0000-0000-000015000000}"/>
    <cellStyle name="Normal 6" xfId="22" xr:uid="{00000000-0005-0000-0000-000016000000}"/>
    <cellStyle name="Normal 7" xfId="35" xr:uid="{7A49A352-D01C-435C-889F-4EB842E8F721}"/>
    <cellStyle name="Percent" xfId="23" builtinId="5" customBuiltin="1"/>
    <cellStyle name="Percent 2" xfId="24" xr:uid="{00000000-0005-0000-0000-000018000000}"/>
    <cellStyle name="Percent 3" xfId="25" xr:uid="{00000000-0005-0000-0000-000019000000}"/>
    <cellStyle name="Percent 4" xfId="26" xr:uid="{00000000-0005-0000-0000-00001A000000}"/>
    <cellStyle name="ReportSubTotal" xfId="27" xr:uid="{00000000-0005-0000-0000-00001B000000}"/>
    <cellStyle name="ReportTotal" xfId="28" xr:uid="{00000000-0005-0000-0000-00001C000000}"/>
    <cellStyle name="Result" xfId="29" xr:uid="{00000000-0005-0000-0000-00001D000000}"/>
    <cellStyle name="Result%" xfId="30" xr:uid="{00000000-0005-0000-0000-00001E000000}"/>
    <cellStyle name="ResultCurrency" xfId="31" xr:uid="{00000000-0005-0000-0000-00001F000000}"/>
    <cellStyle name="ResultDate" xfId="32" xr:uid="{00000000-0005-0000-0000-000020000000}"/>
    <cellStyle name="Year" xfId="33" xr:uid="{00000000-0005-0000-0000-000021000000}"/>
    <cellStyle name="Year 2" xfId="34" xr:uid="{00000000-0005-0000-0000-000022000000}"/>
  </cellStyles>
  <dxfs count="283">
    <dxf>
      <font>
        <color rgb="FFFFCC00"/>
      </font>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indexed="44"/>
        </patternFill>
      </fill>
    </dxf>
    <dxf>
      <fill>
        <patternFill>
          <bgColor indexed="47"/>
        </patternFill>
      </fill>
    </dxf>
    <dxf>
      <fill>
        <patternFill>
          <bgColor theme="7" tint="0.39994506668294322"/>
        </patternFill>
      </fill>
    </dxf>
    <dxf>
      <fill>
        <patternFill>
          <bgColor theme="9" tint="-0.24991607409894101"/>
        </patternFill>
      </fill>
    </dxf>
    <dxf>
      <fill>
        <patternFill>
          <bgColor theme="8"/>
        </patternFill>
      </fill>
    </dxf>
    <dxf>
      <fill>
        <patternFill>
          <bgColor indexed="51"/>
        </patternFill>
      </fill>
    </dxf>
    <dxf>
      <fill>
        <patternFill>
          <bgColor indexed="51"/>
        </patternFill>
      </fill>
    </dxf>
    <dxf>
      <fill>
        <patternFill>
          <bgColor theme="0"/>
        </patternFill>
      </fill>
    </dxf>
    <dxf>
      <font>
        <color rgb="FFFFCC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drawings/drawing1.xml><?xml version="1.0" encoding="utf-8"?>
<xdr:wsDr xmlns:xdr="http://schemas.openxmlformats.org/drawingml/2006/spreadsheetDrawing" xmlns:a="http://schemas.openxmlformats.org/drawingml/2006/main">
  <xdr:twoCellAnchor>
    <xdr:from>
      <xdr:col>0</xdr:col>
      <xdr:colOff>638175</xdr:colOff>
      <xdr:row>15</xdr:row>
      <xdr:rowOff>28575</xdr:rowOff>
    </xdr:from>
    <xdr:to>
      <xdr:col>8</xdr:col>
      <xdr:colOff>531050</xdr:colOff>
      <xdr:row>34</xdr:row>
      <xdr:rowOff>156129</xdr:rowOff>
    </xdr:to>
    <xdr:sp macro="" textlink="">
      <xdr:nvSpPr>
        <xdr:cNvPr id="2" name="TextBox 2">
          <a:extLst>
            <a:ext uri="{FF2B5EF4-FFF2-40B4-BE49-F238E27FC236}">
              <a16:creationId xmlns:a16="http://schemas.microsoft.com/office/drawing/2014/main" id="{00000000-0008-0000-0000-000002000000}"/>
            </a:ext>
          </a:extLst>
        </xdr:cNvPr>
        <xdr:cNvSpPr txBox="1"/>
      </xdr:nvSpPr>
      <xdr:spPr>
        <a:xfrm>
          <a:off x="638175" y="2734945"/>
          <a:ext cx="9350084" cy="3264454"/>
        </a:xfrm>
        <a:prstGeom prst="rect">
          <a:avLst/>
        </a:prstGeom>
        <a:noFill/>
        <a:ln>
          <a:noFill/>
        </a:ln>
      </xdr:spPr>
      <xdr:txBody>
        <a:bodyPr lIns="27432" tIns="22860" rIns="0" bIns="0" rtlCol="0"/>
        <a:lstStyle/>
        <a:p>
          <a:pPr algn="l"/>
          <a:r>
            <a:rPr lang="en-US" sz="1000" b="1">
              <a:solidFill>
                <a:srgbClr val="000000"/>
              </a:solidFill>
              <a:latin typeface="Circular Pro Book"/>
            </a:rPr>
            <a:t>Disclaimer</a:t>
          </a:r>
        </a:p>
        <a:p>
          <a:pPr algn="l"/>
          <a:endParaRPr lang="en-US" sz="900">
            <a:solidFill>
              <a:srgbClr val="000000"/>
            </a:solidFill>
            <a:latin typeface="Circular Pro Book"/>
          </a:endParaRPr>
        </a:p>
        <a:p>
          <a:pPr algn="l"/>
          <a:r>
            <a:rPr lang="en-US" sz="900">
              <a:solidFill>
                <a:srgbClr val="000000"/>
              </a:solidFill>
              <a:latin typeface="Circular Pro Book"/>
            </a:rPr>
            <a:t>This Financial Model (‘the Model’) has been constructed for a specific purpose and is not intended for distribution to third parties. Third parties who obtain copies of the Model should be aware of the following:</a:t>
          </a:r>
        </a:p>
        <a:p>
          <a:pPr algn="l"/>
          <a:endParaRPr lang="en-US" sz="900">
            <a:solidFill>
              <a:srgbClr val="000000"/>
            </a:solidFill>
            <a:latin typeface="Circular Pro Book"/>
          </a:endParaRPr>
        </a:p>
        <a:p>
          <a:pPr algn="l"/>
          <a:r>
            <a:rPr lang="en-US" sz="900">
              <a:solidFill>
                <a:srgbClr val="000000"/>
              </a:solidFill>
              <a:latin typeface="Circular Pro Book"/>
            </a:rPr>
            <a:t>-  the Model may not be suitable for purposes, other than the specific purpose for which it was designed, and the interests of third parties may not have been anticipated;</a:t>
          </a:r>
        </a:p>
        <a:p>
          <a:pPr algn="l"/>
          <a:endParaRPr lang="en-US" sz="900">
            <a:solidFill>
              <a:srgbClr val="000000"/>
            </a:solidFill>
            <a:latin typeface="Circular Pro Book"/>
          </a:endParaRPr>
        </a:p>
        <a:p>
          <a:pPr algn="l"/>
          <a:r>
            <a:rPr lang="en-US" sz="900">
              <a:solidFill>
                <a:srgbClr val="000000"/>
              </a:solidFill>
              <a:latin typeface="Circular Pro Book"/>
            </a:rPr>
            <a:t>-  the Model was not intended for use by third parties and may not be designed so that it can be readily operated in a correct manner by such parties;</a:t>
          </a:r>
        </a:p>
        <a:p>
          <a:pPr algn="l"/>
          <a:endParaRPr lang="en-US" sz="900">
            <a:solidFill>
              <a:srgbClr val="000000"/>
            </a:solidFill>
            <a:latin typeface="Circular Pro Book"/>
          </a:endParaRPr>
        </a:p>
        <a:p>
          <a:pPr algn="l"/>
          <a:r>
            <a:rPr lang="en-US" sz="900">
              <a:solidFill>
                <a:srgbClr val="000000"/>
              </a:solidFill>
              <a:latin typeface="Circular Pro Book"/>
            </a:rPr>
            <a:t>-  the Model may be development version and may not be complete or, in the event that development of the Model has concluded, material events may have occurred since completion, which are not reflected in the Model;</a:t>
          </a:r>
        </a:p>
        <a:p>
          <a:pPr algn="l"/>
          <a:endParaRPr lang="en-US" sz="900">
            <a:solidFill>
              <a:srgbClr val="000000"/>
            </a:solidFill>
            <a:latin typeface="Circular Pro Book"/>
          </a:endParaRPr>
        </a:p>
        <a:p>
          <a:pPr algn="l"/>
          <a:r>
            <a:rPr lang="en-US" sz="900">
              <a:solidFill>
                <a:srgbClr val="000000"/>
              </a:solidFill>
              <a:latin typeface="Circular Pro Book"/>
            </a:rPr>
            <a:t>-  the Model may not have been subject to independent testing and where it has been tested, this may not provide an appropriate degree of assurance for all possible uses of the Model.</a:t>
          </a:r>
        </a:p>
        <a:p>
          <a:pPr algn="l"/>
          <a:endParaRPr lang="en-US" sz="900">
            <a:solidFill>
              <a:srgbClr val="000000"/>
            </a:solidFill>
            <a:latin typeface="Circular Pro Book"/>
          </a:endParaRPr>
        </a:p>
        <a:p>
          <a:pPr algn="l"/>
          <a:r>
            <a:rPr lang="en-US" sz="900">
              <a:solidFill>
                <a:srgbClr val="000000"/>
              </a:solidFill>
              <a:latin typeface="Circular Pro Book"/>
            </a:rPr>
            <a:t>Accordingly, third party recipients of this Model use it entirely at their own risk and, in the absence of express written consent, no responsibility is taken or accepted for any losses which may result therefrom, including direct or indirect consequences of computer viruses.</a:t>
          </a:r>
        </a:p>
        <a:p>
          <a:pPr algn="l"/>
          <a:endParaRPr lang="en-US" sz="900" i="1">
            <a:solidFill>
              <a:srgbClr val="000000"/>
            </a:solidFill>
            <a:latin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customProperty" Target="../customProperty1.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customProperty" Target="../customProperty6.bin"/></Relationships>
</file>

<file path=xl/worksheets/_rels/sheet11.xml.rels><?xml version="1.0" encoding="UTF-8" standalone="yes"?>
<Relationships xmlns="http://schemas.openxmlformats.org/package/2006/relationships"><Relationship Id="rId3" Type="http://schemas.openxmlformats.org/officeDocument/2006/relationships/customProperty" Target="../customProperty11.bin"/><Relationship Id="rId2" Type="http://schemas.openxmlformats.org/officeDocument/2006/relationships/customProperty" Target="../customProperty10.bin"/><Relationship Id="rId1" Type="http://schemas.openxmlformats.org/officeDocument/2006/relationships/customProperty" Target="../customProperty9.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customProperty" Target="../customProperty16.bin"/><Relationship Id="rId1" Type="http://schemas.openxmlformats.org/officeDocument/2006/relationships/customProperty" Target="../customProperty15.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customProperty" Target="../customProperty1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23.bin"/><Relationship Id="rId2" Type="http://schemas.openxmlformats.org/officeDocument/2006/relationships/customProperty" Target="../customProperty22.bin"/><Relationship Id="rId1" Type="http://schemas.openxmlformats.org/officeDocument/2006/relationships/customProperty" Target="../customProperty21.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customProperty" Target="../customProperty24.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29.bin"/><Relationship Id="rId2" Type="http://schemas.openxmlformats.org/officeDocument/2006/relationships/customProperty" Target="../customProperty28.bin"/><Relationship Id="rId1" Type="http://schemas.openxmlformats.org/officeDocument/2006/relationships/customProperty" Target="../customProperty27.bin"/></Relationships>
</file>

<file path=xl/worksheets/_rels/sheet18.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customProperty" Target="../customProperty30.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5.bin"/><Relationship Id="rId2" Type="http://schemas.openxmlformats.org/officeDocument/2006/relationships/customProperty" Target="../customProperty34.bin"/><Relationship Id="rId1" Type="http://schemas.openxmlformats.org/officeDocument/2006/relationships/customProperty" Target="../customProperty33.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customProperty" Target="../customProperty36.bin"/></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41.bin"/><Relationship Id="rId2" Type="http://schemas.openxmlformats.org/officeDocument/2006/relationships/customProperty" Target="../customProperty40.bin"/><Relationship Id="rId1" Type="http://schemas.openxmlformats.org/officeDocument/2006/relationships/customProperty" Target="../customProperty39.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customProperty" Target="../customProperty42.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7.bin"/><Relationship Id="rId2" Type="http://schemas.openxmlformats.org/officeDocument/2006/relationships/customProperty" Target="../customProperty46.bin"/><Relationship Id="rId1" Type="http://schemas.openxmlformats.org/officeDocument/2006/relationships/customProperty" Target="../customProperty45.bin"/></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50.bin"/><Relationship Id="rId2" Type="http://schemas.openxmlformats.org/officeDocument/2006/relationships/customProperty" Target="../customProperty49.bin"/><Relationship Id="rId1" Type="http://schemas.openxmlformats.org/officeDocument/2006/relationships/customProperty" Target="../customProperty48.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53.bin"/><Relationship Id="rId2" Type="http://schemas.openxmlformats.org/officeDocument/2006/relationships/customProperty" Target="../customProperty52.bin"/><Relationship Id="rId1" Type="http://schemas.openxmlformats.org/officeDocument/2006/relationships/customProperty" Target="../customProperty51.bin"/></Relationships>
</file>

<file path=xl/worksheets/_rels/sheet26.xml.rels><?xml version="1.0" encoding="UTF-8" standalone="yes"?>
<Relationships xmlns="http://schemas.openxmlformats.org/package/2006/relationships"><Relationship Id="rId3" Type="http://schemas.openxmlformats.org/officeDocument/2006/relationships/customProperty" Target="../customProperty56.bin"/><Relationship Id="rId2" Type="http://schemas.openxmlformats.org/officeDocument/2006/relationships/customProperty" Target="../customProperty55.bin"/><Relationship Id="rId1" Type="http://schemas.openxmlformats.org/officeDocument/2006/relationships/customProperty" Target="../customProperty54.bin"/></Relationships>
</file>

<file path=xl/worksheets/_rels/sheet27.xml.rels><?xml version="1.0" encoding="UTF-8" standalone="yes"?>
<Relationships xmlns="http://schemas.openxmlformats.org/package/2006/relationships"><Relationship Id="rId2" Type="http://schemas.openxmlformats.org/officeDocument/2006/relationships/customProperty" Target="../customProperty58.bin"/><Relationship Id="rId1" Type="http://schemas.openxmlformats.org/officeDocument/2006/relationships/customProperty" Target="../customProperty57.bin"/></Relationships>
</file>

<file path=xl/worksheets/_rels/sheet28.xml.rels><?xml version="1.0" encoding="UTF-8" standalone="yes"?>
<Relationships xmlns="http://schemas.openxmlformats.org/package/2006/relationships"><Relationship Id="rId2" Type="http://schemas.openxmlformats.org/officeDocument/2006/relationships/customProperty" Target="../customProperty60.bin"/><Relationship Id="rId1" Type="http://schemas.openxmlformats.org/officeDocument/2006/relationships/customProperty" Target="../customProperty59.bin"/></Relationships>
</file>

<file path=xl/worksheets/_rels/sheet29.xml.rels><?xml version="1.0" encoding="UTF-8" standalone="yes"?>
<Relationships xmlns="http://schemas.openxmlformats.org/package/2006/relationships"><Relationship Id="rId2" Type="http://schemas.openxmlformats.org/officeDocument/2006/relationships/customProperty" Target="../customProperty62.bin"/><Relationship Id="rId1" Type="http://schemas.openxmlformats.org/officeDocument/2006/relationships/customProperty" Target="../customProperty61.bin"/></Relationships>
</file>

<file path=xl/worksheets/_rels/sheet30.xml.rels><?xml version="1.0" encoding="UTF-8" standalone="yes"?>
<Relationships xmlns="http://schemas.openxmlformats.org/package/2006/relationships"><Relationship Id="rId2" Type="http://schemas.openxmlformats.org/officeDocument/2006/relationships/customProperty" Target="../customProperty64.bin"/><Relationship Id="rId1" Type="http://schemas.openxmlformats.org/officeDocument/2006/relationships/customProperty" Target="../customProperty63.bin"/></Relationships>
</file>

<file path=xl/worksheets/_rels/sheet31.xml.rels><?xml version="1.0" encoding="UTF-8" standalone="yes"?>
<Relationships xmlns="http://schemas.openxmlformats.org/package/2006/relationships"><Relationship Id="rId2" Type="http://schemas.openxmlformats.org/officeDocument/2006/relationships/customProperty" Target="../customProperty66.bin"/><Relationship Id="rId1" Type="http://schemas.openxmlformats.org/officeDocument/2006/relationships/customProperty" Target="../customProperty65.bin"/></Relationships>
</file>

<file path=xl/worksheets/_rels/sheet32.xml.rels><?xml version="1.0" encoding="UTF-8" standalone="yes"?>
<Relationships xmlns="http://schemas.openxmlformats.org/package/2006/relationships"><Relationship Id="rId2" Type="http://schemas.openxmlformats.org/officeDocument/2006/relationships/customProperty" Target="../customProperty68.bin"/><Relationship Id="rId1" Type="http://schemas.openxmlformats.org/officeDocument/2006/relationships/customProperty" Target="../customProperty67.bin"/></Relationships>
</file>

<file path=xl/worksheets/_rels/sheet33.xml.rels><?xml version="1.0" encoding="UTF-8" standalone="yes"?>
<Relationships xmlns="http://schemas.openxmlformats.org/package/2006/relationships"><Relationship Id="rId2" Type="http://schemas.openxmlformats.org/officeDocument/2006/relationships/customProperty" Target="../customProperty70.bin"/><Relationship Id="rId1" Type="http://schemas.openxmlformats.org/officeDocument/2006/relationships/customProperty" Target="../customProperty69.bin"/></Relationships>
</file>

<file path=xl/worksheets/_rels/sheet34.xml.rels><?xml version="1.0" encoding="UTF-8" standalone="yes"?>
<Relationships xmlns="http://schemas.openxmlformats.org/package/2006/relationships"><Relationship Id="rId2" Type="http://schemas.openxmlformats.org/officeDocument/2006/relationships/customProperty" Target="../customProperty72.bin"/><Relationship Id="rId1" Type="http://schemas.openxmlformats.org/officeDocument/2006/relationships/customProperty" Target="../customProperty71.bin"/></Relationships>
</file>

<file path=xl/worksheets/_rels/sheet35.xml.rels><?xml version="1.0" encoding="UTF-8" standalone="yes"?>
<Relationships xmlns="http://schemas.openxmlformats.org/package/2006/relationships"><Relationship Id="rId2" Type="http://schemas.openxmlformats.org/officeDocument/2006/relationships/customProperty" Target="../customProperty74.bin"/><Relationship Id="rId1" Type="http://schemas.openxmlformats.org/officeDocument/2006/relationships/customProperty" Target="../customProperty73.bin"/></Relationships>
</file>

<file path=xl/worksheets/_rels/sheet36.xml.rels><?xml version="1.0" encoding="UTF-8" standalone="yes"?>
<Relationships xmlns="http://schemas.openxmlformats.org/package/2006/relationships"><Relationship Id="rId2" Type="http://schemas.openxmlformats.org/officeDocument/2006/relationships/customProperty" Target="../customProperty76.bin"/><Relationship Id="rId1" Type="http://schemas.openxmlformats.org/officeDocument/2006/relationships/customProperty" Target="../customProperty75.bin"/></Relationships>
</file>

<file path=xl/worksheets/_rels/sheet37.xml.rels><?xml version="1.0" encoding="UTF-8" standalone="yes"?>
<Relationships xmlns="http://schemas.openxmlformats.org/package/2006/relationships"><Relationship Id="rId2" Type="http://schemas.openxmlformats.org/officeDocument/2006/relationships/customProperty" Target="../customProperty78.bin"/><Relationship Id="rId1" Type="http://schemas.openxmlformats.org/officeDocument/2006/relationships/customProperty" Target="../customProperty77.bin"/></Relationships>
</file>

<file path=xl/worksheets/_rels/sheet38.xml.rels><?xml version="1.0" encoding="UTF-8" standalone="yes"?>
<Relationships xmlns="http://schemas.openxmlformats.org/package/2006/relationships"><Relationship Id="rId2" Type="http://schemas.openxmlformats.org/officeDocument/2006/relationships/customProperty" Target="../customProperty80.bin"/><Relationship Id="rId1" Type="http://schemas.openxmlformats.org/officeDocument/2006/relationships/customProperty" Target="../customProperty79.bin"/></Relationships>
</file>

<file path=xl/worksheets/_rels/sheet39.xml.rels><?xml version="1.0" encoding="UTF-8" standalone="yes"?>
<Relationships xmlns="http://schemas.openxmlformats.org/package/2006/relationships"><Relationship Id="rId2" Type="http://schemas.openxmlformats.org/officeDocument/2006/relationships/customProperty" Target="../customProperty82.bin"/><Relationship Id="rId1" Type="http://schemas.openxmlformats.org/officeDocument/2006/relationships/customProperty" Target="../customProperty81.bin"/></Relationships>
</file>

<file path=xl/worksheets/_rels/sheet40.xml.rels><?xml version="1.0" encoding="UTF-8" standalone="yes"?>
<Relationships xmlns="http://schemas.openxmlformats.org/package/2006/relationships"><Relationship Id="rId2" Type="http://schemas.openxmlformats.org/officeDocument/2006/relationships/customProperty" Target="../customProperty84.bin"/><Relationship Id="rId1" Type="http://schemas.openxmlformats.org/officeDocument/2006/relationships/customProperty" Target="../customProperty83.bin"/></Relationships>
</file>

<file path=xl/worksheets/_rels/sheet41.xml.rels><?xml version="1.0" encoding="UTF-8" standalone="yes"?>
<Relationships xmlns="http://schemas.openxmlformats.org/package/2006/relationships"><Relationship Id="rId2" Type="http://schemas.openxmlformats.org/officeDocument/2006/relationships/customProperty" Target="../customProperty86.bin"/><Relationship Id="rId1" Type="http://schemas.openxmlformats.org/officeDocument/2006/relationships/customProperty" Target="../customProperty85.bin"/></Relationships>
</file>

<file path=xl/worksheets/_rels/sheet42.xml.rels><?xml version="1.0" encoding="UTF-8" standalone="yes"?>
<Relationships xmlns="http://schemas.openxmlformats.org/package/2006/relationships"><Relationship Id="rId2" Type="http://schemas.openxmlformats.org/officeDocument/2006/relationships/customProperty" Target="../customProperty88.bin"/><Relationship Id="rId1" Type="http://schemas.openxmlformats.org/officeDocument/2006/relationships/customProperty" Target="../customProperty87.bin"/></Relationships>
</file>

<file path=xl/worksheets/_rels/sheet43.xml.rels><?xml version="1.0" encoding="UTF-8" standalone="yes"?>
<Relationships xmlns="http://schemas.openxmlformats.org/package/2006/relationships"><Relationship Id="rId2" Type="http://schemas.openxmlformats.org/officeDocument/2006/relationships/customProperty" Target="../customProperty90.bin"/><Relationship Id="rId1" Type="http://schemas.openxmlformats.org/officeDocument/2006/relationships/customProperty" Target="../customProperty89.bin"/></Relationships>
</file>

<file path=xl/worksheets/_rels/sheet44.xml.rels><?xml version="1.0" encoding="UTF-8" standalone="yes"?>
<Relationships xmlns="http://schemas.openxmlformats.org/package/2006/relationships"><Relationship Id="rId2" Type="http://schemas.openxmlformats.org/officeDocument/2006/relationships/customProperty" Target="../customProperty92.bin"/><Relationship Id="rId1" Type="http://schemas.openxmlformats.org/officeDocument/2006/relationships/customProperty" Target="../customProperty91.bin"/></Relationships>
</file>

<file path=xl/worksheets/_rels/sheet45.xml.rels><?xml version="1.0" encoding="UTF-8" standalone="yes"?>
<Relationships xmlns="http://schemas.openxmlformats.org/package/2006/relationships"><Relationship Id="rId2" Type="http://schemas.openxmlformats.org/officeDocument/2006/relationships/customProperty" Target="../customProperty94.bin"/><Relationship Id="rId1" Type="http://schemas.openxmlformats.org/officeDocument/2006/relationships/customProperty" Target="../customProperty93.bin"/></Relationships>
</file>

<file path=xl/worksheets/_rels/sheet46.xml.rels><?xml version="1.0" encoding="UTF-8" standalone="yes"?>
<Relationships xmlns="http://schemas.openxmlformats.org/package/2006/relationships"><Relationship Id="rId2" Type="http://schemas.openxmlformats.org/officeDocument/2006/relationships/customProperty" Target="../customProperty96.bin"/><Relationship Id="rId1" Type="http://schemas.openxmlformats.org/officeDocument/2006/relationships/customProperty" Target="../customProperty95.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9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9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9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10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8884F-2332-40B1-8E02-83C33CD094A9}">
  <dimension ref="A1:J31"/>
  <sheetViews>
    <sheetView workbookViewId="0">
      <selection activeCell="B5" sqref="B5"/>
    </sheetView>
  </sheetViews>
  <sheetFormatPr defaultColWidth="8.90625" defaultRowHeight="14.25"/>
  <cols>
    <col min="1" max="3" width="21.6328125" style="292" customWidth="1"/>
    <col min="4" max="4" width="32.6328125" style="292" customWidth="1"/>
    <col min="5" max="5" width="21.6328125" style="292" customWidth="1"/>
    <col min="6" max="6" width="41.1796875" style="292" customWidth="1"/>
    <col min="7" max="7" width="31.453125" style="292" customWidth="1"/>
    <col min="8" max="8" width="30.1796875" style="292" customWidth="1"/>
    <col min="9" max="21" width="21.6328125" style="292" customWidth="1"/>
    <col min="22" max="16384" width="8.90625" style="292"/>
  </cols>
  <sheetData>
    <row r="1" spans="1:10" ht="15">
      <c r="A1" s="292" t="s">
        <v>372</v>
      </c>
      <c r="B1" s="297"/>
    </row>
    <row r="2" spans="1:10" ht="15">
      <c r="B2" s="297"/>
    </row>
    <row r="3" spans="1:10">
      <c r="B3" s="292" t="s">
        <v>371</v>
      </c>
      <c r="G3" s="292" t="s">
        <v>370</v>
      </c>
    </row>
    <row r="4" spans="1:10">
      <c r="B4" s="292" t="s">
        <v>356</v>
      </c>
      <c r="C4" s="292" t="s">
        <v>355</v>
      </c>
      <c r="D4" s="292" t="s">
        <v>354</v>
      </c>
      <c r="E4" s="292" t="s">
        <v>353</v>
      </c>
      <c r="F4" s="292" t="s">
        <v>364</v>
      </c>
      <c r="G4" s="292" t="s">
        <v>363</v>
      </c>
      <c r="H4" s="292" t="s">
        <v>360</v>
      </c>
    </row>
    <row r="5" spans="1:10">
      <c r="A5" s="292" t="s">
        <v>351</v>
      </c>
      <c r="B5" s="292">
        <v>30</v>
      </c>
      <c r="C5" s="292">
        <v>110</v>
      </c>
      <c r="D5" s="292">
        <v>1340</v>
      </c>
      <c r="E5" s="292">
        <v>350</v>
      </c>
      <c r="F5" s="292" t="s">
        <v>358</v>
      </c>
    </row>
    <row r="6" spans="1:10">
      <c r="A6" s="292" t="s">
        <v>350</v>
      </c>
      <c r="B6" s="292">
        <f>B5</f>
        <v>30</v>
      </c>
      <c r="C6" s="292">
        <f>C5</f>
        <v>110</v>
      </c>
      <c r="D6" s="292">
        <f>D5</f>
        <v>1340</v>
      </c>
      <c r="E6" s="292">
        <f>IF(G6="Hide",30,E5)</f>
        <v>350</v>
      </c>
      <c r="F6" s="292" t="s">
        <v>358</v>
      </c>
      <c r="G6" s="292" t="s">
        <v>363</v>
      </c>
    </row>
    <row r="7" spans="1:10" s="296" customFormat="1"/>
    <row r="8" spans="1:10">
      <c r="B8" s="292" t="s">
        <v>369</v>
      </c>
      <c r="G8" s="292" t="s">
        <v>368</v>
      </c>
    </row>
    <row r="9" spans="1:10">
      <c r="B9" s="292" t="s">
        <v>356</v>
      </c>
      <c r="C9" s="292" t="s">
        <v>355</v>
      </c>
      <c r="D9" s="292" t="s">
        <v>354</v>
      </c>
      <c r="E9" s="292" t="s">
        <v>353</v>
      </c>
      <c r="F9" s="292" t="s">
        <v>364</v>
      </c>
      <c r="G9" s="292" t="s">
        <v>363</v>
      </c>
      <c r="H9" s="292" t="s">
        <v>360</v>
      </c>
    </row>
    <row r="10" spans="1:10">
      <c r="A10" s="292" t="s">
        <v>352</v>
      </c>
      <c r="C10" s="292">
        <v>20</v>
      </c>
    </row>
    <row r="11" spans="1:10">
      <c r="A11" s="292" t="s">
        <v>351</v>
      </c>
      <c r="B11" s="292">
        <v>30</v>
      </c>
      <c r="C11" s="292">
        <f>C6+E6+C10</f>
        <v>480</v>
      </c>
      <c r="D11" s="292">
        <v>1340</v>
      </c>
      <c r="E11" s="292">
        <v>1080</v>
      </c>
      <c r="F11" s="292" t="s">
        <v>361</v>
      </c>
      <c r="G11" s="292" t="s">
        <v>363</v>
      </c>
    </row>
    <row r="12" spans="1:10">
      <c r="A12" s="292" t="s">
        <v>350</v>
      </c>
      <c r="B12" s="292">
        <f>B11</f>
        <v>30</v>
      </c>
      <c r="C12" s="292">
        <f>C11</f>
        <v>480</v>
      </c>
      <c r="D12" s="292">
        <f>D11</f>
        <v>1340</v>
      </c>
      <c r="E12" s="292">
        <f>E11</f>
        <v>1080</v>
      </c>
      <c r="F12" s="292" t="s">
        <v>358</v>
      </c>
    </row>
    <row r="13" spans="1:10" s="296" customFormat="1"/>
    <row r="14" spans="1:10">
      <c r="B14" s="292" t="s">
        <v>367</v>
      </c>
      <c r="G14" s="292" t="s">
        <v>366</v>
      </c>
      <c r="I14" s="292" t="s">
        <v>365</v>
      </c>
    </row>
    <row r="15" spans="1:10">
      <c r="B15" s="292" t="s">
        <v>356</v>
      </c>
      <c r="C15" s="292" t="s">
        <v>355</v>
      </c>
      <c r="D15" s="292" t="s">
        <v>354</v>
      </c>
      <c r="E15" s="292" t="s">
        <v>353</v>
      </c>
      <c r="F15" s="292" t="s">
        <v>364</v>
      </c>
      <c r="G15" s="292" t="s">
        <v>363</v>
      </c>
      <c r="H15" s="292" t="s">
        <v>360</v>
      </c>
      <c r="I15" s="292" t="s">
        <v>359</v>
      </c>
      <c r="J15" s="292" t="s">
        <v>362</v>
      </c>
    </row>
    <row r="16" spans="1:10">
      <c r="A16" s="292" t="s">
        <v>352</v>
      </c>
      <c r="C16" s="292">
        <v>20</v>
      </c>
    </row>
    <row r="17" spans="1:9">
      <c r="A17" s="292" t="s">
        <v>351</v>
      </c>
      <c r="B17" s="292">
        <v>30</v>
      </c>
      <c r="C17" s="292">
        <f>C12+E12+C16</f>
        <v>1580</v>
      </c>
      <c r="D17" s="292">
        <v>1340</v>
      </c>
      <c r="E17" s="292">
        <v>1200</v>
      </c>
      <c r="F17" s="292" t="s">
        <v>361</v>
      </c>
      <c r="G17" s="292" t="s">
        <v>360</v>
      </c>
      <c r="I17" s="292" t="s">
        <v>359</v>
      </c>
    </row>
    <row r="18" spans="1:9">
      <c r="A18" s="292" t="s">
        <v>350</v>
      </c>
      <c r="B18" s="292">
        <f>B17</f>
        <v>30</v>
      </c>
      <c r="C18" s="292">
        <f>C17</f>
        <v>1580</v>
      </c>
      <c r="D18" s="292">
        <f>D17</f>
        <v>1340</v>
      </c>
      <c r="E18" s="292">
        <f>IF(G17="Hide",30,E17)</f>
        <v>30</v>
      </c>
      <c r="F18" s="292" t="s">
        <v>358</v>
      </c>
    </row>
    <row r="19" spans="1:9" s="296" customFormat="1"/>
    <row r="20" spans="1:9">
      <c r="B20" s="292" t="s">
        <v>357</v>
      </c>
    </row>
    <row r="21" spans="1:9">
      <c r="B21" s="292" t="s">
        <v>356</v>
      </c>
      <c r="C21" s="292" t="s">
        <v>355</v>
      </c>
      <c r="D21" s="292" t="s">
        <v>354</v>
      </c>
      <c r="E21" s="292" t="s">
        <v>353</v>
      </c>
    </row>
    <row r="22" spans="1:9">
      <c r="A22" s="292" t="s">
        <v>352</v>
      </c>
      <c r="C22" s="292">
        <v>50</v>
      </c>
    </row>
    <row r="23" spans="1:9">
      <c r="A23" s="292" t="s">
        <v>351</v>
      </c>
      <c r="B23" s="292">
        <v>1440</v>
      </c>
      <c r="C23" s="292">
        <f>C18+E18+C22</f>
        <v>1660</v>
      </c>
    </row>
    <row r="24" spans="1:9">
      <c r="A24" s="292" t="s">
        <v>350</v>
      </c>
    </row>
    <row r="29" spans="1:9">
      <c r="A29" s="292" t="s">
        <v>349</v>
      </c>
    </row>
    <row r="30" spans="1:9">
      <c r="B30" s="292" t="s">
        <v>348</v>
      </c>
    </row>
    <row r="31" spans="1:9">
      <c r="A31" s="292" t="s">
        <v>347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3EDDD-8FE3-4E93-B2CC-6E65911E700D}">
  <dimension ref="A1:IQ101"/>
  <sheetViews>
    <sheetView topLeftCell="A12" zoomScale="85" zoomScaleNormal="85" workbookViewId="0">
      <selection activeCell="G99" sqref="G99"/>
    </sheetView>
  </sheetViews>
  <sheetFormatPr defaultColWidth="8.90625" defaultRowHeight="14.25"/>
  <cols>
    <col min="1" max="1" width="8.90625" style="293"/>
    <col min="2" max="2" width="19.1796875" style="293" customWidth="1"/>
    <col min="3" max="3" width="32.6328125" style="293" customWidth="1"/>
    <col min="4" max="4" width="25.36328125" style="293" customWidth="1"/>
    <col min="5" max="5" width="20.453125" style="293" customWidth="1"/>
    <col min="6" max="6" width="8.90625" style="293"/>
    <col min="7" max="7" width="37.54296875" style="293" customWidth="1"/>
    <col min="8" max="8" width="42.453125" style="293" customWidth="1"/>
    <col min="9" max="9" width="14.90625" style="293" customWidth="1"/>
    <col min="10" max="11" width="8.90625" style="293"/>
    <col min="12" max="12" width="27.81640625" style="293" customWidth="1"/>
    <col min="13" max="16" width="8.90625" style="293"/>
    <col min="17" max="18" width="8.90625" style="293" customWidth="1"/>
    <col min="19" max="19" width="15.54296875" style="293" customWidth="1"/>
    <col min="20" max="251" width="8.90625" style="293"/>
    <col min="252" max="16384" width="8.90625" style="292"/>
  </cols>
  <sheetData>
    <row r="1" spans="3:23" ht="14" customHeight="1">
      <c r="C1" s="300" t="s">
        <v>458</v>
      </c>
      <c r="D1" s="300" t="s">
        <v>457</v>
      </c>
      <c r="E1" s="300" t="s">
        <v>456</v>
      </c>
      <c r="H1" s="300" t="s">
        <v>455</v>
      </c>
      <c r="L1" s="300" t="s">
        <v>454</v>
      </c>
    </row>
    <row r="2" spans="3:23" ht="17" customHeight="1">
      <c r="C2" s="292" t="s">
        <v>453</v>
      </c>
      <c r="D2" s="292" t="s">
        <v>452</v>
      </c>
      <c r="E2" s="292" t="s">
        <v>451</v>
      </c>
      <c r="H2" s="292" t="s">
        <v>450</v>
      </c>
    </row>
    <row r="3" spans="3:23">
      <c r="C3" s="292" t="s">
        <v>449</v>
      </c>
      <c r="D3" s="312">
        <v>0.3</v>
      </c>
      <c r="H3" s="313" t="s">
        <v>251</v>
      </c>
      <c r="I3" s="307">
        <f>D15</f>
        <v>0.9</v>
      </c>
      <c r="J3" s="313" t="s">
        <v>205</v>
      </c>
      <c r="K3" s="292"/>
      <c r="L3" s="292"/>
      <c r="M3" s="292"/>
      <c r="N3" s="292"/>
      <c r="O3" s="292"/>
      <c r="P3" s="292"/>
      <c r="Q3" s="292"/>
      <c r="R3" s="292"/>
      <c r="S3" s="292"/>
      <c r="T3" s="292"/>
      <c r="U3" s="292"/>
      <c r="V3" s="292"/>
      <c r="W3" s="292"/>
    </row>
    <row r="4" spans="3:23">
      <c r="C4" s="292" t="s">
        <v>448</v>
      </c>
      <c r="D4" s="312">
        <v>6</v>
      </c>
      <c r="H4" s="301" t="s">
        <v>182</v>
      </c>
      <c r="I4" s="308">
        <f>D10</f>
        <v>500</v>
      </c>
      <c r="J4" s="301" t="s">
        <v>122</v>
      </c>
      <c r="K4" s="292"/>
      <c r="L4" s="292"/>
      <c r="M4" s="292"/>
      <c r="N4" s="292"/>
      <c r="O4" s="292"/>
      <c r="P4" s="292"/>
      <c r="Q4" s="292"/>
      <c r="R4" s="292"/>
      <c r="S4" s="292"/>
      <c r="T4" s="292"/>
      <c r="U4" s="292"/>
      <c r="V4" s="292"/>
      <c r="W4" s="292"/>
    </row>
    <row r="5" spans="3:23">
      <c r="C5" s="292" t="s">
        <v>447</v>
      </c>
      <c r="D5" s="312">
        <v>35</v>
      </c>
      <c r="H5" s="306" t="s">
        <v>70</v>
      </c>
      <c r="I5" s="307">
        <f>D14</f>
        <v>1</v>
      </c>
      <c r="J5" s="306" t="s">
        <v>205</v>
      </c>
      <c r="K5" s="292"/>
      <c r="L5" s="292"/>
      <c r="M5" s="292"/>
      <c r="N5" s="292"/>
      <c r="O5" s="292"/>
      <c r="P5" s="292"/>
      <c r="Q5" s="292"/>
      <c r="R5" s="292"/>
      <c r="S5" s="292"/>
      <c r="T5" s="292"/>
      <c r="U5" s="292"/>
      <c r="V5" s="292"/>
      <c r="W5" s="292"/>
    </row>
    <row r="6" spans="3:23" ht="15.4">
      <c r="C6" s="292" t="s">
        <v>446</v>
      </c>
      <c r="D6" s="312">
        <v>5000</v>
      </c>
      <c r="H6" s="301" t="s">
        <v>206</v>
      </c>
      <c r="I6" s="308">
        <v>1</v>
      </c>
      <c r="J6" s="301"/>
      <c r="K6" s="292"/>
      <c r="L6" s="300" t="s">
        <v>445</v>
      </c>
      <c r="M6" s="292"/>
      <c r="N6" s="292"/>
      <c r="O6" s="292"/>
      <c r="P6" s="292"/>
      <c r="Q6" s="292"/>
      <c r="R6" s="292"/>
      <c r="S6" s="292"/>
      <c r="T6" s="292"/>
      <c r="U6" s="292"/>
      <c r="V6" s="292"/>
      <c r="W6" s="292"/>
    </row>
    <row r="7" spans="3:23">
      <c r="C7" s="292" t="s">
        <v>444</v>
      </c>
      <c r="D7" s="312">
        <v>1000</v>
      </c>
      <c r="H7" s="301" t="s">
        <v>183</v>
      </c>
      <c r="I7" s="308"/>
      <c r="J7" s="301" t="s">
        <v>122</v>
      </c>
      <c r="K7" s="292"/>
      <c r="L7" s="292"/>
      <c r="M7" s="292"/>
      <c r="N7" s="292"/>
      <c r="O7" s="292"/>
      <c r="P7" s="292"/>
      <c r="Q7" s="292"/>
      <c r="R7" s="292"/>
      <c r="S7" s="292"/>
      <c r="T7" s="292"/>
      <c r="U7" s="292"/>
      <c r="V7" s="292"/>
      <c r="W7" s="292"/>
    </row>
    <row r="8" spans="3:23" ht="15.4">
      <c r="D8" s="292"/>
      <c r="H8" s="301" t="s">
        <v>306</v>
      </c>
      <c r="I8" s="308">
        <f>D11</f>
        <v>2</v>
      </c>
      <c r="J8" s="301" t="s">
        <v>71</v>
      </c>
      <c r="K8" s="292"/>
      <c r="L8" s="300" t="s">
        <v>71</v>
      </c>
      <c r="M8" s="300" t="s">
        <v>443</v>
      </c>
      <c r="N8" s="292"/>
      <c r="O8" s="292"/>
      <c r="P8" s="292"/>
      <c r="Q8" s="292"/>
      <c r="R8" s="292"/>
      <c r="S8" s="292"/>
      <c r="T8" s="292"/>
      <c r="U8" s="292"/>
      <c r="V8" s="292"/>
      <c r="W8" s="292"/>
    </row>
    <row r="9" spans="3:23">
      <c r="C9" s="292" t="s">
        <v>442</v>
      </c>
      <c r="D9" s="312"/>
      <c r="H9" s="301" t="s">
        <v>269</v>
      </c>
      <c r="I9" s="308">
        <f>D12</f>
        <v>35</v>
      </c>
      <c r="J9" s="301" t="s">
        <v>252</v>
      </c>
      <c r="K9" s="292"/>
      <c r="L9" s="292" t="s">
        <v>441</v>
      </c>
      <c r="M9" s="292">
        <v>2023</v>
      </c>
      <c r="N9" s="292"/>
      <c r="O9" s="292"/>
      <c r="P9" s="292"/>
      <c r="Q9" s="292"/>
      <c r="R9" s="292"/>
      <c r="S9" s="292"/>
      <c r="T9" s="292"/>
      <c r="U9" s="292"/>
      <c r="V9" s="292"/>
      <c r="W9" s="292"/>
    </row>
    <row r="10" spans="3:23">
      <c r="C10" s="292" t="s">
        <v>440</v>
      </c>
      <c r="D10" s="312">
        <v>500</v>
      </c>
      <c r="H10" s="301" t="s">
        <v>270</v>
      </c>
      <c r="I10" s="308">
        <f>D13</f>
        <v>24</v>
      </c>
      <c r="J10" s="301" t="s">
        <v>71</v>
      </c>
      <c r="K10" s="292"/>
      <c r="L10" s="292" t="s">
        <v>439</v>
      </c>
      <c r="M10" s="292">
        <v>2024</v>
      </c>
      <c r="N10" s="292"/>
      <c r="O10" s="292"/>
      <c r="P10" s="292"/>
      <c r="Q10" s="292"/>
      <c r="R10" s="292"/>
      <c r="S10" s="292"/>
      <c r="T10" s="292"/>
      <c r="U10" s="292"/>
      <c r="V10" s="292"/>
      <c r="W10" s="292"/>
    </row>
    <row r="11" spans="3:23" ht="15" customHeight="1">
      <c r="C11" s="292" t="s">
        <v>438</v>
      </c>
      <c r="D11" s="312">
        <v>2</v>
      </c>
      <c r="H11" s="301" t="s">
        <v>3</v>
      </c>
      <c r="I11" s="308">
        <v>12</v>
      </c>
      <c r="J11" s="301" t="s">
        <v>71</v>
      </c>
      <c r="K11" s="292"/>
      <c r="L11" s="292" t="s">
        <v>437</v>
      </c>
      <c r="M11" s="292">
        <v>2025</v>
      </c>
      <c r="N11" s="292"/>
      <c r="O11" s="292"/>
      <c r="P11" s="292"/>
      <c r="Q11" s="292"/>
      <c r="R11" s="292"/>
      <c r="S11" s="292"/>
      <c r="T11" s="292"/>
      <c r="U11" s="292"/>
      <c r="V11" s="292"/>
      <c r="W11" s="292"/>
    </row>
    <row r="12" spans="3:23" ht="19.05" customHeight="1">
      <c r="C12" s="292" t="s">
        <v>436</v>
      </c>
      <c r="D12" s="312">
        <v>35</v>
      </c>
      <c r="I12" s="292"/>
      <c r="L12" s="292" t="s">
        <v>435</v>
      </c>
      <c r="M12" s="292">
        <v>2026</v>
      </c>
      <c r="P12" s="292"/>
      <c r="Q12" s="292"/>
      <c r="T12" s="292"/>
    </row>
    <row r="13" spans="3:23">
      <c r="C13" s="292" t="s">
        <v>434</v>
      </c>
      <c r="D13" s="312">
        <v>24</v>
      </c>
      <c r="I13" s="292"/>
      <c r="L13" s="292" t="s">
        <v>433</v>
      </c>
      <c r="M13" s="292">
        <v>2027</v>
      </c>
      <c r="P13" s="292"/>
      <c r="Q13" s="292"/>
      <c r="U13" s="292"/>
    </row>
    <row r="14" spans="3:23">
      <c r="C14" s="292" t="s">
        <v>432</v>
      </c>
      <c r="D14" s="312">
        <v>1</v>
      </c>
      <c r="H14" s="301" t="s">
        <v>98</v>
      </c>
      <c r="I14" s="308">
        <f>D18</f>
        <v>25000</v>
      </c>
      <c r="J14" s="301" t="s">
        <v>252</v>
      </c>
      <c r="K14" s="292"/>
      <c r="L14" s="292" t="s">
        <v>431</v>
      </c>
      <c r="M14" s="292">
        <v>2028</v>
      </c>
      <c r="N14" s="292"/>
      <c r="O14" s="292"/>
      <c r="P14" s="292"/>
      <c r="Q14" s="292"/>
      <c r="R14" s="292"/>
      <c r="S14" s="292"/>
      <c r="T14" s="292"/>
      <c r="U14" s="292"/>
      <c r="V14" s="292"/>
      <c r="W14" s="292"/>
    </row>
    <row r="15" spans="3:23">
      <c r="C15" s="292" t="s">
        <v>430</v>
      </c>
      <c r="D15" s="312">
        <v>0.9</v>
      </c>
      <c r="H15" s="306" t="s">
        <v>327</v>
      </c>
      <c r="I15" s="307">
        <f>D19</f>
        <v>0.1</v>
      </c>
      <c r="J15" s="306" t="s">
        <v>205</v>
      </c>
      <c r="K15" s="292"/>
      <c r="L15" s="292" t="s">
        <v>429</v>
      </c>
      <c r="M15" s="292"/>
      <c r="N15" s="292"/>
      <c r="O15" s="292"/>
      <c r="P15" s="292"/>
      <c r="Q15" s="292"/>
      <c r="R15" s="292"/>
      <c r="S15" s="292"/>
      <c r="T15" s="292"/>
      <c r="U15" s="292"/>
      <c r="V15" s="292"/>
      <c r="W15" s="292"/>
    </row>
    <row r="16" spans="3:23">
      <c r="D16" s="292"/>
      <c r="H16" s="301" t="s">
        <v>307</v>
      </c>
      <c r="I16" s="308">
        <v>3</v>
      </c>
      <c r="J16" s="301" t="s">
        <v>71</v>
      </c>
      <c r="K16" s="292"/>
      <c r="L16" s="292" t="s">
        <v>428</v>
      </c>
      <c r="M16" s="292"/>
      <c r="N16" s="292"/>
      <c r="O16" s="292"/>
      <c r="P16" s="292"/>
      <c r="Q16" s="292"/>
      <c r="R16" s="292"/>
      <c r="S16" s="292"/>
      <c r="T16" s="292"/>
      <c r="U16" s="292"/>
      <c r="V16" s="292"/>
      <c r="W16" s="292"/>
    </row>
    <row r="17" spans="1:251">
      <c r="C17" s="292" t="s">
        <v>427</v>
      </c>
      <c r="D17" s="312"/>
      <c r="H17" s="306" t="s">
        <v>308</v>
      </c>
      <c r="I17" s="307">
        <f>D20</f>
        <v>0.05</v>
      </c>
      <c r="J17" s="306" t="s">
        <v>205</v>
      </c>
      <c r="K17" s="292"/>
      <c r="L17" s="292" t="s">
        <v>426</v>
      </c>
      <c r="M17" s="292"/>
      <c r="N17" s="292"/>
      <c r="O17" s="292"/>
      <c r="P17" s="292"/>
      <c r="Q17" s="292"/>
      <c r="R17" s="292"/>
      <c r="S17" s="292"/>
      <c r="T17" s="292"/>
      <c r="U17" s="292"/>
      <c r="V17" s="292"/>
      <c r="W17" s="292"/>
    </row>
    <row r="18" spans="1:251">
      <c r="C18" s="292" t="s">
        <v>425</v>
      </c>
      <c r="D18" s="312">
        <v>25000</v>
      </c>
      <c r="I18" s="292"/>
      <c r="L18" s="292" t="s">
        <v>424</v>
      </c>
      <c r="T18" s="292"/>
    </row>
    <row r="19" spans="1:251">
      <c r="C19" s="292" t="s">
        <v>423</v>
      </c>
      <c r="D19" s="312">
        <v>0.1</v>
      </c>
      <c r="I19" s="292"/>
      <c r="L19" s="292" t="s">
        <v>422</v>
      </c>
      <c r="M19" s="292"/>
      <c r="T19" s="292"/>
    </row>
    <row r="20" spans="1:251">
      <c r="C20" s="292" t="s">
        <v>421</v>
      </c>
      <c r="D20" s="312">
        <v>0.05</v>
      </c>
      <c r="H20" s="301" t="s">
        <v>72</v>
      </c>
      <c r="I20" s="308">
        <f>D7</f>
        <v>1000</v>
      </c>
      <c r="J20" s="301" t="s">
        <v>122</v>
      </c>
      <c r="K20" s="292"/>
      <c r="L20" s="292" t="s">
        <v>420</v>
      </c>
      <c r="M20" s="292"/>
      <c r="N20" s="292"/>
      <c r="O20" s="292"/>
      <c r="P20" s="292"/>
      <c r="Q20" s="292"/>
      <c r="R20" s="292"/>
      <c r="S20" s="292"/>
      <c r="T20" s="292"/>
      <c r="U20" s="292"/>
      <c r="V20" s="292"/>
      <c r="W20" s="292"/>
    </row>
    <row r="21" spans="1:251">
      <c r="C21" s="292"/>
      <c r="D21" s="292"/>
      <c r="H21" s="306" t="s">
        <v>47</v>
      </c>
      <c r="I21" s="307">
        <f>D3</f>
        <v>0.3</v>
      </c>
      <c r="J21" s="306" t="s">
        <v>205</v>
      </c>
      <c r="K21" s="292"/>
      <c r="L21" s="292"/>
      <c r="M21" s="292"/>
      <c r="N21" s="292"/>
      <c r="O21" s="292"/>
      <c r="P21" s="292"/>
      <c r="Q21" s="292"/>
      <c r="R21" s="292"/>
      <c r="S21" s="292"/>
      <c r="T21" s="292"/>
      <c r="U21" s="292"/>
      <c r="V21" s="292"/>
      <c r="W21" s="292"/>
    </row>
    <row r="22" spans="1:251">
      <c r="D22" s="292"/>
      <c r="H22" s="301" t="s">
        <v>48</v>
      </c>
      <c r="I22" s="308">
        <f>D4</f>
        <v>6</v>
      </c>
      <c r="J22" s="301" t="s">
        <v>71</v>
      </c>
      <c r="K22" s="292"/>
      <c r="L22" s="292"/>
      <c r="M22" s="292"/>
      <c r="N22" s="292"/>
      <c r="O22" s="292"/>
      <c r="P22" s="292"/>
      <c r="Q22" s="292"/>
      <c r="R22" s="292"/>
      <c r="S22" s="292"/>
      <c r="T22" s="292"/>
      <c r="U22" s="292"/>
      <c r="V22" s="292"/>
      <c r="W22" s="292"/>
    </row>
    <row r="23" spans="1:251">
      <c r="D23" s="292"/>
      <c r="H23" s="301" t="s">
        <v>207</v>
      </c>
      <c r="I23" s="308">
        <f>D5</f>
        <v>35</v>
      </c>
      <c r="J23" s="301" t="s">
        <v>252</v>
      </c>
      <c r="K23" s="292"/>
      <c r="L23" s="292"/>
      <c r="M23" s="292"/>
      <c r="N23" s="292"/>
      <c r="O23" s="292"/>
      <c r="P23" s="292"/>
      <c r="Q23" s="292"/>
      <c r="R23" s="292"/>
      <c r="S23" s="292"/>
      <c r="T23" s="292"/>
      <c r="U23" s="292"/>
      <c r="V23" s="292"/>
      <c r="W23" s="292"/>
    </row>
    <row r="24" spans="1:251">
      <c r="D24" s="292"/>
      <c r="H24" s="301" t="s">
        <v>286</v>
      </c>
      <c r="I24" s="308">
        <f>D6</f>
        <v>5000</v>
      </c>
      <c r="J24" s="301" t="s">
        <v>122</v>
      </c>
      <c r="K24" s="292"/>
      <c r="L24" s="292"/>
      <c r="M24" s="292"/>
      <c r="N24" s="292"/>
      <c r="O24" s="292"/>
      <c r="P24" s="292"/>
      <c r="Q24" s="292"/>
      <c r="R24" s="292"/>
      <c r="S24" s="292"/>
      <c r="T24" s="292"/>
      <c r="U24" s="292"/>
      <c r="V24" s="292"/>
      <c r="W24" s="292"/>
    </row>
    <row r="25" spans="1:251">
      <c r="D25" s="292"/>
      <c r="I25" s="292"/>
      <c r="L25" s="292"/>
      <c r="M25" s="292"/>
      <c r="T25" s="292"/>
      <c r="V25" s="292"/>
    </row>
    <row r="26" spans="1:251">
      <c r="D26" s="292"/>
      <c r="I26" s="292"/>
      <c r="L26" s="292"/>
      <c r="M26" s="292"/>
    </row>
    <row r="27" spans="1:251">
      <c r="D27" s="292"/>
      <c r="H27" s="301" t="s">
        <v>328</v>
      </c>
      <c r="I27" s="308"/>
      <c r="J27" s="301" t="s">
        <v>122</v>
      </c>
      <c r="K27" s="292"/>
      <c r="L27" s="292"/>
      <c r="M27" s="292"/>
      <c r="N27" s="292"/>
      <c r="O27" s="292"/>
      <c r="P27" s="292"/>
      <c r="Q27" s="292"/>
      <c r="R27" s="292"/>
      <c r="S27" s="292"/>
      <c r="T27" s="292"/>
      <c r="U27" s="292"/>
      <c r="V27" s="292"/>
      <c r="W27" s="292"/>
    </row>
    <row r="28" spans="1:251">
      <c r="D28" s="292"/>
      <c r="E28" s="292" t="s">
        <v>408</v>
      </c>
      <c r="H28" s="301" t="s">
        <v>287</v>
      </c>
      <c r="I28" s="308"/>
      <c r="J28" s="301" t="s">
        <v>122</v>
      </c>
      <c r="K28" s="292"/>
      <c r="L28" s="292"/>
      <c r="M28" s="292"/>
      <c r="N28" s="292"/>
      <c r="O28" s="292"/>
      <c r="P28" s="292"/>
      <c r="Q28" s="292"/>
      <c r="R28" s="292"/>
      <c r="S28" s="292"/>
      <c r="T28" s="292"/>
      <c r="U28" s="292"/>
      <c r="V28" s="292"/>
      <c r="W28" s="292"/>
    </row>
    <row r="29" spans="1:251">
      <c r="B29" s="292"/>
      <c r="C29" s="292" t="s">
        <v>419</v>
      </c>
      <c r="D29" s="305" t="s">
        <v>406</v>
      </c>
      <c r="E29" s="311">
        <f>IF(D29="unchecked",0,DATE(D31,D30,"01"))</f>
        <v>0</v>
      </c>
      <c r="H29" s="301" t="s">
        <v>161</v>
      </c>
      <c r="I29" s="308"/>
      <c r="J29" s="301" t="s">
        <v>122</v>
      </c>
      <c r="K29" s="292"/>
      <c r="L29" s="292"/>
      <c r="M29" s="292"/>
      <c r="N29" s="292"/>
      <c r="O29" s="292"/>
      <c r="P29" s="292"/>
      <c r="Q29" s="292"/>
      <c r="R29" s="292"/>
      <c r="S29" s="292"/>
      <c r="T29" s="292"/>
      <c r="U29" s="292"/>
      <c r="V29" s="292"/>
      <c r="W29" s="292"/>
    </row>
    <row r="30" spans="1:251">
      <c r="A30" s="292"/>
      <c r="B30" s="292"/>
      <c r="C30" s="292" t="s">
        <v>418</v>
      </c>
      <c r="D30" s="305">
        <v>5</v>
      </c>
      <c r="E30" s="292"/>
      <c r="G30" s="292"/>
      <c r="I30" s="292"/>
      <c r="K30" s="292"/>
      <c r="N30" s="292"/>
      <c r="O30" s="292"/>
      <c r="P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c r="HI30" s="292"/>
      <c r="HJ30" s="292"/>
      <c r="HK30" s="292"/>
      <c r="HL30" s="292"/>
      <c r="HM30" s="292"/>
      <c r="HN30" s="292"/>
      <c r="HO30" s="292"/>
      <c r="HP30" s="292"/>
      <c r="HQ30" s="292"/>
      <c r="HR30" s="292"/>
      <c r="HS30" s="292"/>
      <c r="HT30" s="292"/>
      <c r="HU30" s="292"/>
      <c r="HV30" s="292"/>
      <c r="HW30" s="292"/>
      <c r="HX30" s="292"/>
      <c r="HY30" s="292"/>
      <c r="HZ30" s="292"/>
      <c r="IA30" s="292"/>
      <c r="IB30" s="292"/>
      <c r="IC30" s="292"/>
      <c r="ID30" s="292"/>
      <c r="IE30" s="292"/>
      <c r="IF30" s="292"/>
      <c r="IG30" s="292"/>
      <c r="IH30" s="292"/>
      <c r="II30" s="292"/>
      <c r="IJ30" s="292"/>
      <c r="IK30" s="292"/>
      <c r="IL30" s="292"/>
      <c r="IM30" s="292"/>
      <c r="IN30" s="292"/>
      <c r="IO30" s="292"/>
      <c r="IP30" s="292"/>
      <c r="IQ30" s="292"/>
    </row>
    <row r="31" spans="1:251">
      <c r="A31" s="292"/>
      <c r="B31" s="292"/>
      <c r="C31" s="292" t="s">
        <v>417</v>
      </c>
      <c r="D31" s="305">
        <v>2023</v>
      </c>
      <c r="E31" s="292" t="s">
        <v>401</v>
      </c>
      <c r="G31" s="292"/>
      <c r="I31" s="292"/>
      <c r="K31" s="292"/>
      <c r="N31" s="292"/>
      <c r="O31" s="292"/>
      <c r="P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c r="HI31" s="292"/>
      <c r="HJ31" s="292"/>
      <c r="HK31" s="292"/>
      <c r="HL31" s="292"/>
      <c r="HM31" s="292"/>
      <c r="HN31" s="292"/>
      <c r="HO31" s="292"/>
      <c r="HP31" s="292"/>
      <c r="HQ31" s="292"/>
      <c r="HR31" s="292"/>
      <c r="HS31" s="292"/>
      <c r="HT31" s="292"/>
      <c r="HU31" s="292"/>
      <c r="HV31" s="292"/>
      <c r="HW31" s="292"/>
      <c r="HX31" s="292"/>
      <c r="HY31" s="292"/>
      <c r="HZ31" s="292"/>
      <c r="IA31" s="292"/>
      <c r="IB31" s="292"/>
      <c r="IC31" s="292"/>
      <c r="ID31" s="292"/>
      <c r="IE31" s="292"/>
      <c r="IF31" s="292"/>
      <c r="IG31" s="292"/>
      <c r="IH31" s="292"/>
      <c r="II31" s="292"/>
      <c r="IJ31" s="292"/>
      <c r="IK31" s="292"/>
      <c r="IL31" s="292"/>
      <c r="IM31" s="292"/>
      <c r="IN31" s="292"/>
      <c r="IO31" s="292"/>
      <c r="IP31" s="292"/>
      <c r="IQ31" s="292"/>
    </row>
    <row r="32" spans="1:251">
      <c r="A32" s="292"/>
      <c r="B32" s="292"/>
      <c r="C32" s="292"/>
      <c r="E32" s="311">
        <f>IF(D29="unchecked",0,DATE(D34,D33,1))</f>
        <v>0</v>
      </c>
      <c r="G32" s="292"/>
      <c r="H32" s="301" t="s">
        <v>329</v>
      </c>
      <c r="I32" s="308"/>
      <c r="J32" s="301" t="s">
        <v>252</v>
      </c>
      <c r="K32" s="292"/>
      <c r="L32" s="292"/>
      <c r="M32" s="292"/>
      <c r="N32" s="292"/>
      <c r="O32" s="292"/>
      <c r="P32" s="292"/>
      <c r="Q32" s="292"/>
      <c r="R32" s="29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c r="HI32" s="292"/>
      <c r="HJ32" s="292"/>
      <c r="HK32" s="292"/>
      <c r="HL32" s="292"/>
      <c r="HM32" s="292"/>
      <c r="HN32" s="292"/>
      <c r="HO32" s="292"/>
      <c r="HP32" s="292"/>
      <c r="HQ32" s="292"/>
      <c r="HR32" s="292"/>
      <c r="HS32" s="292"/>
      <c r="HT32" s="292"/>
      <c r="HU32" s="292"/>
      <c r="HV32" s="292"/>
      <c r="HW32" s="292"/>
      <c r="HX32" s="292"/>
      <c r="HY32" s="292"/>
      <c r="HZ32" s="292"/>
      <c r="IA32" s="292"/>
      <c r="IB32" s="292"/>
      <c r="IC32" s="292"/>
      <c r="ID32" s="292"/>
      <c r="IE32" s="292"/>
      <c r="IF32" s="292"/>
      <c r="IG32" s="292"/>
      <c r="IH32" s="292"/>
      <c r="II32" s="292"/>
      <c r="IJ32" s="292"/>
      <c r="IK32" s="292"/>
      <c r="IL32" s="292"/>
      <c r="IM32" s="292"/>
      <c r="IN32" s="292"/>
      <c r="IO32" s="292"/>
      <c r="IP32" s="292"/>
      <c r="IQ32" s="292"/>
    </row>
    <row r="33" spans="1:251">
      <c r="A33" s="292"/>
      <c r="B33" s="292"/>
      <c r="C33" s="292" t="s">
        <v>416</v>
      </c>
      <c r="D33" s="305">
        <v>4</v>
      </c>
      <c r="E33" s="292"/>
      <c r="G33" s="292"/>
      <c r="H33" s="301" t="s">
        <v>162</v>
      </c>
      <c r="I33" s="308"/>
      <c r="J33" s="301" t="s">
        <v>252</v>
      </c>
      <c r="K33" s="292"/>
      <c r="L33" s="292"/>
      <c r="M33" s="292"/>
      <c r="N33" s="292"/>
      <c r="O33" s="292"/>
      <c r="P33" s="292"/>
      <c r="Q33" s="292"/>
      <c r="R33" s="29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c r="HI33" s="292"/>
      <c r="HJ33" s="292"/>
      <c r="HK33" s="292"/>
      <c r="HL33" s="292"/>
      <c r="HM33" s="292"/>
      <c r="HN33" s="292"/>
      <c r="HO33" s="292"/>
      <c r="HP33" s="292"/>
      <c r="HQ33" s="292"/>
      <c r="HR33" s="292"/>
      <c r="HS33" s="292"/>
      <c r="HT33" s="292"/>
      <c r="HU33" s="292"/>
      <c r="HV33" s="292"/>
      <c r="HW33" s="292"/>
      <c r="HX33" s="292"/>
      <c r="HY33" s="292"/>
      <c r="HZ33" s="292"/>
      <c r="IA33" s="292"/>
      <c r="IB33" s="292"/>
      <c r="IC33" s="292"/>
      <c r="ID33" s="292"/>
      <c r="IE33" s="292"/>
      <c r="IF33" s="292"/>
      <c r="IG33" s="292"/>
      <c r="IH33" s="292"/>
      <c r="II33" s="292"/>
      <c r="IJ33" s="292"/>
      <c r="IK33" s="292"/>
      <c r="IL33" s="292"/>
      <c r="IM33" s="292"/>
      <c r="IN33" s="292"/>
      <c r="IO33" s="292"/>
      <c r="IP33" s="292"/>
      <c r="IQ33" s="292"/>
    </row>
    <row r="34" spans="1:251">
      <c r="A34" s="292"/>
      <c r="B34" s="292"/>
      <c r="C34" s="292" t="s">
        <v>415</v>
      </c>
      <c r="D34" s="305">
        <v>2028</v>
      </c>
      <c r="E34" s="292"/>
      <c r="G34" s="292"/>
      <c r="H34" s="301" t="s">
        <v>184</v>
      </c>
      <c r="I34" s="308"/>
      <c r="J34" s="301" t="s">
        <v>252</v>
      </c>
      <c r="K34" s="292"/>
      <c r="L34" s="292"/>
      <c r="M34" s="292"/>
      <c r="N34" s="292"/>
      <c r="O34" s="292"/>
      <c r="P34" s="292"/>
      <c r="Q34" s="292"/>
      <c r="R34" s="29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92"/>
      <c r="AQ34" s="292"/>
      <c r="AR34" s="292"/>
      <c r="AS34" s="292"/>
      <c r="AT34" s="292"/>
      <c r="AU34" s="292"/>
      <c r="AV34" s="292"/>
      <c r="AW34" s="292"/>
      <c r="AX34" s="292"/>
      <c r="AY34" s="292"/>
      <c r="AZ34" s="292"/>
      <c r="BA34" s="292"/>
      <c r="BB34" s="292"/>
      <c r="BC34" s="292"/>
      <c r="BD34" s="292"/>
      <c r="BE34" s="292"/>
      <c r="BF34" s="292"/>
      <c r="BG34" s="292"/>
      <c r="BH34" s="292"/>
      <c r="BI34" s="292"/>
      <c r="BJ34" s="292"/>
      <c r="BK34" s="292"/>
      <c r="BL34" s="292"/>
      <c r="BM34" s="292"/>
      <c r="BN34" s="292"/>
      <c r="BO34" s="292"/>
      <c r="BP34" s="292"/>
      <c r="BQ34" s="292"/>
      <c r="BR34" s="292"/>
      <c r="BS34" s="292"/>
      <c r="BT34" s="292"/>
      <c r="BU34" s="292"/>
      <c r="BV34" s="292"/>
      <c r="BW34" s="292"/>
      <c r="BX34" s="292"/>
      <c r="BY34" s="292"/>
      <c r="BZ34" s="292"/>
      <c r="CA34" s="292"/>
      <c r="CB34" s="292"/>
      <c r="CC34" s="292"/>
      <c r="CD34" s="292"/>
      <c r="CE34" s="292"/>
      <c r="CF34" s="292"/>
      <c r="CG34" s="292"/>
      <c r="CH34" s="292"/>
      <c r="CI34" s="292"/>
      <c r="CJ34" s="292"/>
      <c r="CK34" s="292"/>
      <c r="CL34" s="292"/>
      <c r="CM34" s="292"/>
      <c r="CN34" s="292"/>
      <c r="CO34" s="292"/>
      <c r="CP34" s="292"/>
      <c r="CQ34" s="292"/>
      <c r="CR34" s="292"/>
      <c r="CS34" s="292"/>
      <c r="CT34" s="292"/>
      <c r="CU34" s="292"/>
      <c r="CV34" s="292"/>
      <c r="CW34" s="292"/>
      <c r="CX34" s="292"/>
      <c r="CY34" s="292"/>
      <c r="CZ34" s="292"/>
      <c r="DA34" s="292"/>
      <c r="DB34" s="292"/>
      <c r="DC34" s="292"/>
      <c r="DD34" s="292"/>
      <c r="DE34" s="292"/>
      <c r="DF34" s="292"/>
      <c r="DG34" s="292"/>
      <c r="DH34" s="292"/>
      <c r="DI34" s="292"/>
      <c r="DJ34" s="292"/>
      <c r="DK34" s="292"/>
      <c r="DL34" s="292"/>
      <c r="DM34" s="292"/>
      <c r="DN34" s="292"/>
      <c r="DO34" s="292"/>
      <c r="DP34" s="292"/>
      <c r="DQ34" s="292"/>
      <c r="DR34" s="292"/>
      <c r="DS34" s="292"/>
      <c r="DT34" s="292"/>
      <c r="DU34" s="292"/>
      <c r="DV34" s="292"/>
      <c r="DW34" s="292"/>
      <c r="DX34" s="292"/>
      <c r="DY34" s="292"/>
      <c r="DZ34" s="292"/>
      <c r="EA34" s="292"/>
      <c r="EB34" s="292"/>
      <c r="EC34" s="292"/>
      <c r="ED34" s="292"/>
      <c r="EE34" s="292"/>
      <c r="EF34" s="292"/>
      <c r="EG34" s="292"/>
      <c r="EH34" s="292"/>
      <c r="EI34" s="292"/>
      <c r="EJ34" s="292"/>
      <c r="EK34" s="292"/>
      <c r="EL34" s="292"/>
      <c r="EM34" s="292"/>
      <c r="EN34" s="292"/>
      <c r="EO34" s="292"/>
      <c r="EP34" s="292"/>
      <c r="EQ34" s="292"/>
      <c r="ER34" s="292"/>
      <c r="ES34" s="292"/>
      <c r="ET34" s="292"/>
      <c r="EU34" s="292"/>
      <c r="EV34" s="292"/>
      <c r="EW34" s="292"/>
      <c r="EX34" s="292"/>
      <c r="EY34" s="292"/>
      <c r="EZ34" s="292"/>
      <c r="FA34" s="292"/>
      <c r="FB34" s="292"/>
      <c r="FC34" s="292"/>
      <c r="FD34" s="292"/>
      <c r="FE34" s="292"/>
      <c r="FF34" s="292"/>
      <c r="FG34" s="292"/>
      <c r="FH34" s="292"/>
      <c r="FI34" s="292"/>
      <c r="FJ34" s="292"/>
      <c r="FK34" s="292"/>
      <c r="FL34" s="292"/>
      <c r="FM34" s="292"/>
      <c r="FN34" s="292"/>
      <c r="FO34" s="292"/>
      <c r="FP34" s="292"/>
      <c r="FQ34" s="292"/>
      <c r="FR34" s="292"/>
      <c r="FS34" s="292"/>
      <c r="FT34" s="292"/>
      <c r="FU34" s="292"/>
      <c r="FV34" s="292"/>
      <c r="FW34" s="292"/>
      <c r="FX34" s="292"/>
      <c r="FY34" s="292"/>
      <c r="FZ34" s="292"/>
      <c r="GA34" s="292"/>
      <c r="GB34" s="292"/>
      <c r="GC34" s="292"/>
      <c r="GD34" s="292"/>
      <c r="GE34" s="292"/>
      <c r="GF34" s="292"/>
      <c r="GG34" s="292"/>
      <c r="GH34" s="292"/>
      <c r="GI34" s="292"/>
      <c r="GJ34" s="292"/>
      <c r="GK34" s="292"/>
      <c r="GL34" s="292"/>
      <c r="GM34" s="292"/>
      <c r="GN34" s="292"/>
      <c r="GO34" s="292"/>
      <c r="GP34" s="292"/>
      <c r="GQ34" s="292"/>
      <c r="GR34" s="292"/>
      <c r="GS34" s="292"/>
      <c r="GT34" s="292"/>
      <c r="GU34" s="292"/>
      <c r="GV34" s="292"/>
      <c r="GW34" s="292"/>
      <c r="GX34" s="292"/>
      <c r="GY34" s="292"/>
      <c r="GZ34" s="292"/>
      <c r="HA34" s="292"/>
      <c r="HB34" s="292"/>
      <c r="HC34" s="292"/>
      <c r="HD34" s="292"/>
      <c r="HE34" s="292"/>
      <c r="HF34" s="292"/>
      <c r="HG34" s="292"/>
      <c r="HH34" s="292"/>
      <c r="HI34" s="292"/>
      <c r="HJ34" s="292"/>
      <c r="HK34" s="292"/>
      <c r="HL34" s="292"/>
      <c r="HM34" s="292"/>
      <c r="HN34" s="292"/>
      <c r="HO34" s="292"/>
      <c r="HP34" s="292"/>
      <c r="HQ34" s="292"/>
      <c r="HR34" s="292"/>
      <c r="HS34" s="292"/>
      <c r="HT34" s="292"/>
      <c r="HU34" s="292"/>
      <c r="HV34" s="292"/>
      <c r="HW34" s="292"/>
      <c r="HX34" s="292"/>
      <c r="HY34" s="292"/>
      <c r="HZ34" s="292"/>
      <c r="IA34" s="292"/>
      <c r="IB34" s="292"/>
      <c r="IC34" s="292"/>
      <c r="ID34" s="292"/>
      <c r="IE34" s="292"/>
      <c r="IF34" s="292"/>
      <c r="IG34" s="292"/>
      <c r="IH34" s="292"/>
      <c r="II34" s="292"/>
      <c r="IJ34" s="292"/>
      <c r="IK34" s="292"/>
      <c r="IL34" s="292"/>
      <c r="IM34" s="292"/>
      <c r="IN34" s="292"/>
      <c r="IO34" s="292"/>
      <c r="IP34" s="292"/>
      <c r="IQ34" s="292"/>
    </row>
    <row r="35" spans="1:251">
      <c r="C35" s="292"/>
      <c r="E35" s="292" t="s">
        <v>408</v>
      </c>
      <c r="H35" s="301" t="s">
        <v>5</v>
      </c>
      <c r="I35" s="308"/>
      <c r="J35" s="301" t="s">
        <v>252</v>
      </c>
      <c r="K35" s="292"/>
      <c r="L35" s="292"/>
      <c r="M35" s="292"/>
      <c r="N35" s="292"/>
      <c r="O35" s="292"/>
      <c r="P35" s="292"/>
      <c r="Q35" s="292"/>
      <c r="R35" s="292"/>
      <c r="S35" s="292"/>
      <c r="T35" s="292"/>
      <c r="U35" s="292"/>
      <c r="V35" s="292"/>
      <c r="W35" s="292"/>
    </row>
    <row r="36" spans="1:251">
      <c r="C36" s="292" t="s">
        <v>414</v>
      </c>
      <c r="D36" s="305" t="s">
        <v>406</v>
      </c>
      <c r="E36" s="311">
        <f>IF(D36="unchecked",0,DATE(D38,D37,"01"))</f>
        <v>0</v>
      </c>
      <c r="H36" s="301" t="s">
        <v>123</v>
      </c>
      <c r="I36" s="308"/>
      <c r="J36" s="301" t="s">
        <v>252</v>
      </c>
      <c r="K36" s="292"/>
      <c r="L36" s="292"/>
      <c r="M36" s="292"/>
      <c r="N36" s="292"/>
      <c r="O36" s="292"/>
      <c r="P36" s="292"/>
      <c r="Q36" s="292"/>
      <c r="R36" s="292"/>
      <c r="S36" s="292"/>
      <c r="T36" s="292"/>
      <c r="U36" s="292"/>
      <c r="V36" s="292"/>
      <c r="W36" s="292"/>
    </row>
    <row r="37" spans="1:251">
      <c r="C37" s="292" t="s">
        <v>413</v>
      </c>
      <c r="D37" s="305">
        <v>5</v>
      </c>
      <c r="H37" s="301" t="s">
        <v>229</v>
      </c>
      <c r="I37" s="308"/>
      <c r="J37" s="301" t="s">
        <v>252</v>
      </c>
      <c r="K37" s="292"/>
      <c r="L37" s="292"/>
      <c r="M37" s="292"/>
      <c r="N37" s="292"/>
      <c r="O37" s="292"/>
      <c r="P37" s="292"/>
      <c r="Q37" s="292"/>
      <c r="R37" s="292"/>
      <c r="S37" s="292"/>
      <c r="T37" s="292"/>
      <c r="U37" s="292"/>
      <c r="V37" s="292"/>
      <c r="W37" s="292"/>
    </row>
    <row r="38" spans="1:251">
      <c r="C38" s="292" t="s">
        <v>412</v>
      </c>
      <c r="D38" s="305">
        <v>2023</v>
      </c>
      <c r="E38" s="292" t="s">
        <v>401</v>
      </c>
      <c r="H38" s="301" t="s">
        <v>73</v>
      </c>
      <c r="I38" s="308"/>
      <c r="J38" s="301" t="s">
        <v>252</v>
      </c>
      <c r="K38" s="292"/>
      <c r="L38" s="292"/>
      <c r="M38" s="292"/>
      <c r="N38" s="292"/>
      <c r="O38" s="292"/>
      <c r="P38" s="292"/>
      <c r="Q38" s="292"/>
      <c r="R38" s="292"/>
      <c r="S38" s="292"/>
      <c r="T38" s="292"/>
      <c r="U38" s="292"/>
      <c r="V38" s="292"/>
      <c r="W38" s="292"/>
    </row>
    <row r="39" spans="1:251">
      <c r="D39" s="292"/>
      <c r="E39" s="311">
        <f>IF(D36="unchecked",0,DATE(D41,D40,1))</f>
        <v>0</v>
      </c>
      <c r="I39" s="292"/>
      <c r="L39" s="292"/>
      <c r="M39" s="292"/>
      <c r="Q39" s="292"/>
    </row>
    <row r="40" spans="1:251" ht="15.4">
      <c r="C40" s="292" t="s">
        <v>411</v>
      </c>
      <c r="D40" s="305">
        <v>4</v>
      </c>
      <c r="E40" s="292"/>
      <c r="I40" s="292"/>
      <c r="L40" s="300" t="s">
        <v>410</v>
      </c>
      <c r="M40" s="292"/>
      <c r="Q40" s="292"/>
    </row>
    <row r="41" spans="1:251">
      <c r="C41" s="292" t="s">
        <v>409</v>
      </c>
      <c r="D41" s="305">
        <v>2028</v>
      </c>
      <c r="E41" s="292"/>
      <c r="H41" s="301" t="s">
        <v>271</v>
      </c>
      <c r="I41" s="308">
        <v>30</v>
      </c>
      <c r="J41" s="301" t="s">
        <v>124</v>
      </c>
      <c r="K41" s="292"/>
      <c r="L41" s="292" t="s">
        <v>359</v>
      </c>
      <c r="M41" s="292"/>
      <c r="N41" s="292"/>
      <c r="O41" s="292"/>
      <c r="P41" s="292"/>
      <c r="Q41" s="292"/>
      <c r="R41" s="292"/>
      <c r="S41" s="292"/>
      <c r="T41" s="292"/>
      <c r="U41" s="292"/>
      <c r="V41" s="292"/>
      <c r="W41" s="292"/>
    </row>
    <row r="42" spans="1:251">
      <c r="C42" s="292"/>
      <c r="D42" s="292"/>
      <c r="E42" s="292" t="s">
        <v>408</v>
      </c>
      <c r="H42" s="301" t="s">
        <v>288</v>
      </c>
      <c r="I42" s="308">
        <v>360</v>
      </c>
      <c r="J42" s="301" t="s">
        <v>124</v>
      </c>
      <c r="K42" s="292"/>
      <c r="L42" s="293" t="s">
        <v>385</v>
      </c>
      <c r="M42" s="292"/>
      <c r="N42" s="292"/>
      <c r="O42" s="292"/>
      <c r="P42" s="292"/>
      <c r="Q42" s="292"/>
      <c r="R42" s="292"/>
      <c r="S42" s="292"/>
      <c r="T42" s="292"/>
      <c r="U42" s="292"/>
      <c r="V42" s="292"/>
      <c r="W42" s="292"/>
    </row>
    <row r="43" spans="1:251">
      <c r="C43" s="292" t="s">
        <v>407</v>
      </c>
      <c r="D43" s="305" t="s">
        <v>406</v>
      </c>
      <c r="E43" s="311">
        <f>IF(D43="unchecked",0,DATE(D45,D44,"01"))</f>
        <v>0</v>
      </c>
      <c r="I43" s="292"/>
      <c r="L43" s="292" t="s">
        <v>405</v>
      </c>
      <c r="M43" s="292"/>
    </row>
    <row r="44" spans="1:251">
      <c r="C44" s="292" t="s">
        <v>404</v>
      </c>
      <c r="D44" s="305">
        <v>5</v>
      </c>
      <c r="I44" s="292"/>
      <c r="L44" s="292" t="s">
        <v>403</v>
      </c>
    </row>
    <row r="45" spans="1:251">
      <c r="C45" s="292" t="s">
        <v>402</v>
      </c>
      <c r="D45" s="305">
        <v>2023</v>
      </c>
      <c r="E45" s="292" t="s">
        <v>401</v>
      </c>
      <c r="H45" s="303" t="s">
        <v>253</v>
      </c>
      <c r="I45" s="308">
        <f>E29</f>
        <v>0</v>
      </c>
      <c r="J45" s="303" t="s">
        <v>210</v>
      </c>
      <c r="L45" s="292" t="s">
        <v>400</v>
      </c>
    </row>
    <row r="46" spans="1:251">
      <c r="C46" s="292"/>
      <c r="E46" s="311">
        <f>IF(D43="unchecked",0,DATE(D48,D47,1))</f>
        <v>0</v>
      </c>
      <c r="H46" s="303" t="s">
        <v>49</v>
      </c>
      <c r="I46" s="308">
        <f>E32</f>
        <v>0</v>
      </c>
      <c r="J46" s="303" t="s">
        <v>210</v>
      </c>
    </row>
    <row r="47" spans="1:251">
      <c r="C47" s="292" t="s">
        <v>399</v>
      </c>
      <c r="D47" s="305">
        <v>4</v>
      </c>
      <c r="E47" s="292"/>
      <c r="H47" s="306" t="s">
        <v>309</v>
      </c>
      <c r="I47" s="310">
        <f>D51</f>
        <v>0.9</v>
      </c>
      <c r="J47" s="306" t="s">
        <v>205</v>
      </c>
    </row>
    <row r="48" spans="1:251">
      <c r="C48" s="292" t="s">
        <v>398</v>
      </c>
      <c r="D48" s="305">
        <v>2028</v>
      </c>
      <c r="E48" s="292"/>
      <c r="H48" s="306" t="s">
        <v>28</v>
      </c>
      <c r="I48" s="310">
        <f>D50</f>
        <v>8.5000000000000006E-2</v>
      </c>
      <c r="J48" s="306" t="s">
        <v>205</v>
      </c>
    </row>
    <row r="49" spans="3:23">
      <c r="C49" s="292"/>
      <c r="D49" s="292"/>
      <c r="E49" s="309"/>
      <c r="H49" s="301" t="s">
        <v>211</v>
      </c>
      <c r="I49" s="308"/>
      <c r="J49" s="301" t="s">
        <v>252</v>
      </c>
      <c r="K49" s="292"/>
      <c r="L49" s="292"/>
      <c r="M49" s="292"/>
      <c r="N49" s="292"/>
      <c r="O49" s="292"/>
      <c r="P49" s="292"/>
      <c r="Q49" s="292"/>
      <c r="R49" s="292"/>
      <c r="S49" s="292"/>
      <c r="T49" s="292"/>
      <c r="U49" s="292"/>
      <c r="V49" s="292"/>
      <c r="W49" s="292"/>
    </row>
    <row r="50" spans="3:23">
      <c r="C50" s="292" t="s">
        <v>397</v>
      </c>
      <c r="D50" s="305">
        <v>8.5000000000000006E-2</v>
      </c>
      <c r="I50" s="292"/>
    </row>
    <row r="51" spans="3:23">
      <c r="C51" s="292" t="s">
        <v>396</v>
      </c>
      <c r="D51" s="305">
        <v>0.9</v>
      </c>
      <c r="I51" s="292"/>
    </row>
    <row r="52" spans="3:23">
      <c r="D52" s="292"/>
      <c r="H52" s="303" t="s">
        <v>395</v>
      </c>
      <c r="I52" s="308">
        <f>E39</f>
        <v>0</v>
      </c>
      <c r="J52" s="303" t="s">
        <v>210</v>
      </c>
    </row>
    <row r="53" spans="3:23">
      <c r="C53" s="292" t="s">
        <v>394</v>
      </c>
      <c r="D53" s="305">
        <v>0.08</v>
      </c>
      <c r="H53" s="303" t="s">
        <v>393</v>
      </c>
      <c r="I53" s="308">
        <f>E43</f>
        <v>0</v>
      </c>
      <c r="J53" s="303" t="s">
        <v>210</v>
      </c>
    </row>
    <row r="54" spans="3:23">
      <c r="C54" s="292" t="s">
        <v>392</v>
      </c>
      <c r="D54" s="305">
        <v>0.8</v>
      </c>
      <c r="H54" s="301" t="s">
        <v>391</v>
      </c>
      <c r="I54" s="308"/>
      <c r="J54" s="301" t="s">
        <v>252</v>
      </c>
      <c r="K54" s="292"/>
      <c r="L54" s="292"/>
      <c r="M54" s="292"/>
      <c r="N54" s="292"/>
      <c r="O54" s="292"/>
      <c r="P54" s="292"/>
      <c r="Q54" s="292"/>
      <c r="R54" s="292"/>
      <c r="S54" s="292"/>
      <c r="T54" s="292"/>
      <c r="U54" s="292"/>
      <c r="V54" s="292"/>
      <c r="W54" s="292"/>
    </row>
    <row r="55" spans="3:23">
      <c r="C55" s="292"/>
      <c r="D55" s="292"/>
      <c r="H55" s="306" t="s">
        <v>51</v>
      </c>
      <c r="I55" s="307">
        <f>D53</f>
        <v>0.08</v>
      </c>
      <c r="J55" s="306" t="s">
        <v>205</v>
      </c>
      <c r="K55" s="292"/>
      <c r="L55" s="292"/>
      <c r="M55" s="292"/>
      <c r="N55" s="292"/>
      <c r="O55" s="292"/>
      <c r="P55" s="292"/>
      <c r="Q55" s="292"/>
      <c r="R55" s="292"/>
      <c r="S55" s="292"/>
      <c r="T55" s="292"/>
      <c r="U55" s="292"/>
      <c r="V55" s="292"/>
      <c r="W55" s="292"/>
    </row>
    <row r="56" spans="3:23">
      <c r="C56" s="292" t="s">
        <v>390</v>
      </c>
      <c r="D56" s="305"/>
      <c r="H56" s="306" t="s">
        <v>389</v>
      </c>
      <c r="I56" s="307">
        <f>D54</f>
        <v>0.8</v>
      </c>
      <c r="J56" s="306" t="s">
        <v>205</v>
      </c>
      <c r="K56" s="292"/>
      <c r="L56" s="292"/>
      <c r="M56" s="292"/>
      <c r="N56" s="292"/>
      <c r="O56" s="292"/>
      <c r="P56" s="292"/>
      <c r="Q56" s="292"/>
      <c r="R56" s="292"/>
      <c r="S56" s="292"/>
      <c r="T56" s="292"/>
      <c r="U56" s="292"/>
      <c r="V56" s="292"/>
      <c r="W56" s="292"/>
    </row>
    <row r="57" spans="3:23">
      <c r="C57" s="292" t="s">
        <v>388</v>
      </c>
      <c r="D57" s="305"/>
      <c r="I57" s="292"/>
    </row>
    <row r="58" spans="3:23">
      <c r="D58" s="292"/>
      <c r="I58" s="292"/>
    </row>
    <row r="59" spans="3:23">
      <c r="D59" s="292"/>
      <c r="H59" s="301" t="s">
        <v>188</v>
      </c>
      <c r="I59" s="304">
        <v>1</v>
      </c>
      <c r="J59" s="301" t="s">
        <v>71</v>
      </c>
    </row>
    <row r="60" spans="3:23">
      <c r="D60" s="292"/>
      <c r="H60" s="301" t="s">
        <v>147</v>
      </c>
      <c r="I60" s="304">
        <v>4</v>
      </c>
      <c r="J60" s="301" t="s">
        <v>71</v>
      </c>
    </row>
    <row r="61" spans="3:23">
      <c r="D61" s="292"/>
      <c r="H61" s="303" t="s">
        <v>310</v>
      </c>
      <c r="I61" s="302">
        <v>45047</v>
      </c>
      <c r="J61" s="301" t="s">
        <v>210</v>
      </c>
    </row>
    <row r="62" spans="3:23">
      <c r="D62" s="292"/>
    </row>
    <row r="63" spans="3:23">
      <c r="D63" s="292"/>
    </row>
    <row r="64" spans="3:23">
      <c r="D64" s="292"/>
    </row>
    <row r="65" spans="1:27">
      <c r="D65" s="292"/>
    </row>
    <row r="66" spans="1:27">
      <c r="D66" s="292"/>
    </row>
    <row r="67" spans="1:27">
      <c r="D67" s="292"/>
    </row>
    <row r="68" spans="1:27">
      <c r="D68" s="292"/>
    </row>
    <row r="69" spans="1:27">
      <c r="D69" s="292"/>
    </row>
    <row r="70" spans="1:27">
      <c r="D70" s="292"/>
      <c r="E70" s="292"/>
    </row>
    <row r="71" spans="1:27">
      <c r="D71" s="292"/>
      <c r="E71" s="292" t="s">
        <v>387</v>
      </c>
      <c r="G71" s="292"/>
    </row>
    <row r="72" spans="1:27" ht="15.4">
      <c r="C72" s="300" t="s">
        <v>386</v>
      </c>
      <c r="D72" s="293" t="s">
        <v>385</v>
      </c>
      <c r="E72" s="340" cm="1">
        <f t="array" ref="E72">_xlfn.SWITCH(D72,"Year 1 / 2",0,"Year 2 / 3",12,"Year 3 / 4",24,"Year 4 / 5",36,0)</f>
        <v>0</v>
      </c>
    </row>
    <row r="73" spans="1:27">
      <c r="E73" s="292"/>
    </row>
    <row r="74" spans="1:27" ht="31.05" customHeight="1">
      <c r="A74" s="292" t="s">
        <v>384</v>
      </c>
      <c r="B74" s="292">
        <v>2</v>
      </c>
      <c r="C74" s="292" t="s">
        <v>383</v>
      </c>
      <c r="D74" s="292" cm="1">
        <f t="array" aca="1" ref="D74:AA74" ca="1">OFFSET(SQRMonthly!D2,0,E72,1,24)</f>
        <v>45077</v>
      </c>
      <c r="E74" s="293">
        <f ca="1"/>
        <v>45107</v>
      </c>
      <c r="F74" s="293">
        <f ca="1"/>
        <v>45138</v>
      </c>
      <c r="G74" s="292">
        <f ca="1"/>
        <v>45169</v>
      </c>
      <c r="H74" s="293">
        <f ca="1"/>
        <v>45199</v>
      </c>
      <c r="I74" s="293">
        <f ca="1"/>
        <v>45230</v>
      </c>
      <c r="J74" s="293">
        <f ca="1"/>
        <v>45260</v>
      </c>
      <c r="K74" s="293">
        <f ca="1"/>
        <v>45291</v>
      </c>
      <c r="L74" s="293">
        <f ca="1"/>
        <v>45322</v>
      </c>
      <c r="M74" s="293">
        <f ca="1"/>
        <v>45351</v>
      </c>
      <c r="N74" s="293">
        <f ca="1"/>
        <v>45382</v>
      </c>
      <c r="O74" s="293">
        <f ca="1"/>
        <v>45412</v>
      </c>
      <c r="P74" s="293">
        <f ca="1"/>
        <v>45443</v>
      </c>
      <c r="Q74" s="293">
        <f ca="1"/>
        <v>45473</v>
      </c>
      <c r="R74" s="293">
        <f ca="1"/>
        <v>45504</v>
      </c>
      <c r="S74" s="293">
        <f ca="1"/>
        <v>45535</v>
      </c>
      <c r="T74" s="293">
        <f ca="1"/>
        <v>45565</v>
      </c>
      <c r="U74" s="293">
        <f ca="1"/>
        <v>45596</v>
      </c>
      <c r="V74" s="293">
        <f ca="1"/>
        <v>45626</v>
      </c>
      <c r="W74" s="293">
        <f ca="1"/>
        <v>45657</v>
      </c>
      <c r="X74" s="293">
        <f ca="1"/>
        <v>45688</v>
      </c>
      <c r="Y74" s="293">
        <f ca="1"/>
        <v>45716</v>
      </c>
      <c r="Z74" s="293">
        <f ca="1"/>
        <v>45747</v>
      </c>
      <c r="AA74" s="293">
        <f ca="1"/>
        <v>45777</v>
      </c>
    </row>
    <row r="75" spans="1:27">
      <c r="A75" s="292" t="s">
        <v>345</v>
      </c>
      <c r="B75" s="292">
        <v>10</v>
      </c>
      <c r="C75" s="292" t="s">
        <v>382</v>
      </c>
      <c r="D75" s="292" cm="1">
        <f t="array" aca="1" ref="D75:AA75" ca="1">OFFSET('Balance Sheet'!J10,0,E72,1,24)</f>
        <v>0</v>
      </c>
      <c r="E75" s="293">
        <f ca="1"/>
        <v>0</v>
      </c>
      <c r="F75" s="293">
        <f ca="1"/>
        <v>0</v>
      </c>
      <c r="G75" s="293">
        <f ca="1"/>
        <v>0</v>
      </c>
      <c r="H75" s="293">
        <f ca="1"/>
        <v>0</v>
      </c>
      <c r="I75" s="293">
        <f ca="1"/>
        <v>0</v>
      </c>
      <c r="J75" s="293">
        <f ca="1"/>
        <v>0</v>
      </c>
      <c r="K75" s="293">
        <f ca="1"/>
        <v>725145.29928020365</v>
      </c>
      <c r="L75" s="293">
        <f ca="1"/>
        <v>854865.6282310664</v>
      </c>
      <c r="M75" s="293">
        <f ca="1"/>
        <v>138854.70071979624</v>
      </c>
      <c r="N75" s="293">
        <f ca="1"/>
        <v>9134.3717689334298</v>
      </c>
      <c r="O75" s="293">
        <f ca="1"/>
        <v>-6.3664629124104977E-11</v>
      </c>
      <c r="P75" s="293">
        <f ca="1"/>
        <v>-6.3664629124104977E-11</v>
      </c>
      <c r="Q75" s="293">
        <f ca="1"/>
        <v>764384.2559477858</v>
      </c>
      <c r="R75" s="293">
        <f ca="1"/>
        <v>863999.99999999988</v>
      </c>
      <c r="S75" s="293">
        <f ca="1"/>
        <v>99615.744052213966</v>
      </c>
      <c r="T75" s="293">
        <f ca="1"/>
        <v>-8.7311491370201111E-11</v>
      </c>
      <c r="U75" s="293">
        <f ca="1"/>
        <v>-8.7311491370201111E-11</v>
      </c>
      <c r="V75" s="293">
        <f ca="1"/>
        <v>-8.7311491370201111E-11</v>
      </c>
      <c r="W75" s="293">
        <f ca="1"/>
        <v>1589145.2992802034</v>
      </c>
      <c r="X75" s="293">
        <f ca="1"/>
        <v>1718865.6282310663</v>
      </c>
      <c r="Y75" s="293">
        <f ca="1"/>
        <v>138854.70071979635</v>
      </c>
      <c r="Z75" s="293">
        <f ca="1"/>
        <v>9134.3717689335463</v>
      </c>
      <c r="AA75" s="293">
        <f ca="1"/>
        <v>864000</v>
      </c>
    </row>
    <row r="76" spans="1:27">
      <c r="A76" s="292" t="s">
        <v>345</v>
      </c>
      <c r="B76" s="292">
        <v>16</v>
      </c>
      <c r="C76" s="292" t="s">
        <v>381</v>
      </c>
      <c r="D76" s="292" cm="1">
        <f t="array" aca="1" ref="D76:AA76" ca="1">OFFSET('Balance Sheet'!J16,0,E72,1,24)</f>
        <v>0</v>
      </c>
      <c r="E76" s="293">
        <f ca="1"/>
        <v>0</v>
      </c>
      <c r="F76" s="293">
        <f ca="1"/>
        <v>0</v>
      </c>
      <c r="G76" s="293">
        <f ca="1"/>
        <v>0</v>
      </c>
      <c r="H76" s="293">
        <f ca="1"/>
        <v>0</v>
      </c>
      <c r="I76" s="293">
        <f ca="1"/>
        <v>0</v>
      </c>
      <c r="J76" s="293">
        <f ca="1"/>
        <v>0</v>
      </c>
      <c r="K76" s="293">
        <f ca="1"/>
        <v>0</v>
      </c>
      <c r="L76" s="293">
        <f ca="1"/>
        <v>0</v>
      </c>
      <c r="M76" s="293">
        <f ca="1"/>
        <v>0</v>
      </c>
      <c r="N76" s="293">
        <f ca="1"/>
        <v>0</v>
      </c>
      <c r="O76" s="293">
        <f ca="1"/>
        <v>0</v>
      </c>
      <c r="P76" s="293">
        <f ca="1"/>
        <v>0</v>
      </c>
      <c r="Q76" s="293">
        <f ca="1"/>
        <v>0</v>
      </c>
      <c r="R76" s="293">
        <f ca="1"/>
        <v>0</v>
      </c>
      <c r="S76" s="293">
        <f ca="1"/>
        <v>0</v>
      </c>
      <c r="T76" s="293">
        <f ca="1"/>
        <v>0</v>
      </c>
      <c r="U76" s="293">
        <f ca="1"/>
        <v>0</v>
      </c>
      <c r="V76" s="293">
        <f ca="1"/>
        <v>0</v>
      </c>
      <c r="W76" s="293">
        <f ca="1"/>
        <v>0</v>
      </c>
      <c r="X76" s="293">
        <f ca="1"/>
        <v>0</v>
      </c>
      <c r="Y76" s="293">
        <f ca="1"/>
        <v>0</v>
      </c>
      <c r="Z76" s="293">
        <f ca="1"/>
        <v>0</v>
      </c>
      <c r="AA76" s="293">
        <f ca="1"/>
        <v>0</v>
      </c>
    </row>
    <row r="77" spans="1:27">
      <c r="A77" s="292" t="s">
        <v>345</v>
      </c>
      <c r="B77" s="292">
        <v>15</v>
      </c>
      <c r="C77" s="292" t="s">
        <v>380</v>
      </c>
      <c r="D77" s="292" cm="1">
        <f t="array" aca="1" ref="D77:AA77" ca="1">OFFSET('Balance Sheet'!J15,0,E72,1,24)</f>
        <v>157500</v>
      </c>
      <c r="E77" s="293">
        <f ca="1"/>
        <v>157500</v>
      </c>
      <c r="F77" s="293">
        <f ca="1"/>
        <v>157500</v>
      </c>
      <c r="G77" s="293">
        <f ca="1"/>
        <v>157500</v>
      </c>
      <c r="H77" s="293">
        <f ca="1"/>
        <v>157500</v>
      </c>
      <c r="I77" s="293">
        <f ca="1"/>
        <v>157500.00000000003</v>
      </c>
      <c r="J77" s="293">
        <f ca="1"/>
        <v>168000</v>
      </c>
      <c r="K77" s="293">
        <f ca="1"/>
        <v>168000</v>
      </c>
      <c r="L77" s="293">
        <f ca="1"/>
        <v>168000</v>
      </c>
      <c r="M77" s="293">
        <f ca="1"/>
        <v>168000</v>
      </c>
      <c r="N77" s="293">
        <f ca="1"/>
        <v>168000</v>
      </c>
      <c r="O77" s="293">
        <f ca="1"/>
        <v>168000</v>
      </c>
      <c r="P77" s="293">
        <f ca="1"/>
        <v>178500</v>
      </c>
      <c r="Q77" s="293">
        <f ca="1"/>
        <v>178500</v>
      </c>
      <c r="R77" s="293">
        <f ca="1"/>
        <v>178500</v>
      </c>
      <c r="S77" s="293">
        <f ca="1"/>
        <v>178499.99999999997</v>
      </c>
      <c r="T77" s="293">
        <f ca="1"/>
        <v>336000</v>
      </c>
      <c r="U77" s="293">
        <f ca="1"/>
        <v>336000</v>
      </c>
      <c r="V77" s="293">
        <f ca="1"/>
        <v>189000.00000000006</v>
      </c>
      <c r="W77" s="293">
        <f ca="1"/>
        <v>189000.00000000006</v>
      </c>
      <c r="X77" s="293">
        <f ca="1"/>
        <v>346500.00000000006</v>
      </c>
      <c r="Y77" s="293">
        <f ca="1"/>
        <v>346500</v>
      </c>
      <c r="Z77" s="293">
        <f ca="1"/>
        <v>199500.00000000003</v>
      </c>
      <c r="AA77" s="293">
        <f ca="1"/>
        <v>357000</v>
      </c>
    </row>
    <row r="78" spans="1:27">
      <c r="B78" s="292"/>
      <c r="D78" s="292"/>
    </row>
    <row r="79" spans="1:27">
      <c r="A79" s="292" t="s">
        <v>346</v>
      </c>
      <c r="B79" s="292">
        <v>8</v>
      </c>
      <c r="C79" s="292" t="s">
        <v>170</v>
      </c>
      <c r="D79" s="292" cm="1">
        <f t="array" aca="1" ref="D79:AA79" ca="1">OFFSET('Income Statement'!J8,0,E72,1,24)</f>
        <v>0</v>
      </c>
      <c r="E79" s="293">
        <f ca="1"/>
        <v>0</v>
      </c>
      <c r="F79" s="293">
        <f ca="1"/>
        <v>0</v>
      </c>
      <c r="G79" s="293">
        <f ca="1"/>
        <v>0</v>
      </c>
      <c r="H79" s="293">
        <f ca="1"/>
        <v>0</v>
      </c>
      <c r="I79" s="293">
        <f ca="1"/>
        <v>0</v>
      </c>
      <c r="J79" s="293">
        <f ca="1"/>
        <v>0</v>
      </c>
      <c r="K79" s="293">
        <f ca="1"/>
        <v>50357.312450014142</v>
      </c>
      <c r="L79" s="293">
        <f ca="1"/>
        <v>59365.6686271574</v>
      </c>
      <c r="M79" s="293">
        <f ca="1"/>
        <v>60000</v>
      </c>
      <c r="N79" s="293">
        <f ca="1"/>
        <v>60000</v>
      </c>
      <c r="O79" s="293">
        <f ca="1"/>
        <v>60000</v>
      </c>
      <c r="P79" s="293">
        <f ca="1"/>
        <v>60000</v>
      </c>
      <c r="Q79" s="293">
        <f ca="1"/>
        <v>113082.23999637403</v>
      </c>
      <c r="R79" s="293">
        <f ca="1"/>
        <v>120000</v>
      </c>
      <c r="S79" s="293">
        <f ca="1"/>
        <v>120000</v>
      </c>
      <c r="T79" s="293">
        <f ca="1"/>
        <v>120000</v>
      </c>
      <c r="U79" s="293">
        <f ca="1"/>
        <v>120000</v>
      </c>
      <c r="V79" s="293">
        <f ca="1"/>
        <v>120000</v>
      </c>
      <c r="W79" s="293">
        <f ca="1"/>
        <v>180000</v>
      </c>
      <c r="X79" s="293">
        <f ca="1"/>
        <v>180000</v>
      </c>
      <c r="Y79" s="293">
        <f ca="1"/>
        <v>180000</v>
      </c>
      <c r="Z79" s="293">
        <f ca="1"/>
        <v>180000</v>
      </c>
      <c r="AA79" s="293">
        <f ca="1"/>
        <v>240000</v>
      </c>
    </row>
    <row r="80" spans="1:27">
      <c r="A80" s="292" t="s">
        <v>346</v>
      </c>
      <c r="B80" s="292">
        <v>11</v>
      </c>
      <c r="C80" s="292" t="s">
        <v>176</v>
      </c>
      <c r="D80" s="292" cm="1">
        <f t="array" aca="1" ref="D80:AA80" ca="1">OFFSET('Income Statement'!J11,0,E72,1,24)</f>
        <v>-52200</v>
      </c>
      <c r="E80" s="293">
        <f ca="1"/>
        <v>-52636.589175802554</v>
      </c>
      <c r="F80" s="293">
        <f ca="1"/>
        <v>-53084.285064132237</v>
      </c>
      <c r="G80" s="293">
        <f ca="1"/>
        <v>-54668.637306707271</v>
      </c>
      <c r="H80" s="293">
        <f ca="1"/>
        <v>-55188.572264172042</v>
      </c>
      <c r="I80" s="293">
        <f ca="1"/>
        <v>-55721.734228684698</v>
      </c>
      <c r="J80" s="293">
        <f ca="1"/>
        <v>-57426.271839152228</v>
      </c>
      <c r="K80" s="293">
        <f ca="1"/>
        <v>-7667.6029039260175</v>
      </c>
      <c r="L80" s="293">
        <f ca="1"/>
        <v>685.26147343144112</v>
      </c>
      <c r="M80" s="293">
        <f ca="1"/>
        <v>-523.64198731275246</v>
      </c>
      <c r="N80" s="293">
        <f ca="1"/>
        <v>-1191.8252074160118</v>
      </c>
      <c r="O80" s="293">
        <f ca="1"/>
        <v>-1967.5502345588538</v>
      </c>
      <c r="P80" s="293">
        <f ca="1"/>
        <v>-3900.0000000000073</v>
      </c>
      <c r="Q80" s="293">
        <f ca="1"/>
        <v>48295.803598249338</v>
      </c>
      <c r="R80" s="293">
        <f ca="1"/>
        <v>54318.655724401855</v>
      </c>
      <c r="S80" s="293">
        <f ca="1"/>
        <v>52130.342023079189</v>
      </c>
      <c r="T80" s="293">
        <f ca="1"/>
        <v>51091.200149207209</v>
      </c>
      <c r="U80" s="293">
        <f ca="1"/>
        <v>50025.707182999344</v>
      </c>
      <c r="V80" s="293">
        <f ca="1"/>
        <v>47627.892080873979</v>
      </c>
      <c r="W80" s="293">
        <f ca="1"/>
        <v>106431.72764110792</v>
      </c>
      <c r="X80" s="293">
        <f ca="1"/>
        <v>105109.9483861528</v>
      </c>
      <c r="Y80" s="293">
        <f ca="1"/>
        <v>102454.41677211077</v>
      </c>
      <c r="Z80" s="293">
        <f ca="1"/>
        <v>101126.37000084046</v>
      </c>
      <c r="AA80" s="293">
        <f ca="1"/>
        <v>159571.34926451044</v>
      </c>
    </row>
    <row r="81" spans="1:27">
      <c r="A81" s="292" t="s">
        <v>346</v>
      </c>
      <c r="B81" s="292">
        <v>14</v>
      </c>
      <c r="C81" s="292" t="s">
        <v>63</v>
      </c>
      <c r="D81" s="292" cm="1">
        <f t="array" aca="1" ref="D81:AA81" ca="1">OFFSET('Income Statement'!J14,0,E72,1,24)</f>
        <v>-52200</v>
      </c>
      <c r="E81" s="293">
        <f ca="1"/>
        <v>-59928.255842469218</v>
      </c>
      <c r="F81" s="293">
        <f ca="1"/>
        <v>-60375.951730798901</v>
      </c>
      <c r="G81" s="293">
        <f ca="1"/>
        <v>-61960.303973373935</v>
      </c>
      <c r="H81" s="293">
        <f ca="1"/>
        <v>-62480.238930838706</v>
      </c>
      <c r="I81" s="293">
        <f ca="1"/>
        <v>-63013.400895351362</v>
      </c>
      <c r="J81" s="293">
        <f ca="1"/>
        <v>-64717.938505818893</v>
      </c>
      <c r="K81" s="293">
        <f ca="1"/>
        <v>-22250.936237259353</v>
      </c>
      <c r="L81" s="293">
        <f ca="1"/>
        <v>-13898.071859901893</v>
      </c>
      <c r="M81" s="293">
        <f ca="1"/>
        <v>-15106.975320646086</v>
      </c>
      <c r="N81" s="293">
        <f ca="1"/>
        <v>-15775.158540749346</v>
      </c>
      <c r="O81" s="293">
        <f ca="1"/>
        <v>-16550.88356789219</v>
      </c>
      <c r="P81" s="293">
        <f ca="1"/>
        <v>-18483.333333333343</v>
      </c>
      <c r="Q81" s="293">
        <f ca="1"/>
        <v>26420.803598249338</v>
      </c>
      <c r="R81" s="293">
        <f ca="1"/>
        <v>32443.655724401855</v>
      </c>
      <c r="S81" s="293">
        <f ca="1"/>
        <v>30255.342023079189</v>
      </c>
      <c r="T81" s="293">
        <f ca="1"/>
        <v>29216.200149207209</v>
      </c>
      <c r="U81" s="293">
        <f ca="1"/>
        <v>20859.040516332676</v>
      </c>
      <c r="V81" s="293">
        <f ca="1"/>
        <v>18461.225414207311</v>
      </c>
      <c r="W81" s="293">
        <f ca="1"/>
        <v>77265.06097444125</v>
      </c>
      <c r="X81" s="293">
        <f ca="1"/>
        <v>75943.281719486127</v>
      </c>
      <c r="Y81" s="293">
        <f ca="1"/>
        <v>65996.083438777423</v>
      </c>
      <c r="Z81" s="293">
        <f ca="1"/>
        <v>64668.03666750712</v>
      </c>
      <c r="AA81" s="293">
        <f ca="1"/>
        <v>123113.0159311771</v>
      </c>
    </row>
    <row r="82" spans="1:27">
      <c r="A82" s="292" t="s">
        <v>346</v>
      </c>
      <c r="B82" s="292">
        <v>18</v>
      </c>
      <c r="C82" s="292" t="s">
        <v>379</v>
      </c>
      <c r="D82" s="292" cm="1">
        <f t="array" aca="1" ref="D82:AA82" ca="1">OFFSET('Income Statement'!J18,0,E72,1,24)</f>
        <v>0</v>
      </c>
      <c r="E82" s="293">
        <f ca="1"/>
        <v>-1166.6666666666667</v>
      </c>
      <c r="F82" s="293">
        <f ca="1"/>
        <v>-1118.0555555555557</v>
      </c>
      <c r="G82" s="293">
        <f ca="1"/>
        <v>-1071.4699074074076</v>
      </c>
      <c r="H82" s="293">
        <f ca="1"/>
        <v>-1026.8253279320988</v>
      </c>
      <c r="I82" s="293">
        <f ca="1"/>
        <v>-984.04093926826147</v>
      </c>
      <c r="J82" s="293">
        <f ca="1"/>
        <v>-943.03923346541728</v>
      </c>
      <c r="K82" s="293">
        <f ca="1"/>
        <v>-2070.412598737692</v>
      </c>
      <c r="L82" s="293">
        <f ca="1"/>
        <v>-1984.1454071236212</v>
      </c>
      <c r="M82" s="293">
        <f ca="1"/>
        <v>-1901.4726818268036</v>
      </c>
      <c r="N82" s="293">
        <f ca="1"/>
        <v>-1822.2446534173537</v>
      </c>
      <c r="O82" s="293">
        <f ca="1"/>
        <v>-1746.3177928582975</v>
      </c>
      <c r="P82" s="293">
        <f ca="1"/>
        <v>-1673.5545514892017</v>
      </c>
      <c r="Q82" s="293">
        <f ca="1"/>
        <v>-2770.4897785104854</v>
      </c>
      <c r="R82" s="293">
        <f ca="1"/>
        <v>-2655.0527044058817</v>
      </c>
      <c r="S82" s="293">
        <f ca="1"/>
        <v>-2544.4255083889702</v>
      </c>
      <c r="T82" s="293">
        <f ca="1"/>
        <v>-2438.4077788727632</v>
      </c>
      <c r="U82" s="293">
        <f ca="1"/>
        <v>-3503.4741214197315</v>
      </c>
      <c r="V82" s="293">
        <f ca="1"/>
        <v>-3357.4960330272429</v>
      </c>
      <c r="W82" s="293">
        <f ca="1"/>
        <v>-3217.6003649844411</v>
      </c>
      <c r="X82" s="293">
        <f ca="1"/>
        <v>-3083.5336831100894</v>
      </c>
      <c r="Y82" s="293">
        <f ca="1"/>
        <v>-4121.7197796471692</v>
      </c>
      <c r="Z82" s="293">
        <f ca="1"/>
        <v>-3949.981455495204</v>
      </c>
      <c r="AA82" s="293">
        <f ca="1"/>
        <v>-3785.3988948495703</v>
      </c>
    </row>
    <row r="83" spans="1:27">
      <c r="D83" s="292"/>
    </row>
    <row r="84" spans="1:27">
      <c r="D84" s="292"/>
    </row>
    <row r="85" spans="1:27">
      <c r="A85" s="292" t="s">
        <v>346</v>
      </c>
      <c r="B85" s="292">
        <v>9</v>
      </c>
      <c r="C85" s="292" t="s">
        <v>378</v>
      </c>
      <c r="D85" s="292" cm="1">
        <f t="array" aca="1" ref="D85:AA85" ca="1">OFFSET('Income Statement'!J9,0,E72,1,24)</f>
        <v>-7200</v>
      </c>
      <c r="E85" s="293">
        <f ca="1"/>
        <v>-7636.5891758025509</v>
      </c>
      <c r="F85" s="293">
        <f ca="1"/>
        <v>-8084.2850641322384</v>
      </c>
      <c r="G85" s="293">
        <f ca="1"/>
        <v>-8574.4949742853441</v>
      </c>
      <c r="H85" s="293">
        <f ca="1"/>
        <v>-9094.4299317501118</v>
      </c>
      <c r="I85" s="293">
        <f ca="1"/>
        <v>-9627.5918962627675</v>
      </c>
      <c r="J85" s="293">
        <f ca="1"/>
        <v>-10211.383897783971</v>
      </c>
      <c r="K85" s="293">
        <f ca="1"/>
        <v>-10810.027412571899</v>
      </c>
      <c r="L85" s="293">
        <f ca="1"/>
        <v>-11465.519212357696</v>
      </c>
      <c r="M85" s="293">
        <f ca="1"/>
        <v>-12160.758321117633</v>
      </c>
      <c r="N85" s="293">
        <f ca="1"/>
        <v>-12828.941541220887</v>
      </c>
      <c r="O85" s="293">
        <f ca="1"/>
        <v>-13604.666568363735</v>
      </c>
      <c r="P85" s="293">
        <f ca="1"/>
        <v>-14400</v>
      </c>
      <c r="Q85" s="293">
        <f ca="1"/>
        <v>-15286.43639812469</v>
      </c>
      <c r="R85" s="293">
        <f ca="1"/>
        <v>-16181.344275598138</v>
      </c>
      <c r="S85" s="293">
        <f ca="1"/>
        <v>-17161.156582065021</v>
      </c>
      <c r="T85" s="293">
        <f ca="1"/>
        <v>-18200.298455936998</v>
      </c>
      <c r="U85" s="293">
        <f ca="1"/>
        <v>-19265.791422144866</v>
      </c>
      <c r="V85" s="293">
        <f ca="1"/>
        <v>-20432.373086049545</v>
      </c>
      <c r="W85" s="293">
        <f ca="1"/>
        <v>-21628.537525815598</v>
      </c>
      <c r="X85" s="293">
        <f ca="1"/>
        <v>-22950.316780770718</v>
      </c>
      <c r="Y85" s="293">
        <f ca="1"/>
        <v>-24340.656529575466</v>
      </c>
      <c r="Z85" s="293">
        <f ca="1"/>
        <v>-25668.703300845769</v>
      </c>
      <c r="AA85" s="293">
        <f ca="1"/>
        <v>-27223.724037175791</v>
      </c>
    </row>
    <row r="86" spans="1:27">
      <c r="A86" s="292" t="s">
        <v>346</v>
      </c>
      <c r="B86" s="292">
        <v>10</v>
      </c>
      <c r="C86" s="299" t="s">
        <v>377</v>
      </c>
      <c r="D86" s="292" cm="1">
        <f t="array" aca="1" ref="D86:AA86" ca="1">OFFSET('Income Statement'!J10,0,E72,1,24)</f>
        <v>-45000</v>
      </c>
      <c r="E86" s="293">
        <f ca="1"/>
        <v>-45000</v>
      </c>
      <c r="F86" s="293">
        <f ca="1"/>
        <v>-45000</v>
      </c>
      <c r="G86" s="293">
        <f ca="1"/>
        <v>-46094.142332421929</v>
      </c>
      <c r="H86" s="293">
        <f ca="1"/>
        <v>-46094.142332421929</v>
      </c>
      <c r="I86" s="293">
        <f ca="1"/>
        <v>-46094.142332421929</v>
      </c>
      <c r="J86" s="293">
        <f ca="1"/>
        <v>-47214.887941368259</v>
      </c>
      <c r="K86" s="293">
        <f ca="1"/>
        <v>-47214.887941368259</v>
      </c>
      <c r="L86" s="293">
        <f ca="1"/>
        <v>-47214.887941368259</v>
      </c>
      <c r="M86" s="293">
        <f ca="1"/>
        <v>-48362.883666195121</v>
      </c>
      <c r="N86" s="293">
        <f ca="1"/>
        <v>-48362.883666195121</v>
      </c>
      <c r="O86" s="293">
        <f ca="1"/>
        <v>-48362.883666195121</v>
      </c>
      <c r="P86" s="293">
        <f ca="1"/>
        <v>-49500.000000000007</v>
      </c>
      <c r="Q86" s="293">
        <f ca="1"/>
        <v>-49500.000000000007</v>
      </c>
      <c r="R86" s="293">
        <f ca="1"/>
        <v>-49500.000000000007</v>
      </c>
      <c r="S86" s="293">
        <f ca="1"/>
        <v>-50708.501394855797</v>
      </c>
      <c r="T86" s="293">
        <f ca="1"/>
        <v>-50708.501394855797</v>
      </c>
      <c r="U86" s="293">
        <f ca="1"/>
        <v>-50708.501394855797</v>
      </c>
      <c r="V86" s="293">
        <f ca="1"/>
        <v>-51939.73483307648</v>
      </c>
      <c r="W86" s="293">
        <f ca="1"/>
        <v>-51939.73483307648</v>
      </c>
      <c r="X86" s="293">
        <f ca="1"/>
        <v>-51939.73483307648</v>
      </c>
      <c r="Y86" s="293">
        <f ca="1"/>
        <v>-53204.926698313757</v>
      </c>
      <c r="Z86" s="293">
        <f ca="1"/>
        <v>-53204.926698313757</v>
      </c>
      <c r="AA86" s="293">
        <f ca="1"/>
        <v>-53204.926698313757</v>
      </c>
    </row>
    <row r="87" spans="1:27">
      <c r="A87" s="292" t="s">
        <v>346</v>
      </c>
      <c r="B87" s="292">
        <v>13</v>
      </c>
      <c r="C87" s="299" t="s">
        <v>60</v>
      </c>
      <c r="D87" s="292" cm="1">
        <f t="array" aca="1" ref="D87:AA87" ca="1">OFFSET('Income Statement'!J13,0,E72,1,24)</f>
        <v>0</v>
      </c>
      <c r="E87" s="293">
        <f ca="1"/>
        <v>-7291.666666666667</v>
      </c>
      <c r="F87" s="293">
        <f ca="1"/>
        <v>-7291.666666666667</v>
      </c>
      <c r="G87" s="293">
        <f ca="1"/>
        <v>-7291.666666666667</v>
      </c>
      <c r="H87" s="293">
        <f ca="1"/>
        <v>-7291.666666666667</v>
      </c>
      <c r="I87" s="293">
        <f ca="1"/>
        <v>-7291.666666666667</v>
      </c>
      <c r="J87" s="293">
        <f ca="1"/>
        <v>-7291.666666666667</v>
      </c>
      <c r="K87" s="293">
        <f ca="1"/>
        <v>-14583.333333333334</v>
      </c>
      <c r="L87" s="293">
        <f ca="1"/>
        <v>-14583.333333333334</v>
      </c>
      <c r="M87" s="293">
        <f ca="1"/>
        <v>-14583.333333333334</v>
      </c>
      <c r="N87" s="293">
        <f ca="1"/>
        <v>-14583.333333333334</v>
      </c>
      <c r="O87" s="293">
        <f ca="1"/>
        <v>-14583.333333333334</v>
      </c>
      <c r="P87" s="293">
        <f ca="1"/>
        <v>-14583.333333333334</v>
      </c>
      <c r="Q87" s="293">
        <f ca="1"/>
        <v>-21875</v>
      </c>
      <c r="R87" s="293">
        <f ca="1"/>
        <v>-21875</v>
      </c>
      <c r="S87" s="293">
        <f ca="1"/>
        <v>-21875</v>
      </c>
      <c r="T87" s="293">
        <f ca="1"/>
        <v>-21875</v>
      </c>
      <c r="U87" s="293">
        <f ca="1"/>
        <v>-29166.666666666668</v>
      </c>
      <c r="V87" s="293">
        <f ca="1"/>
        <v>-29166.666666666668</v>
      </c>
      <c r="W87" s="293">
        <f ca="1"/>
        <v>-29166.666666666668</v>
      </c>
      <c r="X87" s="293">
        <f ca="1"/>
        <v>-29166.666666666668</v>
      </c>
      <c r="Y87" s="293">
        <f ca="1"/>
        <v>-36458.333333333336</v>
      </c>
      <c r="Z87" s="293">
        <f ca="1"/>
        <v>-36458.333333333336</v>
      </c>
      <c r="AA87" s="293">
        <f ca="1"/>
        <v>-36458.333333333336</v>
      </c>
    </row>
    <row r="88" spans="1:27">
      <c r="B88" s="292">
        <v>16</v>
      </c>
      <c r="C88" s="298" t="s">
        <v>376</v>
      </c>
      <c r="D88" s="292" cm="1">
        <f t="array" aca="1" ref="D88:AA88" ca="1">OFFSET('Income Statement'!J16,0,E72,1,24)</f>
        <v>0</v>
      </c>
      <c r="E88" s="293">
        <f ca="1"/>
        <v>0</v>
      </c>
      <c r="F88" s="293">
        <f ca="1"/>
        <v>0</v>
      </c>
      <c r="G88" s="293">
        <f ca="1"/>
        <v>0</v>
      </c>
      <c r="H88" s="293">
        <f ca="1"/>
        <v>0</v>
      </c>
      <c r="I88" s="293">
        <f ca="1"/>
        <v>0</v>
      </c>
      <c r="J88" s="293">
        <f ca="1"/>
        <v>0</v>
      </c>
      <c r="K88" s="293">
        <f ca="1"/>
        <v>0</v>
      </c>
      <c r="L88" s="293">
        <f ca="1"/>
        <v>0</v>
      </c>
      <c r="M88" s="293">
        <f ca="1"/>
        <v>0</v>
      </c>
      <c r="N88" s="293">
        <f ca="1"/>
        <v>0</v>
      </c>
      <c r="O88" s="293">
        <f ca="1"/>
        <v>0</v>
      </c>
      <c r="P88" s="293">
        <f ca="1"/>
        <v>0</v>
      </c>
      <c r="Q88" s="293">
        <f ca="1"/>
        <v>0</v>
      </c>
      <c r="R88" s="293">
        <f ca="1"/>
        <v>0</v>
      </c>
      <c r="S88" s="293">
        <f ca="1"/>
        <v>0</v>
      </c>
      <c r="T88" s="293">
        <f ca="1"/>
        <v>0</v>
      </c>
      <c r="U88" s="293">
        <f ca="1"/>
        <v>0</v>
      </c>
      <c r="V88" s="293">
        <f ca="1"/>
        <v>0</v>
      </c>
      <c r="W88" s="293">
        <f ca="1"/>
        <v>0</v>
      </c>
      <c r="X88" s="293">
        <f ca="1"/>
        <v>0</v>
      </c>
      <c r="Y88" s="293">
        <f ca="1"/>
        <v>0</v>
      </c>
      <c r="Z88" s="293">
        <f ca="1"/>
        <v>0</v>
      </c>
      <c r="AA88" s="293">
        <f ca="1"/>
        <v>0</v>
      </c>
    </row>
    <row r="89" spans="1:27">
      <c r="B89" s="292">
        <v>17</v>
      </c>
      <c r="C89" s="292" t="s">
        <v>375</v>
      </c>
      <c r="D89" s="292" cm="1">
        <f t="array" aca="1" ref="D89:AA89" ca="1">OFFSET('Income Statement'!J17,0,E72,1,24)</f>
        <v>0</v>
      </c>
      <c r="E89" s="293">
        <f ca="1"/>
        <v>0</v>
      </c>
      <c r="F89" s="293">
        <f ca="1"/>
        <v>0</v>
      </c>
      <c r="G89" s="293">
        <f ca="1"/>
        <v>0</v>
      </c>
      <c r="H89" s="293">
        <f ca="1"/>
        <v>0</v>
      </c>
      <c r="I89" s="293">
        <f ca="1"/>
        <v>0</v>
      </c>
      <c r="J89" s="293">
        <f ca="1"/>
        <v>0</v>
      </c>
      <c r="K89" s="293">
        <f ca="1"/>
        <v>0</v>
      </c>
      <c r="L89" s="293">
        <f ca="1"/>
        <v>0</v>
      </c>
      <c r="M89" s="293">
        <f ca="1"/>
        <v>0</v>
      </c>
      <c r="N89" s="293">
        <f ca="1"/>
        <v>0</v>
      </c>
      <c r="O89" s="293">
        <f ca="1"/>
        <v>0</v>
      </c>
      <c r="P89" s="293">
        <f ca="1"/>
        <v>0</v>
      </c>
      <c r="Q89" s="293">
        <f ca="1"/>
        <v>0</v>
      </c>
      <c r="R89" s="293">
        <f ca="1"/>
        <v>0</v>
      </c>
      <c r="S89" s="293">
        <f ca="1"/>
        <v>0</v>
      </c>
      <c r="T89" s="293">
        <f ca="1"/>
        <v>0</v>
      </c>
      <c r="U89" s="293">
        <f ca="1"/>
        <v>0</v>
      </c>
      <c r="V89" s="293">
        <f ca="1"/>
        <v>0</v>
      </c>
      <c r="W89" s="293">
        <f ca="1"/>
        <v>0</v>
      </c>
      <c r="X89" s="293">
        <f ca="1"/>
        <v>0</v>
      </c>
      <c r="Y89" s="293">
        <f ca="1"/>
        <v>0</v>
      </c>
      <c r="Z89" s="293">
        <f ca="1"/>
        <v>0</v>
      </c>
      <c r="AA89" s="293">
        <f ca="1"/>
        <v>0</v>
      </c>
    </row>
    <row r="90" spans="1:27">
      <c r="C90" s="292"/>
      <c r="D90" s="292"/>
    </row>
    <row r="91" spans="1:27">
      <c r="B91" s="292">
        <v>10</v>
      </c>
      <c r="C91" s="298" t="s">
        <v>374</v>
      </c>
      <c r="D91" s="292" cm="1">
        <f t="array" aca="1" ref="D91:AA91" ca="1">OFFSET('Inventory Report'!J10,0,E72,1,24)</f>
        <v>500</v>
      </c>
      <c r="E91" s="293">
        <f ca="1"/>
        <v>1030.3186927640659</v>
      </c>
      <c r="F91" s="293">
        <f ca="1"/>
        <v>1591.7273777732489</v>
      </c>
      <c r="G91" s="293">
        <f ca="1"/>
        <v>2187.1784176541755</v>
      </c>
      <c r="H91" s="293">
        <f ca="1"/>
        <v>2818.7360518034889</v>
      </c>
      <c r="I91" s="293">
        <f ca="1"/>
        <v>3487.3188223772922</v>
      </c>
      <c r="J91" s="293">
        <f ca="1"/>
        <v>4196.4427041678455</v>
      </c>
      <c r="K91" s="293">
        <f ca="1"/>
        <v>750.69634809527088</v>
      </c>
      <c r="L91" s="293">
        <f ca="1"/>
        <v>796.21661196928426</v>
      </c>
      <c r="M91" s="293">
        <f ca="1"/>
        <v>1587.8527698655694</v>
      </c>
      <c r="N91" s="293">
        <f ca="1"/>
        <v>2478.7514880059089</v>
      </c>
      <c r="O91" s="293">
        <f ca="1"/>
        <v>3423.5199996978349</v>
      </c>
      <c r="P91" s="293">
        <f ca="1"/>
        <v>4423.5199996978354</v>
      </c>
      <c r="Q91" s="293">
        <f ca="1"/>
        <v>1061.5580832031037</v>
      </c>
      <c r="R91" s="293">
        <f ca="1"/>
        <v>1608.782546484143</v>
      </c>
      <c r="S91" s="293">
        <f ca="1"/>
        <v>2800.5295313497695</v>
      </c>
      <c r="T91" s="293">
        <f ca="1"/>
        <v>4064.4391463453944</v>
      </c>
      <c r="U91" s="293">
        <f ca="1"/>
        <v>5402.341328438788</v>
      </c>
      <c r="V91" s="293">
        <f ca="1"/>
        <v>6821.2561260811181</v>
      </c>
      <c r="W91" s="293">
        <f ca="1"/>
        <v>3323.2378987072007</v>
      </c>
      <c r="X91" s="293">
        <f ca="1"/>
        <v>4917.0098973718341</v>
      </c>
      <c r="Y91" s="293">
        <f ca="1"/>
        <v>6607.3332674812409</v>
      </c>
      <c r="Z91" s="293">
        <f ca="1"/>
        <v>8389.8821078177534</v>
      </c>
      <c r="AA91" s="293">
        <f ca="1"/>
        <v>5280.4184992882947</v>
      </c>
    </row>
    <row r="92" spans="1:27">
      <c r="B92" s="292">
        <v>12</v>
      </c>
      <c r="C92" s="292" t="s">
        <v>171</v>
      </c>
      <c r="D92" s="292" cm="1">
        <f t="array" aca="1" ref="D92:AA92" ca="1">OFFSET('Inventory Report'!J12,0,E72,1,24)</f>
        <v>5000</v>
      </c>
      <c r="E92" s="293">
        <f ca="1"/>
        <v>5000</v>
      </c>
      <c r="F92" s="293">
        <f ca="1"/>
        <v>5000</v>
      </c>
      <c r="G92" s="293">
        <f ca="1"/>
        <v>5000</v>
      </c>
      <c r="H92" s="293">
        <f ca="1"/>
        <v>5000</v>
      </c>
      <c r="I92" s="293">
        <f ca="1"/>
        <v>5000</v>
      </c>
      <c r="J92" s="293">
        <f ca="1"/>
        <v>5000</v>
      </c>
      <c r="K92" s="293">
        <f ca="1"/>
        <v>5000</v>
      </c>
      <c r="L92" s="293">
        <f ca="1"/>
        <v>5000</v>
      </c>
      <c r="M92" s="293">
        <f ca="1"/>
        <v>5000</v>
      </c>
      <c r="N92" s="293">
        <f ca="1"/>
        <v>5000</v>
      </c>
      <c r="O92" s="293">
        <f ca="1"/>
        <v>5000</v>
      </c>
      <c r="P92" s="293">
        <f ca="1"/>
        <v>5000</v>
      </c>
      <c r="Q92" s="293">
        <f ca="1"/>
        <v>5000</v>
      </c>
      <c r="R92" s="293">
        <f ca="1"/>
        <v>5000</v>
      </c>
      <c r="S92" s="293">
        <f ca="1"/>
        <v>5000</v>
      </c>
      <c r="T92" s="293">
        <f ca="1"/>
        <v>10000</v>
      </c>
      <c r="U92" s="293">
        <f ca="1"/>
        <v>10000</v>
      </c>
      <c r="V92" s="293">
        <f ca="1"/>
        <v>5000</v>
      </c>
      <c r="W92" s="293">
        <f ca="1"/>
        <v>5000</v>
      </c>
      <c r="X92" s="293">
        <f ca="1"/>
        <v>10000</v>
      </c>
      <c r="Y92" s="293">
        <f ca="1"/>
        <v>10000</v>
      </c>
      <c r="Z92" s="293">
        <f ca="1"/>
        <v>5000</v>
      </c>
      <c r="AA92" s="293">
        <f ca="1"/>
        <v>10000</v>
      </c>
    </row>
    <row r="93" spans="1:27">
      <c r="B93" s="292">
        <v>15</v>
      </c>
      <c r="C93" s="299" t="s">
        <v>130</v>
      </c>
      <c r="D93" s="292" cm="1">
        <f t="array" aca="1" ref="D93:AA93" ca="1">OFFSET('Inventory Report'!J15,0,E72,1,24)</f>
        <v>0</v>
      </c>
      <c r="E93" s="293">
        <f ca="1"/>
        <v>0</v>
      </c>
      <c r="F93" s="293">
        <f ca="1"/>
        <v>0</v>
      </c>
      <c r="G93" s="292">
        <f ca="1"/>
        <v>0</v>
      </c>
      <c r="H93" s="293">
        <f ca="1"/>
        <v>0</v>
      </c>
      <c r="I93" s="293">
        <f ca="1"/>
        <v>0</v>
      </c>
      <c r="J93" s="293">
        <f ca="1"/>
        <v>5000</v>
      </c>
      <c r="K93" s="293">
        <f ca="1"/>
        <v>803.55729583215452</v>
      </c>
      <c r="L93" s="293">
        <f ca="1"/>
        <v>52.860947736883645</v>
      </c>
      <c r="M93" s="293">
        <f ca="1"/>
        <v>0</v>
      </c>
      <c r="N93" s="293">
        <f ca="1"/>
        <v>0</v>
      </c>
      <c r="O93" s="293">
        <f ca="1"/>
        <v>0</v>
      </c>
      <c r="P93" s="293">
        <f ca="1"/>
        <v>5000</v>
      </c>
      <c r="Q93" s="293">
        <f ca="1"/>
        <v>576.48000030216463</v>
      </c>
      <c r="R93" s="293">
        <f ca="1"/>
        <v>0</v>
      </c>
      <c r="S93" s="293">
        <f ca="1"/>
        <v>0</v>
      </c>
      <c r="T93" s="293">
        <f ca="1"/>
        <v>0</v>
      </c>
      <c r="U93" s="293">
        <f ca="1"/>
        <v>0</v>
      </c>
      <c r="V93" s="293">
        <f ca="1"/>
        <v>5000</v>
      </c>
      <c r="W93" s="293">
        <f ca="1"/>
        <v>0</v>
      </c>
      <c r="X93" s="293">
        <f ca="1"/>
        <v>0</v>
      </c>
      <c r="Y93" s="293">
        <f ca="1"/>
        <v>0</v>
      </c>
      <c r="Z93" s="293">
        <f ca="1"/>
        <v>5000</v>
      </c>
      <c r="AA93" s="293">
        <f ca="1"/>
        <v>0</v>
      </c>
    </row>
    <row r="94" spans="1:27">
      <c r="B94" s="292">
        <v>17</v>
      </c>
      <c r="C94" s="299" t="s">
        <v>373</v>
      </c>
      <c r="D94" s="292" cm="1">
        <f t="array" aca="1" ref="D94:AA94" ca="1">OFFSET('Inventory Report'!J17,0,E72,1,24)</f>
        <v>0</v>
      </c>
      <c r="E94" s="293">
        <f ca="1"/>
        <v>0</v>
      </c>
      <c r="F94" s="293">
        <f ca="1"/>
        <v>0</v>
      </c>
      <c r="G94" s="293">
        <f ca="1"/>
        <v>0</v>
      </c>
      <c r="H94" s="293">
        <f ca="1"/>
        <v>0</v>
      </c>
      <c r="I94" s="293">
        <f ca="1"/>
        <v>0</v>
      </c>
      <c r="J94" s="293">
        <f ca="1"/>
        <v>0</v>
      </c>
      <c r="K94" s="293">
        <f ca="1"/>
        <v>4196.4427041678455</v>
      </c>
      <c r="L94" s="293">
        <f ca="1"/>
        <v>4947.1390522631164</v>
      </c>
      <c r="M94" s="293">
        <f ca="1"/>
        <v>5000</v>
      </c>
      <c r="N94" s="293">
        <f ca="1"/>
        <v>5000</v>
      </c>
      <c r="O94" s="293">
        <f ca="1"/>
        <v>5000</v>
      </c>
      <c r="P94" s="293">
        <f ca="1"/>
        <v>5000</v>
      </c>
      <c r="Q94" s="293">
        <f ca="1"/>
        <v>9423.5199996978354</v>
      </c>
      <c r="R94" s="293">
        <f ca="1"/>
        <v>10000</v>
      </c>
      <c r="S94" s="293">
        <f ca="1"/>
        <v>10000</v>
      </c>
      <c r="T94" s="293">
        <f ca="1"/>
        <v>10000</v>
      </c>
      <c r="U94" s="293">
        <f ca="1"/>
        <v>10000</v>
      </c>
      <c r="V94" s="293">
        <f ca="1"/>
        <v>10000</v>
      </c>
      <c r="W94" s="293">
        <f ca="1"/>
        <v>15000</v>
      </c>
      <c r="X94" s="293">
        <f ca="1"/>
        <v>15000</v>
      </c>
      <c r="Y94" s="293">
        <f ca="1"/>
        <v>15000</v>
      </c>
      <c r="Z94" s="293">
        <f ca="1"/>
        <v>15000</v>
      </c>
      <c r="AA94" s="293">
        <f ca="1"/>
        <v>20000</v>
      </c>
    </row>
    <row r="95" spans="1:27">
      <c r="B95" s="292">
        <v>18</v>
      </c>
      <c r="C95" s="298" t="s">
        <v>294</v>
      </c>
      <c r="D95" s="292" cm="1">
        <f t="array" aca="1" ref="D95:AA95" ca="1">OFFSET('Inventory Report'!J18,0,E72,1,24)</f>
        <v>0</v>
      </c>
      <c r="E95" s="293">
        <f ca="1"/>
        <v>0</v>
      </c>
      <c r="F95" s="293">
        <f ca="1"/>
        <v>0</v>
      </c>
      <c r="G95" s="293">
        <f ca="1"/>
        <v>0</v>
      </c>
      <c r="H95" s="293">
        <f ca="1"/>
        <v>0</v>
      </c>
      <c r="I95" s="293">
        <f ca="1"/>
        <v>0</v>
      </c>
      <c r="J95" s="293">
        <f ca="1"/>
        <v>0</v>
      </c>
      <c r="K95" s="293">
        <f ca="1"/>
        <v>0</v>
      </c>
      <c r="L95" s="293">
        <f ca="1"/>
        <v>0</v>
      </c>
      <c r="M95" s="293">
        <f ca="1"/>
        <v>0</v>
      </c>
      <c r="N95" s="293">
        <f ca="1"/>
        <v>0</v>
      </c>
      <c r="O95" s="293">
        <f ca="1"/>
        <v>0</v>
      </c>
      <c r="P95" s="293">
        <f ca="1"/>
        <v>0</v>
      </c>
      <c r="Q95" s="293">
        <f ca="1"/>
        <v>0</v>
      </c>
      <c r="R95" s="293">
        <f ca="1"/>
        <v>0</v>
      </c>
      <c r="S95" s="293">
        <f ca="1"/>
        <v>0</v>
      </c>
      <c r="T95" s="293">
        <f ca="1"/>
        <v>0</v>
      </c>
      <c r="U95" s="293">
        <f ca="1"/>
        <v>0</v>
      </c>
      <c r="V95" s="293">
        <f ca="1"/>
        <v>0</v>
      </c>
      <c r="W95" s="293">
        <f ca="1"/>
        <v>0</v>
      </c>
      <c r="X95" s="293">
        <f ca="1"/>
        <v>0</v>
      </c>
      <c r="Y95" s="293">
        <f ca="1"/>
        <v>0</v>
      </c>
      <c r="Z95" s="293">
        <f ca="1"/>
        <v>0</v>
      </c>
      <c r="AA95" s="293">
        <f ca="1"/>
        <v>0</v>
      </c>
    </row>
    <row r="96" spans="1:27">
      <c r="D96" s="292"/>
    </row>
    <row r="97" spans="4:4">
      <c r="D97" s="292"/>
    </row>
    <row r="98" spans="4:4">
      <c r="D98" s="292"/>
    </row>
    <row r="99" spans="4:4">
      <c r="D99" s="292"/>
    </row>
    <row r="100" spans="4:4">
      <c r="D100" s="292"/>
    </row>
    <row r="101" spans="4:4">
      <c r="D101" s="29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26D49-1BD4-4914-8E42-554F2FD42F87}">
  <dimension ref="A1:IR70"/>
  <sheetViews>
    <sheetView topLeftCell="A19" workbookViewId="0">
      <selection activeCell="L23" sqref="L23"/>
    </sheetView>
  </sheetViews>
  <sheetFormatPr defaultColWidth="8.90625" defaultRowHeight="13.15"/>
  <cols>
    <col min="1" max="1" width="3.36328125" style="314" customWidth="1"/>
    <col min="2" max="2" width="25.36328125" style="314" customWidth="1"/>
    <col min="3" max="3" width="3.36328125" style="314" customWidth="1"/>
    <col min="4" max="6" width="16.81640625" style="314" customWidth="1"/>
    <col min="7" max="7" width="18" style="314" customWidth="1"/>
    <col min="8" max="8" width="19.1796875" style="314" customWidth="1"/>
    <col min="9" max="16384" width="8.90625" style="314"/>
  </cols>
  <sheetData>
    <row r="1" spans="1:252" ht="14.25">
      <c r="A1" s="292"/>
      <c r="B1" s="292"/>
      <c r="C1" s="292"/>
      <c r="D1" s="292"/>
      <c r="E1" s="292"/>
      <c r="F1" s="292"/>
      <c r="G1" s="292"/>
      <c r="H1" s="292"/>
      <c r="I1" s="292"/>
      <c r="J1" s="292"/>
      <c r="K1" s="294"/>
      <c r="L1" s="294"/>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c r="BB1" s="294"/>
      <c r="BC1" s="294"/>
      <c r="BD1" s="294"/>
      <c r="BE1" s="294"/>
      <c r="BF1" s="294"/>
      <c r="BG1" s="294"/>
      <c r="BH1" s="294"/>
      <c r="BI1" s="294"/>
      <c r="BJ1" s="294"/>
      <c r="BK1" s="294"/>
      <c r="BL1" s="294"/>
      <c r="BM1" s="294"/>
      <c r="BN1" s="294"/>
      <c r="BO1" s="294"/>
      <c r="BP1" s="294"/>
      <c r="BQ1" s="294"/>
      <c r="BR1" s="294"/>
      <c r="BS1" s="294"/>
      <c r="BT1" s="294"/>
      <c r="BU1" s="294"/>
      <c r="BV1" s="294"/>
      <c r="BW1" s="294"/>
      <c r="BX1" s="294"/>
      <c r="BY1" s="294"/>
      <c r="BZ1" s="294"/>
      <c r="CA1" s="294"/>
      <c r="CB1" s="294"/>
      <c r="CC1" s="294"/>
      <c r="CD1" s="294"/>
      <c r="CE1" s="294"/>
      <c r="CF1" s="294"/>
      <c r="CG1" s="294"/>
      <c r="CH1" s="294"/>
      <c r="CI1" s="294"/>
      <c r="CJ1" s="294"/>
      <c r="CK1" s="294"/>
      <c r="CL1" s="294"/>
      <c r="CM1" s="294"/>
      <c r="CN1" s="294"/>
      <c r="CO1" s="294"/>
      <c r="CP1" s="294"/>
      <c r="CQ1" s="294"/>
      <c r="CR1" s="294"/>
      <c r="CS1" s="294"/>
      <c r="CT1" s="294"/>
      <c r="CU1" s="294"/>
      <c r="CV1" s="294"/>
      <c r="CW1" s="294"/>
      <c r="CX1" s="294"/>
      <c r="CY1" s="294"/>
      <c r="CZ1" s="294"/>
      <c r="DA1" s="294"/>
      <c r="DB1" s="294"/>
      <c r="DC1" s="294"/>
      <c r="DD1" s="294"/>
      <c r="DE1" s="294"/>
      <c r="DF1" s="294"/>
      <c r="DG1" s="294"/>
      <c r="DH1" s="294"/>
      <c r="DI1" s="294"/>
      <c r="DJ1" s="294"/>
      <c r="DK1" s="294"/>
      <c r="DL1" s="294"/>
      <c r="DM1" s="294"/>
      <c r="DN1" s="294"/>
      <c r="DO1" s="294"/>
      <c r="DP1" s="294"/>
      <c r="DQ1" s="294"/>
      <c r="DR1" s="294"/>
      <c r="DS1" s="294"/>
      <c r="DT1" s="294"/>
      <c r="DU1" s="294"/>
      <c r="DV1" s="294"/>
      <c r="DW1" s="294"/>
      <c r="DX1" s="294"/>
      <c r="DY1" s="294"/>
      <c r="DZ1" s="294"/>
      <c r="EA1" s="294"/>
      <c r="EB1" s="294"/>
      <c r="EC1" s="294"/>
      <c r="ED1" s="294"/>
      <c r="EE1" s="294"/>
      <c r="EF1" s="294"/>
      <c r="EG1" s="294"/>
      <c r="EH1" s="294"/>
      <c r="EI1" s="294"/>
      <c r="EJ1" s="294"/>
      <c r="EK1" s="294"/>
      <c r="EL1" s="294"/>
      <c r="EM1" s="294"/>
      <c r="EN1" s="294"/>
      <c r="EO1" s="294"/>
      <c r="EP1" s="294"/>
      <c r="EQ1" s="294"/>
      <c r="ER1" s="294"/>
      <c r="ES1" s="294"/>
      <c r="ET1" s="294"/>
      <c r="EU1" s="294"/>
      <c r="EV1" s="294"/>
      <c r="EW1" s="294"/>
      <c r="EX1" s="294"/>
      <c r="EY1" s="294"/>
      <c r="EZ1" s="294"/>
      <c r="FA1" s="294"/>
      <c r="FB1" s="294"/>
      <c r="FC1" s="294"/>
      <c r="FD1" s="294"/>
      <c r="FE1" s="294"/>
      <c r="FF1" s="294"/>
      <c r="FG1" s="294"/>
      <c r="FH1" s="294"/>
      <c r="FI1" s="294"/>
      <c r="FJ1" s="294"/>
      <c r="FK1" s="294"/>
      <c r="FL1" s="294"/>
      <c r="FM1" s="294"/>
      <c r="FN1" s="294"/>
      <c r="FO1" s="294"/>
      <c r="FP1" s="294"/>
      <c r="FQ1" s="294"/>
      <c r="FR1" s="294"/>
      <c r="FS1" s="294"/>
      <c r="FT1" s="294"/>
      <c r="FU1" s="294"/>
      <c r="FV1" s="294"/>
      <c r="FW1" s="294"/>
      <c r="FX1" s="294"/>
      <c r="FY1" s="294"/>
      <c r="FZ1" s="294"/>
      <c r="GA1" s="294"/>
      <c r="GB1" s="294"/>
      <c r="GC1" s="294"/>
      <c r="GD1" s="294"/>
      <c r="GE1" s="294"/>
      <c r="GF1" s="294"/>
      <c r="GG1" s="294"/>
      <c r="GH1" s="294"/>
      <c r="GI1" s="294"/>
      <c r="GJ1" s="294"/>
      <c r="GK1" s="294"/>
      <c r="GL1" s="294"/>
      <c r="GM1" s="294"/>
      <c r="GN1" s="294"/>
      <c r="GO1" s="294"/>
      <c r="GP1" s="294"/>
      <c r="GQ1" s="294"/>
      <c r="GR1" s="294"/>
      <c r="GS1" s="294"/>
      <c r="GT1" s="294"/>
      <c r="GU1" s="294"/>
      <c r="GV1" s="294"/>
      <c r="GW1" s="294"/>
      <c r="GX1" s="294"/>
      <c r="GY1" s="294"/>
      <c r="GZ1" s="294"/>
      <c r="HA1" s="294"/>
      <c r="HB1" s="294"/>
      <c r="HC1" s="294"/>
      <c r="HD1" s="294"/>
      <c r="HE1" s="294"/>
      <c r="HF1" s="294"/>
      <c r="HG1" s="294"/>
      <c r="HH1" s="294"/>
      <c r="HI1" s="294"/>
      <c r="HJ1" s="294"/>
      <c r="HK1" s="294"/>
      <c r="HL1" s="294"/>
      <c r="HM1" s="294"/>
      <c r="HN1" s="294"/>
      <c r="HO1" s="294"/>
      <c r="HP1" s="294"/>
      <c r="HQ1" s="294"/>
      <c r="HR1" s="294"/>
      <c r="HS1" s="294"/>
      <c r="HT1" s="294"/>
      <c r="HU1" s="294"/>
      <c r="HV1" s="294"/>
      <c r="HW1" s="294"/>
      <c r="HX1" s="294"/>
      <c r="HY1" s="294"/>
      <c r="HZ1" s="294"/>
      <c r="IA1" s="294"/>
      <c r="IB1" s="294"/>
      <c r="IC1" s="294"/>
      <c r="ID1" s="294"/>
      <c r="IE1" s="294"/>
      <c r="IF1" s="294"/>
      <c r="IG1" s="294"/>
      <c r="IH1" s="294"/>
      <c r="II1" s="294"/>
      <c r="IJ1" s="294"/>
      <c r="IK1" s="294"/>
      <c r="IL1" s="294"/>
      <c r="IM1" s="294"/>
      <c r="IN1" s="294"/>
      <c r="IO1" s="294"/>
      <c r="IP1" s="294"/>
      <c r="IQ1" s="294"/>
      <c r="IR1" s="294"/>
    </row>
    <row r="2" spans="1:252" ht="14.25">
      <c r="B2" s="336" t="s">
        <v>346</v>
      </c>
      <c r="C2" s="324"/>
      <c r="D2" s="337">
        <f>'Income Statement Ann'!J2</f>
        <v>45412</v>
      </c>
      <c r="E2" s="337">
        <f>'Income Statement Ann'!K2</f>
        <v>45777</v>
      </c>
      <c r="F2" s="337">
        <f>'Income Statement Ann'!L2</f>
        <v>46142</v>
      </c>
      <c r="G2" s="337">
        <f>'Income Statement Ann'!M2</f>
        <v>46507</v>
      </c>
      <c r="H2" s="337">
        <f>'Income Statement Ann'!N2</f>
        <v>46873</v>
      </c>
    </row>
    <row r="3" spans="1:252" ht="14.25">
      <c r="A3" s="292"/>
      <c r="B3" s="292"/>
      <c r="C3" s="292"/>
      <c r="D3" s="318"/>
      <c r="E3" s="318"/>
      <c r="F3" s="318"/>
      <c r="G3" s="318"/>
      <c r="H3" s="318"/>
      <c r="I3" s="292"/>
      <c r="J3" s="292"/>
      <c r="K3" s="294"/>
      <c r="L3" s="294"/>
      <c r="M3" s="294"/>
      <c r="N3" s="294"/>
      <c r="O3" s="294"/>
      <c r="P3" s="294"/>
      <c r="Q3" s="294"/>
      <c r="R3" s="294"/>
      <c r="S3" s="294"/>
      <c r="T3" s="294"/>
      <c r="U3" s="294"/>
      <c r="V3" s="294"/>
      <c r="W3" s="294"/>
      <c r="X3" s="294"/>
      <c r="Y3" s="294"/>
      <c r="Z3" s="294"/>
      <c r="AA3" s="294"/>
      <c r="AB3" s="294"/>
      <c r="AC3" s="294"/>
      <c r="AD3" s="294"/>
      <c r="AE3" s="294"/>
      <c r="AF3" s="294"/>
      <c r="AG3" s="294"/>
      <c r="AH3" s="294"/>
      <c r="AI3" s="294"/>
      <c r="AJ3" s="294"/>
      <c r="AK3" s="294"/>
      <c r="AL3" s="294"/>
      <c r="AM3" s="294"/>
      <c r="AN3" s="294"/>
      <c r="AO3" s="294"/>
      <c r="AP3" s="294"/>
      <c r="AQ3" s="294"/>
      <c r="AR3" s="294"/>
      <c r="AS3" s="294"/>
      <c r="AT3" s="294"/>
      <c r="AU3" s="294"/>
      <c r="AV3" s="294"/>
      <c r="AW3" s="294"/>
      <c r="AX3" s="294"/>
      <c r="AY3" s="294"/>
      <c r="AZ3" s="294"/>
      <c r="BA3" s="294"/>
      <c r="BB3" s="294"/>
      <c r="BC3" s="294"/>
      <c r="BD3" s="294"/>
      <c r="BE3" s="294"/>
      <c r="BF3" s="294"/>
      <c r="BG3" s="294"/>
      <c r="BH3" s="294"/>
      <c r="BI3" s="294"/>
      <c r="BJ3" s="294"/>
      <c r="BK3" s="294"/>
      <c r="BL3" s="294"/>
      <c r="BM3" s="294"/>
      <c r="BN3" s="294"/>
      <c r="BO3" s="294"/>
      <c r="BP3" s="294"/>
      <c r="BQ3" s="294"/>
      <c r="BR3" s="294"/>
      <c r="BS3" s="294"/>
      <c r="BT3" s="294"/>
      <c r="BU3" s="294"/>
      <c r="BV3" s="294"/>
      <c r="BW3" s="294"/>
      <c r="BX3" s="294"/>
      <c r="BY3" s="294"/>
      <c r="BZ3" s="294"/>
      <c r="CA3" s="294"/>
      <c r="CB3" s="294"/>
      <c r="CC3" s="294"/>
      <c r="CD3" s="294"/>
      <c r="CE3" s="294"/>
      <c r="CF3" s="294"/>
      <c r="CG3" s="294"/>
      <c r="CH3" s="294"/>
      <c r="CI3" s="294"/>
      <c r="CJ3" s="294"/>
      <c r="CK3" s="294"/>
      <c r="CL3" s="294"/>
      <c r="CM3" s="294"/>
      <c r="CN3" s="294"/>
      <c r="CO3" s="294"/>
      <c r="CP3" s="294"/>
      <c r="CQ3" s="294"/>
      <c r="CR3" s="294"/>
      <c r="CS3" s="294"/>
      <c r="CT3" s="294"/>
      <c r="CU3" s="294"/>
      <c r="CV3" s="294"/>
      <c r="CW3" s="294"/>
      <c r="CX3" s="294"/>
      <c r="CY3" s="294"/>
      <c r="CZ3" s="294"/>
      <c r="DA3" s="294"/>
      <c r="DB3" s="294"/>
      <c r="DC3" s="294"/>
      <c r="DD3" s="294"/>
      <c r="DE3" s="294"/>
      <c r="DF3" s="294"/>
      <c r="DG3" s="294"/>
      <c r="DH3" s="294"/>
      <c r="DI3" s="294"/>
      <c r="DJ3" s="294"/>
      <c r="DK3" s="294"/>
      <c r="DL3" s="294"/>
      <c r="DM3" s="294"/>
      <c r="DN3" s="294"/>
      <c r="DO3" s="294"/>
      <c r="DP3" s="294"/>
      <c r="DQ3" s="294"/>
      <c r="DR3" s="294"/>
      <c r="DS3" s="294"/>
      <c r="DT3" s="294"/>
      <c r="DU3" s="294"/>
      <c r="DV3" s="294"/>
      <c r="DW3" s="294"/>
      <c r="DX3" s="294"/>
      <c r="DY3" s="294"/>
      <c r="DZ3" s="294"/>
      <c r="EA3" s="294"/>
      <c r="EB3" s="294"/>
      <c r="EC3" s="294"/>
      <c r="ED3" s="294"/>
      <c r="EE3" s="294"/>
      <c r="EF3" s="294"/>
      <c r="EG3" s="294"/>
      <c r="EH3" s="294"/>
      <c r="EI3" s="294"/>
      <c r="EJ3" s="294"/>
      <c r="EK3" s="294"/>
      <c r="EL3" s="294"/>
      <c r="EM3" s="294"/>
      <c r="EN3" s="294"/>
      <c r="EO3" s="294"/>
      <c r="EP3" s="294"/>
      <c r="EQ3" s="294"/>
      <c r="ER3" s="294"/>
      <c r="ES3" s="294"/>
      <c r="ET3" s="294"/>
      <c r="EU3" s="294"/>
      <c r="EV3" s="294"/>
      <c r="EW3" s="294"/>
      <c r="EX3" s="294"/>
      <c r="EY3" s="294"/>
      <c r="EZ3" s="294"/>
      <c r="FA3" s="294"/>
      <c r="FB3" s="294"/>
      <c r="FC3" s="294"/>
      <c r="FD3" s="294"/>
      <c r="FE3" s="294"/>
      <c r="FF3" s="294"/>
      <c r="FG3" s="294"/>
      <c r="FH3" s="294"/>
      <c r="FI3" s="294"/>
      <c r="FJ3" s="294"/>
      <c r="FK3" s="294"/>
      <c r="FL3" s="294"/>
      <c r="FM3" s="294"/>
      <c r="FN3" s="294"/>
      <c r="FO3" s="294"/>
      <c r="FP3" s="294"/>
      <c r="FQ3" s="294"/>
      <c r="FR3" s="294"/>
      <c r="FS3" s="294"/>
      <c r="FT3" s="294"/>
      <c r="FU3" s="294"/>
      <c r="FV3" s="294"/>
      <c r="FW3" s="294"/>
      <c r="FX3" s="294"/>
      <c r="FY3" s="294"/>
      <c r="FZ3" s="294"/>
      <c r="GA3" s="294"/>
      <c r="GB3" s="294"/>
      <c r="GC3" s="294"/>
      <c r="GD3" s="294"/>
      <c r="GE3" s="294"/>
      <c r="GF3" s="294"/>
      <c r="GG3" s="294"/>
      <c r="GH3" s="294"/>
      <c r="GI3" s="294"/>
      <c r="GJ3" s="294"/>
      <c r="GK3" s="294"/>
      <c r="GL3" s="294"/>
      <c r="GM3" s="294"/>
      <c r="GN3" s="294"/>
      <c r="GO3" s="294"/>
      <c r="GP3" s="294"/>
      <c r="GQ3" s="294"/>
      <c r="GR3" s="294"/>
      <c r="GS3" s="294"/>
      <c r="GT3" s="294"/>
      <c r="GU3" s="294"/>
      <c r="GV3" s="294"/>
      <c r="GW3" s="294"/>
      <c r="GX3" s="294"/>
      <c r="GY3" s="294"/>
      <c r="GZ3" s="294"/>
      <c r="HA3" s="294"/>
      <c r="HB3" s="294"/>
      <c r="HC3" s="294"/>
      <c r="HD3" s="294"/>
      <c r="HE3" s="294"/>
      <c r="HF3" s="294"/>
      <c r="HG3" s="294"/>
      <c r="HH3" s="294"/>
      <c r="HI3" s="294"/>
      <c r="HJ3" s="294"/>
      <c r="HK3" s="294"/>
      <c r="HL3" s="294"/>
      <c r="HM3" s="294"/>
      <c r="HN3" s="294"/>
      <c r="HO3" s="294"/>
      <c r="HP3" s="294"/>
      <c r="HQ3" s="294"/>
      <c r="HR3" s="294"/>
      <c r="HS3" s="294"/>
      <c r="HT3" s="294"/>
      <c r="HU3" s="294"/>
      <c r="HV3" s="294"/>
      <c r="HW3" s="294"/>
      <c r="HX3" s="294"/>
      <c r="HY3" s="294"/>
      <c r="HZ3" s="294"/>
      <c r="IA3" s="294"/>
      <c r="IB3" s="294"/>
      <c r="IC3" s="294"/>
      <c r="ID3" s="294"/>
      <c r="IE3" s="294"/>
      <c r="IF3" s="294"/>
      <c r="IG3" s="294"/>
      <c r="IH3" s="294"/>
      <c r="II3" s="294"/>
      <c r="IJ3" s="294"/>
      <c r="IK3" s="294"/>
      <c r="IL3" s="294"/>
      <c r="IM3" s="294"/>
      <c r="IN3" s="294"/>
      <c r="IO3" s="294"/>
      <c r="IP3" s="294"/>
      <c r="IQ3" s="294"/>
      <c r="IR3" s="294"/>
    </row>
    <row r="4" spans="1:252" ht="14.25">
      <c r="A4" s="292"/>
      <c r="B4" s="320" t="str">
        <f>'Income Statement Ann'!E8</f>
        <v>Income</v>
      </c>
      <c r="C4" s="292"/>
      <c r="D4" s="317">
        <f ca="1">'Income Statement Ann'!J8</f>
        <v>289722.98107717151</v>
      </c>
      <c r="E4" s="317">
        <f ca="1">'Income Statement Ann'!K8</f>
        <v>1733082.2399963741</v>
      </c>
      <c r="F4" s="317">
        <f ca="1">'Income Statement Ann'!L8</f>
        <v>4465743.6124945106</v>
      </c>
      <c r="G4" s="317">
        <f ca="1">'Income Statement Ann'!M8</f>
        <v>9784920.3771934006</v>
      </c>
      <c r="H4" s="317">
        <f ca="1">'Income Statement Ann'!N8</f>
        <v>20291278.797476858</v>
      </c>
      <c r="I4" s="292"/>
      <c r="J4" s="292"/>
      <c r="K4" s="294"/>
      <c r="L4" s="294"/>
      <c r="M4" s="294"/>
      <c r="N4" s="294"/>
      <c r="O4" s="294"/>
      <c r="P4" s="294"/>
      <c r="Q4" s="294"/>
      <c r="R4" s="294"/>
      <c r="S4" s="294"/>
      <c r="T4" s="294"/>
      <c r="U4" s="294"/>
      <c r="V4" s="294"/>
      <c r="W4" s="294"/>
      <c r="X4" s="294"/>
      <c r="Y4" s="294"/>
      <c r="Z4" s="294"/>
      <c r="AA4" s="294"/>
      <c r="AB4" s="294"/>
      <c r="AC4" s="294"/>
      <c r="AD4" s="294"/>
      <c r="AE4" s="294"/>
      <c r="AF4" s="294"/>
      <c r="AG4" s="294"/>
      <c r="AH4" s="294"/>
      <c r="AI4" s="294"/>
      <c r="AJ4" s="294"/>
      <c r="AK4" s="294"/>
      <c r="AL4" s="294"/>
      <c r="AM4" s="294"/>
      <c r="AN4" s="294"/>
      <c r="AO4" s="294"/>
      <c r="AP4" s="294"/>
      <c r="AQ4" s="294"/>
      <c r="AR4" s="294"/>
      <c r="AS4" s="294"/>
      <c r="AT4" s="294"/>
      <c r="AU4" s="294"/>
      <c r="AV4" s="294"/>
      <c r="AW4" s="294"/>
      <c r="AX4" s="294"/>
      <c r="AY4" s="294"/>
      <c r="AZ4" s="294"/>
      <c r="BA4" s="294"/>
      <c r="BB4" s="294"/>
      <c r="BC4" s="294"/>
      <c r="BD4" s="294"/>
      <c r="BE4" s="294"/>
      <c r="BF4" s="294"/>
      <c r="BG4" s="294"/>
      <c r="BH4" s="294"/>
      <c r="BI4" s="294"/>
      <c r="BJ4" s="294"/>
      <c r="BK4" s="294"/>
      <c r="BL4" s="294"/>
      <c r="BM4" s="294"/>
      <c r="BN4" s="294"/>
      <c r="BO4" s="294"/>
      <c r="BP4" s="294"/>
      <c r="BQ4" s="294"/>
      <c r="BR4" s="294"/>
      <c r="BS4" s="294"/>
      <c r="BT4" s="294"/>
      <c r="BU4" s="294"/>
      <c r="BV4" s="294"/>
      <c r="BW4" s="294"/>
      <c r="BX4" s="294"/>
      <c r="BY4" s="294"/>
      <c r="BZ4" s="294"/>
      <c r="CA4" s="294"/>
      <c r="CB4" s="294"/>
      <c r="CC4" s="294"/>
      <c r="CD4" s="294"/>
      <c r="CE4" s="294"/>
      <c r="CF4" s="294"/>
      <c r="CG4" s="294"/>
      <c r="CH4" s="294"/>
      <c r="CI4" s="294"/>
      <c r="CJ4" s="294"/>
      <c r="CK4" s="294"/>
      <c r="CL4" s="294"/>
      <c r="CM4" s="294"/>
      <c r="CN4" s="294"/>
      <c r="CO4" s="294"/>
      <c r="CP4" s="294"/>
      <c r="CQ4" s="294"/>
      <c r="CR4" s="294"/>
      <c r="CS4" s="294"/>
      <c r="CT4" s="294"/>
      <c r="CU4" s="294"/>
      <c r="CV4" s="294"/>
      <c r="CW4" s="294"/>
      <c r="CX4" s="294"/>
      <c r="CY4" s="294"/>
      <c r="CZ4" s="294"/>
      <c r="DA4" s="294"/>
      <c r="DB4" s="294"/>
      <c r="DC4" s="294"/>
      <c r="DD4" s="294"/>
      <c r="DE4" s="294"/>
      <c r="DF4" s="294"/>
      <c r="DG4" s="294"/>
      <c r="DH4" s="294"/>
      <c r="DI4" s="294"/>
      <c r="DJ4" s="294"/>
      <c r="DK4" s="294"/>
      <c r="DL4" s="294"/>
      <c r="DM4" s="294"/>
      <c r="DN4" s="294"/>
      <c r="DO4" s="294"/>
      <c r="DP4" s="294"/>
      <c r="DQ4" s="294"/>
      <c r="DR4" s="294"/>
      <c r="DS4" s="294"/>
      <c r="DT4" s="294"/>
      <c r="DU4" s="294"/>
      <c r="DV4" s="294"/>
      <c r="DW4" s="294"/>
      <c r="DX4" s="294"/>
      <c r="DY4" s="294"/>
      <c r="DZ4" s="294"/>
      <c r="EA4" s="294"/>
      <c r="EB4" s="294"/>
      <c r="EC4" s="294"/>
      <c r="ED4" s="294"/>
      <c r="EE4" s="294"/>
      <c r="EF4" s="294"/>
      <c r="EG4" s="294"/>
      <c r="EH4" s="294"/>
      <c r="EI4" s="294"/>
      <c r="EJ4" s="294"/>
      <c r="EK4" s="294"/>
      <c r="EL4" s="294"/>
      <c r="EM4" s="294"/>
      <c r="EN4" s="294"/>
      <c r="EO4" s="294"/>
      <c r="EP4" s="294"/>
      <c r="EQ4" s="294"/>
      <c r="ER4" s="294"/>
      <c r="ES4" s="294"/>
      <c r="ET4" s="294"/>
      <c r="EU4" s="294"/>
      <c r="EV4" s="294"/>
      <c r="EW4" s="294"/>
      <c r="EX4" s="294"/>
      <c r="EY4" s="294"/>
      <c r="EZ4" s="294"/>
      <c r="FA4" s="294"/>
      <c r="FB4" s="294"/>
      <c r="FC4" s="294"/>
      <c r="FD4" s="294"/>
      <c r="FE4" s="294"/>
      <c r="FF4" s="294"/>
      <c r="FG4" s="294"/>
      <c r="FH4" s="294"/>
      <c r="FI4" s="294"/>
      <c r="FJ4" s="294"/>
      <c r="FK4" s="294"/>
      <c r="FL4" s="294"/>
      <c r="FM4" s="294"/>
      <c r="FN4" s="294"/>
      <c r="FO4" s="294"/>
      <c r="FP4" s="294"/>
      <c r="FQ4" s="294"/>
      <c r="FR4" s="294"/>
      <c r="FS4" s="294"/>
      <c r="FT4" s="294"/>
      <c r="FU4" s="294"/>
      <c r="FV4" s="294"/>
      <c r="FW4" s="294"/>
      <c r="FX4" s="294"/>
      <c r="FY4" s="294"/>
      <c r="FZ4" s="294"/>
      <c r="GA4" s="294"/>
      <c r="GB4" s="294"/>
      <c r="GC4" s="294"/>
      <c r="GD4" s="294"/>
      <c r="GE4" s="294"/>
      <c r="GF4" s="294"/>
      <c r="GG4" s="294"/>
      <c r="GH4" s="294"/>
      <c r="GI4" s="294"/>
      <c r="GJ4" s="294"/>
      <c r="GK4" s="294"/>
      <c r="GL4" s="294"/>
      <c r="GM4" s="294"/>
      <c r="GN4" s="294"/>
      <c r="GO4" s="294"/>
      <c r="GP4" s="294"/>
      <c r="GQ4" s="294"/>
      <c r="GR4" s="294"/>
      <c r="GS4" s="294"/>
      <c r="GT4" s="294"/>
      <c r="GU4" s="294"/>
      <c r="GV4" s="294"/>
      <c r="GW4" s="294"/>
      <c r="GX4" s="294"/>
      <c r="GY4" s="294"/>
      <c r="GZ4" s="294"/>
      <c r="HA4" s="294"/>
      <c r="HB4" s="294"/>
      <c r="HC4" s="294"/>
      <c r="HD4" s="294"/>
      <c r="HE4" s="294"/>
      <c r="HF4" s="294"/>
      <c r="HG4" s="294"/>
      <c r="HH4" s="294"/>
      <c r="HI4" s="294"/>
      <c r="HJ4" s="294"/>
      <c r="HK4" s="294"/>
      <c r="HL4" s="294"/>
      <c r="HM4" s="294"/>
      <c r="HN4" s="294"/>
      <c r="HO4" s="294"/>
      <c r="HP4" s="294"/>
      <c r="HQ4" s="294"/>
      <c r="HR4" s="294"/>
      <c r="HS4" s="294"/>
      <c r="HT4" s="294"/>
      <c r="HU4" s="294"/>
      <c r="HV4" s="294"/>
      <c r="HW4" s="294"/>
      <c r="HX4" s="294"/>
      <c r="HY4" s="294"/>
      <c r="HZ4" s="294"/>
      <c r="IA4" s="294"/>
      <c r="IB4" s="294"/>
      <c r="IC4" s="294"/>
      <c r="ID4" s="294"/>
      <c r="IE4" s="294"/>
      <c r="IF4" s="294"/>
      <c r="IG4" s="294"/>
      <c r="IH4" s="294"/>
      <c r="II4" s="294"/>
      <c r="IJ4" s="294"/>
      <c r="IK4" s="294"/>
      <c r="IL4" s="294"/>
      <c r="IM4" s="294"/>
      <c r="IN4" s="294"/>
      <c r="IO4" s="294"/>
      <c r="IP4" s="294"/>
      <c r="IQ4" s="294"/>
      <c r="IR4" s="294"/>
    </row>
    <row r="5" spans="1:252" ht="14.25">
      <c r="A5" s="292"/>
      <c r="B5" s="320" t="str">
        <f>'Income Statement Ann'!E9</f>
        <v xml:space="preserve">Variable Operating expense </v>
      </c>
      <c r="C5" s="292"/>
      <c r="D5" s="317">
        <f ca="1">'Income Statement Ann'!J9</f>
        <v>-121298.68799564886</v>
      </c>
      <c r="E5" s="317">
        <f ca="1">'Income Statement Ann'!K9</f>
        <v>-242739.33839410261</v>
      </c>
      <c r="F5" s="317">
        <f ca="1">'Income Statement Ann'!L9</f>
        <v>-594575.55325138732</v>
      </c>
      <c r="G5" s="317">
        <f ca="1">'Income Statement Ann'!M9</f>
        <v>-1189171.9719731824</v>
      </c>
      <c r="H5" s="317">
        <f ca="1">'Income Statement Ann'!N9</f>
        <v>-2377731.5430702525</v>
      </c>
      <c r="I5" s="292"/>
      <c r="J5" s="292"/>
      <c r="K5" s="294"/>
      <c r="L5" s="294"/>
      <c r="M5" s="294"/>
      <c r="N5" s="294"/>
      <c r="O5" s="294"/>
      <c r="P5" s="294"/>
      <c r="Q5" s="294"/>
      <c r="R5" s="294"/>
      <c r="S5" s="294"/>
      <c r="T5" s="294"/>
      <c r="U5" s="294"/>
      <c r="V5" s="294"/>
      <c r="W5" s="294"/>
      <c r="X5" s="294"/>
      <c r="Y5" s="294"/>
      <c r="Z5" s="294"/>
      <c r="AA5" s="294"/>
      <c r="AB5" s="294"/>
      <c r="AC5" s="294"/>
      <c r="AD5" s="294"/>
      <c r="AE5" s="294"/>
      <c r="AF5" s="294"/>
      <c r="AG5" s="294"/>
      <c r="AH5" s="294"/>
      <c r="AI5" s="294"/>
      <c r="AJ5" s="294"/>
      <c r="AK5" s="294"/>
      <c r="AL5" s="294"/>
      <c r="AM5" s="294"/>
      <c r="AN5" s="294"/>
      <c r="AO5" s="294"/>
      <c r="AP5" s="294"/>
      <c r="AQ5" s="294"/>
      <c r="AR5" s="294"/>
      <c r="AS5" s="294"/>
      <c r="AT5" s="294"/>
      <c r="AU5" s="294"/>
      <c r="AV5" s="294"/>
      <c r="AW5" s="294"/>
      <c r="AX5" s="294"/>
      <c r="AY5" s="294"/>
      <c r="AZ5" s="294"/>
      <c r="BA5" s="294"/>
      <c r="BB5" s="294"/>
      <c r="BC5" s="294"/>
      <c r="BD5" s="294"/>
      <c r="BE5" s="294"/>
      <c r="BF5" s="294"/>
      <c r="BG5" s="294"/>
      <c r="BH5" s="294"/>
      <c r="BI5" s="294"/>
      <c r="BJ5" s="294"/>
      <c r="BK5" s="294"/>
      <c r="BL5" s="294"/>
      <c r="BM5" s="294"/>
      <c r="BN5" s="294"/>
      <c r="BO5" s="294"/>
      <c r="BP5" s="294"/>
      <c r="BQ5" s="294"/>
      <c r="BR5" s="294"/>
      <c r="BS5" s="294"/>
      <c r="BT5" s="294"/>
      <c r="BU5" s="294"/>
      <c r="BV5" s="294"/>
      <c r="BW5" s="294"/>
      <c r="BX5" s="294"/>
      <c r="BY5" s="294"/>
      <c r="BZ5" s="294"/>
      <c r="CA5" s="294"/>
      <c r="CB5" s="294"/>
      <c r="CC5" s="294"/>
      <c r="CD5" s="294"/>
      <c r="CE5" s="294"/>
      <c r="CF5" s="294"/>
      <c r="CG5" s="294"/>
      <c r="CH5" s="294"/>
      <c r="CI5" s="294"/>
      <c r="CJ5" s="294"/>
      <c r="CK5" s="294"/>
      <c r="CL5" s="294"/>
      <c r="CM5" s="294"/>
      <c r="CN5" s="294"/>
      <c r="CO5" s="294"/>
      <c r="CP5" s="294"/>
      <c r="CQ5" s="294"/>
      <c r="CR5" s="294"/>
      <c r="CS5" s="294"/>
      <c r="CT5" s="294"/>
      <c r="CU5" s="294"/>
      <c r="CV5" s="294"/>
      <c r="CW5" s="294"/>
      <c r="CX5" s="294"/>
      <c r="CY5" s="294"/>
      <c r="CZ5" s="294"/>
      <c r="DA5" s="294"/>
      <c r="DB5" s="294"/>
      <c r="DC5" s="294"/>
      <c r="DD5" s="294"/>
      <c r="DE5" s="294"/>
      <c r="DF5" s="294"/>
      <c r="DG5" s="294"/>
      <c r="DH5" s="294"/>
      <c r="DI5" s="294"/>
      <c r="DJ5" s="294"/>
      <c r="DK5" s="294"/>
      <c r="DL5" s="294"/>
      <c r="DM5" s="294"/>
      <c r="DN5" s="294"/>
      <c r="DO5" s="294"/>
      <c r="DP5" s="294"/>
      <c r="DQ5" s="294"/>
      <c r="DR5" s="294"/>
      <c r="DS5" s="294"/>
      <c r="DT5" s="294"/>
      <c r="DU5" s="294"/>
      <c r="DV5" s="294"/>
      <c r="DW5" s="294"/>
      <c r="DX5" s="294"/>
      <c r="DY5" s="294"/>
      <c r="DZ5" s="294"/>
      <c r="EA5" s="294"/>
      <c r="EB5" s="294"/>
      <c r="EC5" s="294"/>
      <c r="ED5" s="294"/>
      <c r="EE5" s="294"/>
      <c r="EF5" s="294"/>
      <c r="EG5" s="294"/>
      <c r="EH5" s="294"/>
      <c r="EI5" s="294"/>
      <c r="EJ5" s="294"/>
      <c r="EK5" s="294"/>
      <c r="EL5" s="294"/>
      <c r="EM5" s="294"/>
      <c r="EN5" s="294"/>
      <c r="EO5" s="294"/>
      <c r="EP5" s="294"/>
      <c r="EQ5" s="294"/>
      <c r="ER5" s="294"/>
      <c r="ES5" s="294"/>
      <c r="ET5" s="294"/>
      <c r="EU5" s="294"/>
      <c r="EV5" s="294"/>
      <c r="EW5" s="294"/>
      <c r="EX5" s="294"/>
      <c r="EY5" s="294"/>
      <c r="EZ5" s="294"/>
      <c r="FA5" s="294"/>
      <c r="FB5" s="294"/>
      <c r="FC5" s="294"/>
      <c r="FD5" s="294"/>
      <c r="FE5" s="294"/>
      <c r="FF5" s="294"/>
      <c r="FG5" s="294"/>
      <c r="FH5" s="294"/>
      <c r="FI5" s="294"/>
      <c r="FJ5" s="294"/>
      <c r="FK5" s="294"/>
      <c r="FL5" s="294"/>
      <c r="FM5" s="294"/>
      <c r="FN5" s="294"/>
      <c r="FO5" s="294"/>
      <c r="FP5" s="294"/>
      <c r="FQ5" s="294"/>
      <c r="FR5" s="294"/>
      <c r="FS5" s="294"/>
      <c r="FT5" s="294"/>
      <c r="FU5" s="294"/>
      <c r="FV5" s="294"/>
      <c r="FW5" s="294"/>
      <c r="FX5" s="294"/>
      <c r="FY5" s="294"/>
      <c r="FZ5" s="294"/>
      <c r="GA5" s="294"/>
      <c r="GB5" s="294"/>
      <c r="GC5" s="294"/>
      <c r="GD5" s="294"/>
      <c r="GE5" s="294"/>
      <c r="GF5" s="294"/>
      <c r="GG5" s="294"/>
      <c r="GH5" s="294"/>
      <c r="GI5" s="294"/>
      <c r="GJ5" s="294"/>
      <c r="GK5" s="294"/>
      <c r="GL5" s="294"/>
      <c r="GM5" s="294"/>
      <c r="GN5" s="294"/>
      <c r="GO5" s="294"/>
      <c r="GP5" s="294"/>
      <c r="GQ5" s="294"/>
      <c r="GR5" s="294"/>
      <c r="GS5" s="294"/>
      <c r="GT5" s="294"/>
      <c r="GU5" s="294"/>
      <c r="GV5" s="294"/>
      <c r="GW5" s="294"/>
      <c r="GX5" s="294"/>
      <c r="GY5" s="294"/>
      <c r="GZ5" s="294"/>
      <c r="HA5" s="294"/>
      <c r="HB5" s="294"/>
      <c r="HC5" s="294"/>
      <c r="HD5" s="294"/>
      <c r="HE5" s="294"/>
      <c r="HF5" s="294"/>
      <c r="HG5" s="294"/>
      <c r="HH5" s="294"/>
      <c r="HI5" s="294"/>
      <c r="HJ5" s="294"/>
      <c r="HK5" s="294"/>
      <c r="HL5" s="294"/>
      <c r="HM5" s="294"/>
      <c r="HN5" s="294"/>
      <c r="HO5" s="294"/>
      <c r="HP5" s="294"/>
      <c r="HQ5" s="294"/>
      <c r="HR5" s="294"/>
      <c r="HS5" s="294"/>
      <c r="HT5" s="294"/>
      <c r="HU5" s="294"/>
      <c r="HV5" s="294"/>
      <c r="HW5" s="294"/>
      <c r="HX5" s="294"/>
      <c r="HY5" s="294"/>
      <c r="HZ5" s="294"/>
      <c r="IA5" s="294"/>
      <c r="IB5" s="294"/>
      <c r="IC5" s="294"/>
      <c r="ID5" s="294"/>
      <c r="IE5" s="294"/>
      <c r="IF5" s="294"/>
      <c r="IG5" s="294"/>
      <c r="IH5" s="294"/>
      <c r="II5" s="294"/>
      <c r="IJ5" s="294"/>
      <c r="IK5" s="294"/>
      <c r="IL5" s="294"/>
      <c r="IM5" s="294"/>
      <c r="IN5" s="294"/>
      <c r="IO5" s="294"/>
      <c r="IP5" s="294"/>
      <c r="IQ5" s="294"/>
      <c r="IR5" s="294"/>
    </row>
    <row r="6" spans="1:252" ht="14.25">
      <c r="A6" s="292"/>
      <c r="B6" s="320" t="str">
        <f>'Income Statement Ann'!E10</f>
        <v xml:space="preserve">Fixed operating expense </v>
      </c>
      <c r="C6" s="292"/>
      <c r="D6" s="317">
        <f>'Income Statement Ann'!J10</f>
        <v>-560015.74181995587</v>
      </c>
      <c r="E6" s="317">
        <f>'Income Statement Ann'!K10</f>
        <v>-616059.48877873819</v>
      </c>
      <c r="F6" s="317">
        <f>'Income Statement Ann'!L10</f>
        <v>-677665.77380683355</v>
      </c>
      <c r="G6" s="317">
        <f>'Income Statement Ann'!M10</f>
        <v>-745420.29249841766</v>
      </c>
      <c r="H6" s="317">
        <f>'Income Statement Ann'!N10</f>
        <v>-819910.1978034121</v>
      </c>
      <c r="I6" s="292"/>
      <c r="J6" s="292"/>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row>
    <row r="7" spans="1:252" s="315" customFormat="1" ht="14.25">
      <c r="A7" s="314"/>
      <c r="B7" s="319" t="str">
        <f>'Income Statement Ann'!E11</f>
        <v>EBITDA</v>
      </c>
      <c r="C7" s="321"/>
      <c r="D7" s="316">
        <f ca="1">'Income Statement Ann'!J11</f>
        <v>-391591.44873843325</v>
      </c>
      <c r="E7" s="316">
        <f ca="1">'Income Statement Ann'!K11</f>
        <v>874283.41282353317</v>
      </c>
      <c r="F7" s="316">
        <f ca="1">'Income Statement Ann'!L11</f>
        <v>3193502.2854362899</v>
      </c>
      <c r="G7" s="316">
        <f ca="1">'Income Statement Ann'!M11</f>
        <v>7850328.1127217989</v>
      </c>
      <c r="H7" s="316">
        <f ca="1">'Income Statement Ann'!N11</f>
        <v>17093637.05660319</v>
      </c>
      <c r="I7" s="314"/>
      <c r="J7" s="314"/>
      <c r="K7" s="314"/>
      <c r="L7" s="295"/>
      <c r="M7" s="295"/>
      <c r="N7" s="295"/>
      <c r="O7" s="295"/>
      <c r="P7" s="295"/>
      <c r="Q7" s="295"/>
      <c r="R7" s="295"/>
      <c r="S7" s="295"/>
      <c r="T7" s="295"/>
      <c r="U7" s="295"/>
      <c r="V7" s="295"/>
      <c r="W7" s="295"/>
      <c r="X7" s="295"/>
      <c r="Y7" s="295"/>
      <c r="Z7" s="295"/>
      <c r="AA7" s="295"/>
      <c r="AB7" s="295"/>
      <c r="AC7" s="295"/>
      <c r="AD7" s="295"/>
      <c r="AE7" s="295"/>
      <c r="AF7" s="295"/>
      <c r="AG7" s="295"/>
      <c r="AH7" s="295"/>
      <c r="AI7" s="295"/>
      <c r="AJ7" s="295"/>
      <c r="AK7" s="295"/>
      <c r="AL7" s="295"/>
      <c r="AM7" s="295"/>
      <c r="AN7" s="295"/>
      <c r="AO7" s="295"/>
      <c r="AP7" s="295"/>
      <c r="AQ7" s="295"/>
      <c r="AR7" s="295"/>
      <c r="AS7" s="295"/>
      <c r="AT7" s="295"/>
      <c r="AU7" s="295"/>
      <c r="AV7" s="295"/>
      <c r="AW7" s="295"/>
      <c r="AX7" s="295"/>
      <c r="AY7" s="295"/>
      <c r="AZ7" s="295"/>
      <c r="BA7" s="295"/>
      <c r="BB7" s="295"/>
      <c r="BC7" s="295"/>
      <c r="BD7" s="295"/>
      <c r="BE7" s="295"/>
      <c r="BF7" s="295"/>
      <c r="BG7" s="295"/>
      <c r="BH7" s="295"/>
      <c r="BI7" s="295"/>
      <c r="BJ7" s="295"/>
      <c r="BK7" s="295"/>
      <c r="BL7" s="295"/>
      <c r="BM7" s="295"/>
      <c r="BN7" s="295"/>
      <c r="BO7" s="295"/>
      <c r="BP7" s="295"/>
      <c r="BQ7" s="295"/>
      <c r="BR7" s="295"/>
      <c r="BS7" s="295"/>
      <c r="BT7" s="295"/>
      <c r="BU7" s="295"/>
      <c r="BV7" s="295"/>
      <c r="BW7" s="295"/>
      <c r="BX7" s="295"/>
      <c r="BY7" s="295"/>
      <c r="BZ7" s="295"/>
      <c r="CA7" s="295"/>
      <c r="CB7" s="295"/>
      <c r="CC7" s="295"/>
      <c r="CD7" s="295"/>
      <c r="CE7" s="295"/>
      <c r="CF7" s="295"/>
      <c r="CG7" s="295"/>
      <c r="CH7" s="295"/>
      <c r="CI7" s="295"/>
      <c r="CJ7" s="295"/>
      <c r="CK7" s="295"/>
      <c r="CL7" s="295"/>
      <c r="CM7" s="295"/>
      <c r="CN7" s="295"/>
      <c r="CO7" s="295"/>
      <c r="CP7" s="295"/>
      <c r="CQ7" s="295"/>
      <c r="CR7" s="295"/>
      <c r="CS7" s="295"/>
      <c r="CT7" s="295"/>
      <c r="CU7" s="295"/>
      <c r="CV7" s="295"/>
      <c r="CW7" s="295"/>
      <c r="CX7" s="295"/>
      <c r="CY7" s="295"/>
      <c r="CZ7" s="295"/>
      <c r="DA7" s="295"/>
      <c r="DB7" s="295"/>
      <c r="DC7" s="295"/>
      <c r="DD7" s="295"/>
      <c r="DE7" s="295"/>
      <c r="DF7" s="295"/>
      <c r="DG7" s="295"/>
      <c r="DH7" s="295"/>
      <c r="DI7" s="295"/>
      <c r="DJ7" s="295"/>
      <c r="DK7" s="295"/>
      <c r="DL7" s="295"/>
      <c r="DM7" s="295"/>
      <c r="DN7" s="295"/>
      <c r="DO7" s="295"/>
      <c r="DP7" s="295"/>
      <c r="DQ7" s="295"/>
      <c r="DR7" s="295"/>
      <c r="DS7" s="295"/>
      <c r="DT7" s="295"/>
      <c r="DU7" s="295"/>
      <c r="DV7" s="295"/>
      <c r="DW7" s="295"/>
      <c r="DX7" s="295"/>
      <c r="DY7" s="295"/>
      <c r="DZ7" s="295"/>
      <c r="EA7" s="295"/>
      <c r="EB7" s="295"/>
      <c r="EC7" s="295"/>
      <c r="ED7" s="295"/>
      <c r="EE7" s="295"/>
      <c r="EF7" s="295"/>
      <c r="EG7" s="295"/>
      <c r="EH7" s="295"/>
      <c r="EI7" s="295"/>
      <c r="EJ7" s="295"/>
      <c r="EK7" s="295"/>
      <c r="EL7" s="295"/>
      <c r="EM7" s="295"/>
      <c r="EN7" s="295"/>
      <c r="EO7" s="295"/>
      <c r="EP7" s="295"/>
      <c r="EQ7" s="295"/>
      <c r="ER7" s="295"/>
      <c r="ES7" s="295"/>
      <c r="ET7" s="295"/>
      <c r="EU7" s="295"/>
      <c r="EV7" s="295"/>
      <c r="EW7" s="295"/>
      <c r="EX7" s="295"/>
      <c r="EY7" s="295"/>
      <c r="EZ7" s="295"/>
      <c r="FA7" s="295"/>
      <c r="FB7" s="295"/>
      <c r="FC7" s="295"/>
      <c r="FD7" s="295"/>
      <c r="FE7" s="295"/>
      <c r="FF7" s="295"/>
      <c r="FG7" s="295"/>
      <c r="FH7" s="295"/>
      <c r="FI7" s="295"/>
      <c r="FJ7" s="295"/>
      <c r="FK7" s="295"/>
      <c r="FL7" s="295"/>
      <c r="FM7" s="295"/>
      <c r="FN7" s="295"/>
      <c r="FO7" s="295"/>
      <c r="FP7" s="295"/>
      <c r="FQ7" s="295"/>
      <c r="FR7" s="295"/>
      <c r="FS7" s="295"/>
      <c r="FT7" s="295"/>
      <c r="FU7" s="295"/>
      <c r="FV7" s="295"/>
      <c r="FW7" s="295"/>
      <c r="FX7" s="295"/>
      <c r="FY7" s="295"/>
      <c r="FZ7" s="295"/>
      <c r="GA7" s="295"/>
      <c r="GB7" s="295"/>
      <c r="GC7" s="295"/>
      <c r="GD7" s="295"/>
      <c r="GE7" s="295"/>
      <c r="GF7" s="295"/>
      <c r="GG7" s="295"/>
      <c r="GH7" s="295"/>
      <c r="GI7" s="295"/>
      <c r="GJ7" s="295"/>
      <c r="GK7" s="295"/>
      <c r="GL7" s="295"/>
      <c r="GM7" s="295"/>
      <c r="GN7" s="295"/>
      <c r="GO7" s="295"/>
      <c r="GP7" s="295"/>
      <c r="GQ7" s="295"/>
      <c r="GR7" s="295"/>
      <c r="GS7" s="295"/>
      <c r="GT7" s="295"/>
      <c r="GU7" s="295"/>
      <c r="GV7" s="295"/>
      <c r="GW7" s="295"/>
      <c r="GX7" s="295"/>
      <c r="GY7" s="295"/>
      <c r="GZ7" s="295"/>
      <c r="HA7" s="295"/>
      <c r="HB7" s="295"/>
      <c r="HC7" s="295"/>
      <c r="HD7" s="295"/>
      <c r="HE7" s="295"/>
      <c r="HF7" s="295"/>
      <c r="HG7" s="295"/>
      <c r="HH7" s="295"/>
      <c r="HI7" s="295"/>
      <c r="HJ7" s="295"/>
      <c r="HK7" s="295"/>
      <c r="HL7" s="295"/>
      <c r="HM7" s="295"/>
      <c r="HN7" s="295"/>
      <c r="HO7" s="295"/>
      <c r="HP7" s="295"/>
      <c r="HQ7" s="295"/>
      <c r="HR7" s="295"/>
      <c r="HS7" s="295"/>
      <c r="HT7" s="295"/>
      <c r="HU7" s="295"/>
      <c r="HV7" s="295"/>
      <c r="HW7" s="295"/>
      <c r="HX7" s="295"/>
      <c r="HY7" s="295"/>
      <c r="HZ7" s="295"/>
      <c r="IA7" s="295"/>
      <c r="IB7" s="295"/>
      <c r="IC7" s="295"/>
      <c r="ID7" s="295"/>
      <c r="IE7" s="295"/>
      <c r="IF7" s="295"/>
      <c r="IG7" s="295"/>
      <c r="IH7" s="295"/>
      <c r="II7" s="295"/>
      <c r="IJ7" s="295"/>
      <c r="IK7" s="295"/>
      <c r="IL7" s="295"/>
      <c r="IM7" s="295"/>
      <c r="IN7" s="295"/>
      <c r="IO7" s="295"/>
      <c r="IP7" s="295"/>
      <c r="IQ7" s="295"/>
      <c r="IR7" s="295"/>
    </row>
    <row r="8" spans="1:252" ht="14.25">
      <c r="A8" s="292"/>
      <c r="B8" s="320"/>
      <c r="C8" s="292"/>
      <c r="D8" s="317"/>
      <c r="E8" s="317"/>
      <c r="F8" s="317"/>
      <c r="G8" s="317"/>
      <c r="H8" s="317"/>
      <c r="I8" s="292"/>
      <c r="J8" s="292"/>
      <c r="K8" s="294"/>
      <c r="L8" s="294"/>
      <c r="M8" s="294"/>
      <c r="N8" s="294"/>
      <c r="O8" s="294"/>
      <c r="P8" s="294"/>
      <c r="Q8" s="294"/>
      <c r="R8" s="294"/>
      <c r="S8" s="294"/>
      <c r="T8" s="294"/>
      <c r="U8" s="294"/>
      <c r="V8" s="294"/>
      <c r="W8" s="294"/>
      <c r="X8" s="294"/>
      <c r="Y8" s="294"/>
      <c r="Z8" s="294"/>
      <c r="AA8" s="294"/>
      <c r="AB8" s="294"/>
      <c r="AC8" s="294"/>
      <c r="AD8" s="294"/>
      <c r="AE8" s="294"/>
      <c r="AF8" s="294"/>
      <c r="AG8" s="294"/>
      <c r="AH8" s="294"/>
      <c r="AI8" s="294"/>
      <c r="AJ8" s="294"/>
      <c r="AK8" s="294"/>
      <c r="AL8" s="294"/>
      <c r="AM8" s="294"/>
      <c r="AN8" s="294"/>
      <c r="AO8" s="294"/>
      <c r="AP8" s="294"/>
      <c r="AQ8" s="294"/>
      <c r="AR8" s="294"/>
      <c r="AS8" s="294"/>
      <c r="AT8" s="294"/>
      <c r="AU8" s="294"/>
      <c r="AV8" s="294"/>
      <c r="AW8" s="294"/>
      <c r="AX8" s="294"/>
      <c r="AY8" s="294"/>
      <c r="AZ8" s="294"/>
      <c r="BA8" s="294"/>
      <c r="BB8" s="294"/>
      <c r="BC8" s="294"/>
      <c r="BD8" s="294"/>
      <c r="BE8" s="294"/>
      <c r="BF8" s="294"/>
      <c r="BG8" s="294"/>
      <c r="BH8" s="294"/>
      <c r="BI8" s="294"/>
      <c r="BJ8" s="294"/>
      <c r="BK8" s="294"/>
      <c r="BL8" s="294"/>
      <c r="BM8" s="294"/>
      <c r="BN8" s="294"/>
      <c r="BO8" s="294"/>
      <c r="BP8" s="294"/>
      <c r="BQ8" s="294"/>
      <c r="BR8" s="294"/>
      <c r="BS8" s="294"/>
      <c r="BT8" s="294"/>
      <c r="BU8" s="294"/>
      <c r="BV8" s="294"/>
      <c r="BW8" s="294"/>
      <c r="BX8" s="294"/>
      <c r="BY8" s="294"/>
      <c r="BZ8" s="294"/>
      <c r="CA8" s="294"/>
      <c r="CB8" s="294"/>
      <c r="CC8" s="294"/>
      <c r="CD8" s="294"/>
      <c r="CE8" s="294"/>
      <c r="CF8" s="294"/>
      <c r="CG8" s="294"/>
      <c r="CH8" s="294"/>
      <c r="CI8" s="294"/>
      <c r="CJ8" s="294"/>
      <c r="CK8" s="294"/>
      <c r="CL8" s="294"/>
      <c r="CM8" s="294"/>
      <c r="CN8" s="294"/>
      <c r="CO8" s="294"/>
      <c r="CP8" s="294"/>
      <c r="CQ8" s="294"/>
      <c r="CR8" s="294"/>
      <c r="CS8" s="294"/>
      <c r="CT8" s="294"/>
      <c r="CU8" s="294"/>
      <c r="CV8" s="294"/>
      <c r="CW8" s="294"/>
      <c r="CX8" s="294"/>
      <c r="CY8" s="294"/>
      <c r="CZ8" s="294"/>
      <c r="DA8" s="294"/>
      <c r="DB8" s="294"/>
      <c r="DC8" s="294"/>
      <c r="DD8" s="294"/>
      <c r="DE8" s="294"/>
      <c r="DF8" s="294"/>
      <c r="DG8" s="294"/>
      <c r="DH8" s="294"/>
      <c r="DI8" s="294"/>
      <c r="DJ8" s="294"/>
      <c r="DK8" s="294"/>
      <c r="DL8" s="294"/>
      <c r="DM8" s="294"/>
      <c r="DN8" s="294"/>
      <c r="DO8" s="294"/>
      <c r="DP8" s="294"/>
      <c r="DQ8" s="294"/>
      <c r="DR8" s="294"/>
      <c r="DS8" s="294"/>
      <c r="DT8" s="294"/>
      <c r="DU8" s="294"/>
      <c r="DV8" s="294"/>
      <c r="DW8" s="294"/>
      <c r="DX8" s="294"/>
      <c r="DY8" s="294"/>
      <c r="DZ8" s="294"/>
      <c r="EA8" s="294"/>
      <c r="EB8" s="294"/>
      <c r="EC8" s="294"/>
      <c r="ED8" s="294"/>
      <c r="EE8" s="294"/>
      <c r="EF8" s="294"/>
      <c r="EG8" s="294"/>
      <c r="EH8" s="294"/>
      <c r="EI8" s="294"/>
      <c r="EJ8" s="294"/>
      <c r="EK8" s="294"/>
      <c r="EL8" s="294"/>
      <c r="EM8" s="294"/>
      <c r="EN8" s="294"/>
      <c r="EO8" s="294"/>
      <c r="EP8" s="294"/>
      <c r="EQ8" s="294"/>
      <c r="ER8" s="294"/>
      <c r="ES8" s="294"/>
      <c r="ET8" s="294"/>
      <c r="EU8" s="294"/>
      <c r="EV8" s="294"/>
      <c r="EW8" s="294"/>
      <c r="EX8" s="294"/>
      <c r="EY8" s="294"/>
      <c r="EZ8" s="294"/>
      <c r="FA8" s="294"/>
      <c r="FB8" s="294"/>
      <c r="FC8" s="294"/>
      <c r="FD8" s="294"/>
      <c r="FE8" s="294"/>
      <c r="FF8" s="294"/>
      <c r="FG8" s="294"/>
      <c r="FH8" s="294"/>
      <c r="FI8" s="294"/>
      <c r="FJ8" s="294"/>
      <c r="FK8" s="294"/>
      <c r="FL8" s="294"/>
      <c r="FM8" s="294"/>
      <c r="FN8" s="294"/>
      <c r="FO8" s="294"/>
      <c r="FP8" s="294"/>
      <c r="FQ8" s="294"/>
      <c r="FR8" s="294"/>
      <c r="FS8" s="294"/>
      <c r="FT8" s="294"/>
      <c r="FU8" s="294"/>
      <c r="FV8" s="294"/>
      <c r="FW8" s="294"/>
      <c r="FX8" s="294"/>
      <c r="FY8" s="294"/>
      <c r="FZ8" s="294"/>
      <c r="GA8" s="294"/>
      <c r="GB8" s="294"/>
      <c r="GC8" s="294"/>
      <c r="GD8" s="294"/>
      <c r="GE8" s="294"/>
      <c r="GF8" s="294"/>
      <c r="GG8" s="294"/>
      <c r="GH8" s="294"/>
      <c r="GI8" s="294"/>
      <c r="GJ8" s="294"/>
      <c r="GK8" s="294"/>
      <c r="GL8" s="294"/>
      <c r="GM8" s="294"/>
      <c r="GN8" s="294"/>
      <c r="GO8" s="294"/>
      <c r="GP8" s="294"/>
      <c r="GQ8" s="294"/>
      <c r="GR8" s="294"/>
      <c r="GS8" s="294"/>
      <c r="GT8" s="294"/>
      <c r="GU8" s="294"/>
      <c r="GV8" s="294"/>
      <c r="GW8" s="294"/>
      <c r="GX8" s="294"/>
      <c r="GY8" s="294"/>
      <c r="GZ8" s="294"/>
      <c r="HA8" s="294"/>
      <c r="HB8" s="294"/>
      <c r="HC8" s="294"/>
      <c r="HD8" s="294"/>
      <c r="HE8" s="294"/>
      <c r="HF8" s="294"/>
      <c r="HG8" s="294"/>
      <c r="HH8" s="294"/>
      <c r="HI8" s="294"/>
      <c r="HJ8" s="294"/>
      <c r="HK8" s="294"/>
      <c r="HL8" s="294"/>
      <c r="HM8" s="294"/>
      <c r="HN8" s="294"/>
      <c r="HO8" s="294"/>
      <c r="HP8" s="294"/>
      <c r="HQ8" s="294"/>
      <c r="HR8" s="294"/>
      <c r="HS8" s="294"/>
      <c r="HT8" s="294"/>
      <c r="HU8" s="294"/>
      <c r="HV8" s="294"/>
      <c r="HW8" s="294"/>
      <c r="HX8" s="294"/>
      <c r="HY8" s="294"/>
      <c r="HZ8" s="294"/>
      <c r="IA8" s="294"/>
      <c r="IB8" s="294"/>
      <c r="IC8" s="294"/>
      <c r="ID8" s="294"/>
      <c r="IE8" s="294"/>
      <c r="IF8" s="294"/>
      <c r="IG8" s="294"/>
      <c r="IH8" s="294"/>
      <c r="II8" s="294"/>
      <c r="IJ8" s="294"/>
      <c r="IK8" s="294"/>
      <c r="IL8" s="294"/>
      <c r="IM8" s="294"/>
      <c r="IN8" s="294"/>
      <c r="IO8" s="294"/>
      <c r="IP8" s="294"/>
      <c r="IQ8" s="294"/>
      <c r="IR8" s="294"/>
    </row>
    <row r="9" spans="1:252" ht="14.25">
      <c r="A9" s="292"/>
      <c r="B9" s="320" t="str">
        <f>'Income Statement Ann'!E13</f>
        <v xml:space="preserve">Depreciation this period </v>
      </c>
      <c r="C9" s="292"/>
      <c r="D9" s="317">
        <f ca="1">'Income Statement Ann'!J13</f>
        <v>-116666.66666666666</v>
      </c>
      <c r="E9" s="317">
        <f ca="1">'Income Statement Ann'!K13</f>
        <v>-328124.99999999994</v>
      </c>
      <c r="F9" s="317">
        <f ca="1">'Income Statement Ann'!L13</f>
        <v>-633545.46931534389</v>
      </c>
      <c r="G9" s="317">
        <f ca="1">'Income Statement Ann'!M13</f>
        <v>-1053985.7271819548</v>
      </c>
      <c r="H9" s="317">
        <f ca="1">'Income Statement Ann'!N13</f>
        <v>-1586331.4413836035</v>
      </c>
      <c r="I9" s="292"/>
      <c r="J9" s="292"/>
      <c r="K9" s="294"/>
      <c r="L9" s="294"/>
      <c r="M9" s="294"/>
      <c r="N9" s="294"/>
      <c r="O9" s="294"/>
      <c r="P9" s="294"/>
      <c r="Q9" s="294"/>
      <c r="R9" s="294"/>
      <c r="S9" s="294"/>
      <c r="T9" s="294"/>
      <c r="U9" s="294"/>
      <c r="V9" s="294"/>
      <c r="W9" s="294"/>
      <c r="X9" s="294"/>
      <c r="Y9" s="294"/>
      <c r="Z9" s="294"/>
      <c r="AA9" s="294"/>
      <c r="AB9" s="294"/>
      <c r="AC9" s="294"/>
      <c r="AD9" s="294"/>
      <c r="AE9" s="294"/>
      <c r="AF9" s="294"/>
      <c r="AG9" s="294"/>
      <c r="AH9" s="294"/>
      <c r="AI9" s="294"/>
      <c r="AJ9" s="294"/>
      <c r="AK9" s="294"/>
      <c r="AL9" s="294"/>
      <c r="AM9" s="294"/>
      <c r="AN9" s="294"/>
      <c r="AO9" s="294"/>
      <c r="AP9" s="294"/>
      <c r="AQ9" s="294"/>
      <c r="AR9" s="294"/>
      <c r="AS9" s="294"/>
      <c r="AT9" s="294"/>
      <c r="AU9" s="294"/>
      <c r="AV9" s="294"/>
      <c r="AW9" s="294"/>
      <c r="AX9" s="294"/>
      <c r="AY9" s="294"/>
      <c r="AZ9" s="294"/>
      <c r="BA9" s="294"/>
      <c r="BB9" s="294"/>
      <c r="BC9" s="294"/>
      <c r="BD9" s="294"/>
      <c r="BE9" s="294"/>
      <c r="BF9" s="294"/>
      <c r="BG9" s="294"/>
      <c r="BH9" s="294"/>
      <c r="BI9" s="294"/>
      <c r="BJ9" s="294"/>
      <c r="BK9" s="294"/>
      <c r="BL9" s="294"/>
      <c r="BM9" s="294"/>
      <c r="BN9" s="294"/>
      <c r="BO9" s="294"/>
      <c r="BP9" s="294"/>
      <c r="BQ9" s="294"/>
      <c r="BR9" s="294"/>
      <c r="BS9" s="294"/>
      <c r="BT9" s="294"/>
      <c r="BU9" s="294"/>
      <c r="BV9" s="294"/>
      <c r="BW9" s="294"/>
      <c r="BX9" s="294"/>
      <c r="BY9" s="294"/>
      <c r="BZ9" s="294"/>
      <c r="CA9" s="294"/>
      <c r="CB9" s="294"/>
      <c r="CC9" s="294"/>
      <c r="CD9" s="294"/>
      <c r="CE9" s="294"/>
      <c r="CF9" s="294"/>
      <c r="CG9" s="294"/>
      <c r="CH9" s="294"/>
      <c r="CI9" s="294"/>
      <c r="CJ9" s="294"/>
      <c r="CK9" s="294"/>
      <c r="CL9" s="294"/>
      <c r="CM9" s="294"/>
      <c r="CN9" s="294"/>
      <c r="CO9" s="294"/>
      <c r="CP9" s="294"/>
      <c r="CQ9" s="294"/>
      <c r="CR9" s="294"/>
      <c r="CS9" s="294"/>
      <c r="CT9" s="294"/>
      <c r="CU9" s="294"/>
      <c r="CV9" s="294"/>
      <c r="CW9" s="294"/>
      <c r="CX9" s="294"/>
      <c r="CY9" s="294"/>
      <c r="CZ9" s="294"/>
      <c r="DA9" s="294"/>
      <c r="DB9" s="294"/>
      <c r="DC9" s="294"/>
      <c r="DD9" s="294"/>
      <c r="DE9" s="294"/>
      <c r="DF9" s="294"/>
      <c r="DG9" s="294"/>
      <c r="DH9" s="294"/>
      <c r="DI9" s="294"/>
      <c r="DJ9" s="294"/>
      <c r="DK9" s="294"/>
      <c r="DL9" s="294"/>
      <c r="DM9" s="294"/>
      <c r="DN9" s="294"/>
      <c r="DO9" s="294"/>
      <c r="DP9" s="294"/>
      <c r="DQ9" s="294"/>
      <c r="DR9" s="294"/>
      <c r="DS9" s="294"/>
      <c r="DT9" s="294"/>
      <c r="DU9" s="294"/>
      <c r="DV9" s="294"/>
      <c r="DW9" s="294"/>
      <c r="DX9" s="294"/>
      <c r="DY9" s="294"/>
      <c r="DZ9" s="294"/>
      <c r="EA9" s="294"/>
      <c r="EB9" s="294"/>
      <c r="EC9" s="294"/>
      <c r="ED9" s="294"/>
      <c r="EE9" s="294"/>
      <c r="EF9" s="294"/>
      <c r="EG9" s="294"/>
      <c r="EH9" s="294"/>
      <c r="EI9" s="294"/>
      <c r="EJ9" s="294"/>
      <c r="EK9" s="294"/>
      <c r="EL9" s="294"/>
      <c r="EM9" s="294"/>
      <c r="EN9" s="294"/>
      <c r="EO9" s="294"/>
      <c r="EP9" s="294"/>
      <c r="EQ9" s="294"/>
      <c r="ER9" s="294"/>
      <c r="ES9" s="294"/>
      <c r="ET9" s="294"/>
      <c r="EU9" s="294"/>
      <c r="EV9" s="294"/>
      <c r="EW9" s="294"/>
      <c r="EX9" s="294"/>
      <c r="EY9" s="294"/>
      <c r="EZ9" s="294"/>
      <c r="FA9" s="294"/>
      <c r="FB9" s="294"/>
      <c r="FC9" s="294"/>
      <c r="FD9" s="294"/>
      <c r="FE9" s="294"/>
      <c r="FF9" s="294"/>
      <c r="FG9" s="294"/>
      <c r="FH9" s="294"/>
      <c r="FI9" s="294"/>
      <c r="FJ9" s="294"/>
      <c r="FK9" s="294"/>
      <c r="FL9" s="294"/>
      <c r="FM9" s="294"/>
      <c r="FN9" s="294"/>
      <c r="FO9" s="294"/>
      <c r="FP9" s="294"/>
      <c r="FQ9" s="294"/>
      <c r="FR9" s="294"/>
      <c r="FS9" s="294"/>
      <c r="FT9" s="294"/>
      <c r="FU9" s="294"/>
      <c r="FV9" s="294"/>
      <c r="FW9" s="294"/>
      <c r="FX9" s="294"/>
      <c r="FY9" s="294"/>
      <c r="FZ9" s="294"/>
      <c r="GA9" s="294"/>
      <c r="GB9" s="294"/>
      <c r="GC9" s="294"/>
      <c r="GD9" s="294"/>
      <c r="GE9" s="294"/>
      <c r="GF9" s="294"/>
      <c r="GG9" s="294"/>
      <c r="GH9" s="294"/>
      <c r="GI9" s="294"/>
      <c r="GJ9" s="294"/>
      <c r="GK9" s="294"/>
      <c r="GL9" s="294"/>
      <c r="GM9" s="294"/>
      <c r="GN9" s="294"/>
      <c r="GO9" s="294"/>
      <c r="GP9" s="294"/>
      <c r="GQ9" s="294"/>
      <c r="GR9" s="294"/>
      <c r="GS9" s="294"/>
      <c r="GT9" s="294"/>
      <c r="GU9" s="294"/>
      <c r="GV9" s="294"/>
      <c r="GW9" s="294"/>
      <c r="GX9" s="294"/>
      <c r="GY9" s="294"/>
      <c r="GZ9" s="294"/>
      <c r="HA9" s="294"/>
      <c r="HB9" s="294"/>
      <c r="HC9" s="294"/>
      <c r="HD9" s="294"/>
      <c r="HE9" s="294"/>
      <c r="HF9" s="294"/>
      <c r="HG9" s="294"/>
      <c r="HH9" s="294"/>
      <c r="HI9" s="294"/>
      <c r="HJ9" s="294"/>
      <c r="HK9" s="294"/>
      <c r="HL9" s="294"/>
      <c r="HM9" s="294"/>
      <c r="HN9" s="294"/>
      <c r="HO9" s="294"/>
      <c r="HP9" s="294"/>
      <c r="HQ9" s="294"/>
      <c r="HR9" s="294"/>
      <c r="HS9" s="294"/>
      <c r="HT9" s="294"/>
      <c r="HU9" s="294"/>
      <c r="HV9" s="294"/>
      <c r="HW9" s="294"/>
      <c r="HX9" s="294"/>
      <c r="HY9" s="294"/>
      <c r="HZ9" s="294"/>
      <c r="IA9" s="294"/>
      <c r="IB9" s="294"/>
      <c r="IC9" s="294"/>
      <c r="ID9" s="294"/>
      <c r="IE9" s="294"/>
      <c r="IF9" s="294"/>
      <c r="IG9" s="294"/>
      <c r="IH9" s="294"/>
      <c r="II9" s="294"/>
      <c r="IJ9" s="294"/>
      <c r="IK9" s="294"/>
      <c r="IL9" s="294"/>
      <c r="IM9" s="294"/>
      <c r="IN9" s="294"/>
      <c r="IO9" s="294"/>
      <c r="IP9" s="294"/>
      <c r="IQ9" s="294"/>
      <c r="IR9" s="294"/>
    </row>
    <row r="10" spans="1:252" s="315" customFormat="1" ht="14.25">
      <c r="A10" s="314"/>
      <c r="B10" s="319" t="str">
        <f>'Income Statement Ann'!E14</f>
        <v>EBIT</v>
      </c>
      <c r="C10" s="321"/>
      <c r="D10" s="316">
        <f ca="1">'Income Statement Ann'!J14</f>
        <v>-508258.11540509987</v>
      </c>
      <c r="E10" s="316">
        <f ca="1">'Income Statement Ann'!K14</f>
        <v>546158.41282353329</v>
      </c>
      <c r="F10" s="316">
        <f ca="1">'Income Statement Ann'!L14</f>
        <v>2559956.8161209463</v>
      </c>
      <c r="G10" s="316">
        <f ca="1">'Income Statement Ann'!M14</f>
        <v>6796342.3855398446</v>
      </c>
      <c r="H10" s="316">
        <f ca="1">'Income Statement Ann'!N14</f>
        <v>15507305.615219589</v>
      </c>
      <c r="I10" s="314"/>
      <c r="J10" s="314"/>
      <c r="K10" s="314"/>
      <c r="L10" s="295"/>
      <c r="M10" s="295"/>
      <c r="N10" s="295"/>
      <c r="O10" s="295"/>
      <c r="P10" s="295"/>
      <c r="Q10" s="295"/>
      <c r="R10" s="295"/>
      <c r="S10" s="295"/>
      <c r="T10" s="295"/>
      <c r="U10" s="295"/>
      <c r="V10" s="295"/>
      <c r="W10" s="295"/>
      <c r="X10" s="295"/>
      <c r="Y10" s="295"/>
      <c r="Z10" s="295"/>
      <c r="AA10" s="295"/>
      <c r="AB10" s="295"/>
      <c r="AC10" s="295"/>
      <c r="AD10" s="295"/>
      <c r="AE10" s="295"/>
      <c r="AF10" s="295"/>
      <c r="AG10" s="295"/>
      <c r="AH10" s="295"/>
      <c r="AI10" s="295"/>
      <c r="AJ10" s="295"/>
      <c r="AK10" s="295"/>
      <c r="AL10" s="295"/>
      <c r="AM10" s="295"/>
      <c r="AN10" s="295"/>
      <c r="AO10" s="295"/>
      <c r="AP10" s="295"/>
      <c r="AQ10" s="295"/>
      <c r="AR10" s="295"/>
      <c r="AS10" s="295"/>
      <c r="AT10" s="295"/>
      <c r="AU10" s="295"/>
      <c r="AV10" s="295"/>
      <c r="AW10" s="295"/>
      <c r="AX10" s="295"/>
      <c r="AY10" s="295"/>
      <c r="AZ10" s="295"/>
      <c r="BA10" s="295"/>
      <c r="BB10" s="295"/>
      <c r="BC10" s="295"/>
      <c r="BD10" s="295"/>
      <c r="BE10" s="295"/>
      <c r="BF10" s="295"/>
      <c r="BG10" s="295"/>
      <c r="BH10" s="295"/>
      <c r="BI10" s="295"/>
      <c r="BJ10" s="295"/>
      <c r="BK10" s="295"/>
      <c r="BL10" s="295"/>
      <c r="BM10" s="295"/>
      <c r="BN10" s="295"/>
      <c r="BO10" s="295"/>
      <c r="BP10" s="295"/>
      <c r="BQ10" s="295"/>
      <c r="BR10" s="295"/>
      <c r="BS10" s="295"/>
      <c r="BT10" s="295"/>
      <c r="BU10" s="295"/>
      <c r="BV10" s="295"/>
      <c r="BW10" s="295"/>
      <c r="BX10" s="295"/>
      <c r="BY10" s="295"/>
      <c r="BZ10" s="295"/>
      <c r="CA10" s="295"/>
      <c r="CB10" s="295"/>
      <c r="CC10" s="295"/>
      <c r="CD10" s="295"/>
      <c r="CE10" s="295"/>
      <c r="CF10" s="295"/>
      <c r="CG10" s="295"/>
      <c r="CH10" s="295"/>
      <c r="CI10" s="295"/>
      <c r="CJ10" s="295"/>
      <c r="CK10" s="295"/>
      <c r="CL10" s="295"/>
      <c r="CM10" s="295"/>
      <c r="CN10" s="295"/>
      <c r="CO10" s="295"/>
      <c r="CP10" s="295"/>
      <c r="CQ10" s="295"/>
      <c r="CR10" s="295"/>
      <c r="CS10" s="295"/>
      <c r="CT10" s="295"/>
      <c r="CU10" s="295"/>
      <c r="CV10" s="295"/>
      <c r="CW10" s="295"/>
      <c r="CX10" s="295"/>
      <c r="CY10" s="295"/>
      <c r="CZ10" s="295"/>
      <c r="DA10" s="295"/>
      <c r="DB10" s="295"/>
      <c r="DC10" s="295"/>
      <c r="DD10" s="295"/>
      <c r="DE10" s="295"/>
      <c r="DF10" s="295"/>
      <c r="DG10" s="295"/>
      <c r="DH10" s="295"/>
      <c r="DI10" s="295"/>
      <c r="DJ10" s="295"/>
      <c r="DK10" s="295"/>
      <c r="DL10" s="295"/>
      <c r="DM10" s="295"/>
      <c r="DN10" s="295"/>
      <c r="DO10" s="295"/>
      <c r="DP10" s="295"/>
      <c r="DQ10" s="295"/>
      <c r="DR10" s="295"/>
      <c r="DS10" s="295"/>
      <c r="DT10" s="295"/>
      <c r="DU10" s="295"/>
      <c r="DV10" s="295"/>
      <c r="DW10" s="295"/>
      <c r="DX10" s="295"/>
      <c r="DY10" s="295"/>
      <c r="DZ10" s="295"/>
      <c r="EA10" s="295"/>
      <c r="EB10" s="295"/>
      <c r="EC10" s="295"/>
      <c r="ED10" s="295"/>
      <c r="EE10" s="295"/>
      <c r="EF10" s="295"/>
      <c r="EG10" s="295"/>
      <c r="EH10" s="295"/>
      <c r="EI10" s="295"/>
      <c r="EJ10" s="295"/>
      <c r="EK10" s="295"/>
      <c r="EL10" s="295"/>
      <c r="EM10" s="295"/>
      <c r="EN10" s="295"/>
      <c r="EO10" s="295"/>
      <c r="EP10" s="295"/>
      <c r="EQ10" s="295"/>
      <c r="ER10" s="295"/>
      <c r="ES10" s="295"/>
      <c r="ET10" s="295"/>
      <c r="EU10" s="295"/>
      <c r="EV10" s="295"/>
      <c r="EW10" s="295"/>
      <c r="EX10" s="295"/>
      <c r="EY10" s="295"/>
      <c r="EZ10" s="295"/>
      <c r="FA10" s="295"/>
      <c r="FB10" s="295"/>
      <c r="FC10" s="295"/>
      <c r="FD10" s="295"/>
      <c r="FE10" s="295"/>
      <c r="FF10" s="295"/>
      <c r="FG10" s="295"/>
      <c r="FH10" s="295"/>
      <c r="FI10" s="295"/>
      <c r="FJ10" s="295"/>
      <c r="FK10" s="295"/>
      <c r="FL10" s="295"/>
      <c r="FM10" s="295"/>
      <c r="FN10" s="295"/>
      <c r="FO10" s="295"/>
      <c r="FP10" s="295"/>
      <c r="FQ10" s="295"/>
      <c r="FR10" s="295"/>
      <c r="FS10" s="295"/>
      <c r="FT10" s="295"/>
      <c r="FU10" s="295"/>
      <c r="FV10" s="295"/>
      <c r="FW10" s="295"/>
      <c r="FX10" s="295"/>
      <c r="FY10" s="295"/>
      <c r="FZ10" s="295"/>
      <c r="GA10" s="295"/>
      <c r="GB10" s="295"/>
      <c r="GC10" s="295"/>
      <c r="GD10" s="295"/>
      <c r="GE10" s="295"/>
      <c r="GF10" s="295"/>
      <c r="GG10" s="295"/>
      <c r="GH10" s="295"/>
      <c r="GI10" s="295"/>
      <c r="GJ10" s="295"/>
      <c r="GK10" s="295"/>
      <c r="GL10" s="295"/>
      <c r="GM10" s="295"/>
      <c r="GN10" s="295"/>
      <c r="GO10" s="295"/>
      <c r="GP10" s="295"/>
      <c r="GQ10" s="295"/>
      <c r="GR10" s="295"/>
      <c r="GS10" s="295"/>
      <c r="GT10" s="295"/>
      <c r="GU10" s="295"/>
      <c r="GV10" s="295"/>
      <c r="GW10" s="295"/>
      <c r="GX10" s="295"/>
      <c r="GY10" s="295"/>
      <c r="GZ10" s="295"/>
      <c r="HA10" s="295"/>
      <c r="HB10" s="295"/>
      <c r="HC10" s="295"/>
      <c r="HD10" s="295"/>
      <c r="HE10" s="295"/>
      <c r="HF10" s="295"/>
      <c r="HG10" s="295"/>
      <c r="HH10" s="295"/>
      <c r="HI10" s="295"/>
      <c r="HJ10" s="295"/>
      <c r="HK10" s="295"/>
      <c r="HL10" s="295"/>
      <c r="HM10" s="295"/>
      <c r="HN10" s="295"/>
      <c r="HO10" s="295"/>
      <c r="HP10" s="295"/>
      <c r="HQ10" s="295"/>
      <c r="HR10" s="295"/>
      <c r="HS10" s="295"/>
      <c r="HT10" s="295"/>
      <c r="HU10" s="295"/>
      <c r="HV10" s="295"/>
      <c r="HW10" s="295"/>
      <c r="HX10" s="295"/>
      <c r="HY10" s="295"/>
      <c r="HZ10" s="295"/>
      <c r="IA10" s="295"/>
      <c r="IB10" s="295"/>
      <c r="IC10" s="295"/>
      <c r="ID10" s="295"/>
      <c r="IE10" s="295"/>
      <c r="IF10" s="295"/>
      <c r="IG10" s="295"/>
      <c r="IH10" s="295"/>
      <c r="II10" s="295"/>
      <c r="IJ10" s="295"/>
      <c r="IK10" s="295"/>
      <c r="IL10" s="295"/>
      <c r="IM10" s="295"/>
      <c r="IN10" s="295"/>
      <c r="IO10" s="295"/>
      <c r="IP10" s="295"/>
      <c r="IQ10" s="295"/>
      <c r="IR10" s="295"/>
    </row>
    <row r="11" spans="1:252" ht="14.25">
      <c r="A11" s="292"/>
      <c r="B11" s="320"/>
      <c r="C11" s="292"/>
      <c r="D11" s="317"/>
      <c r="E11" s="317"/>
      <c r="F11" s="317"/>
      <c r="G11" s="317"/>
      <c r="H11" s="317"/>
      <c r="I11" s="292"/>
      <c r="J11" s="292"/>
      <c r="K11" s="294"/>
      <c r="L11" s="294"/>
      <c r="M11" s="294"/>
      <c r="N11" s="294"/>
      <c r="O11" s="294"/>
      <c r="P11" s="294"/>
      <c r="Q11" s="294"/>
      <c r="R11" s="294"/>
      <c r="S11" s="294"/>
      <c r="T11" s="294"/>
      <c r="U11" s="294"/>
      <c r="V11" s="294"/>
      <c r="W11" s="294"/>
      <c r="X11" s="294"/>
      <c r="Y11" s="294"/>
      <c r="Z11" s="294"/>
      <c r="AA11" s="294"/>
      <c r="AB11" s="294"/>
      <c r="AC11" s="294"/>
      <c r="AD11" s="294"/>
      <c r="AE11" s="294"/>
      <c r="AF11" s="294"/>
      <c r="AG11" s="294"/>
      <c r="AH11" s="294"/>
      <c r="AI11" s="294"/>
      <c r="AJ11" s="294"/>
      <c r="AK11" s="294"/>
      <c r="AL11" s="294"/>
      <c r="AM11" s="294"/>
      <c r="AN11" s="294"/>
      <c r="AO11" s="294"/>
      <c r="AP11" s="294"/>
      <c r="AQ11" s="294"/>
      <c r="AR11" s="294"/>
      <c r="AS11" s="294"/>
      <c r="AT11" s="294"/>
      <c r="AU11" s="294"/>
      <c r="AV11" s="294"/>
      <c r="AW11" s="294"/>
      <c r="AX11" s="294"/>
      <c r="AY11" s="294"/>
      <c r="AZ11" s="294"/>
      <c r="BA11" s="294"/>
      <c r="BB11" s="294"/>
      <c r="BC11" s="294"/>
      <c r="BD11" s="294"/>
      <c r="BE11" s="294"/>
      <c r="BF11" s="294"/>
      <c r="BG11" s="294"/>
      <c r="BH11" s="294"/>
      <c r="BI11" s="294"/>
      <c r="BJ11" s="294"/>
      <c r="BK11" s="294"/>
      <c r="BL11" s="294"/>
      <c r="BM11" s="294"/>
      <c r="BN11" s="294"/>
      <c r="BO11" s="294"/>
      <c r="BP11" s="294"/>
      <c r="BQ11" s="294"/>
      <c r="BR11" s="294"/>
      <c r="BS11" s="294"/>
      <c r="BT11" s="294"/>
      <c r="BU11" s="294"/>
      <c r="BV11" s="294"/>
      <c r="BW11" s="294"/>
      <c r="BX11" s="294"/>
      <c r="BY11" s="294"/>
      <c r="BZ11" s="294"/>
      <c r="CA11" s="294"/>
      <c r="CB11" s="294"/>
      <c r="CC11" s="294"/>
      <c r="CD11" s="294"/>
      <c r="CE11" s="294"/>
      <c r="CF11" s="294"/>
      <c r="CG11" s="294"/>
      <c r="CH11" s="294"/>
      <c r="CI11" s="294"/>
      <c r="CJ11" s="294"/>
      <c r="CK11" s="294"/>
      <c r="CL11" s="294"/>
      <c r="CM11" s="294"/>
      <c r="CN11" s="294"/>
      <c r="CO11" s="294"/>
      <c r="CP11" s="294"/>
      <c r="CQ11" s="294"/>
      <c r="CR11" s="294"/>
      <c r="CS11" s="294"/>
      <c r="CT11" s="294"/>
      <c r="CU11" s="294"/>
      <c r="CV11" s="294"/>
      <c r="CW11" s="294"/>
      <c r="CX11" s="294"/>
      <c r="CY11" s="294"/>
      <c r="CZ11" s="294"/>
      <c r="DA11" s="294"/>
      <c r="DB11" s="294"/>
      <c r="DC11" s="294"/>
      <c r="DD11" s="294"/>
      <c r="DE11" s="294"/>
      <c r="DF11" s="294"/>
      <c r="DG11" s="294"/>
      <c r="DH11" s="294"/>
      <c r="DI11" s="294"/>
      <c r="DJ11" s="294"/>
      <c r="DK11" s="294"/>
      <c r="DL11" s="294"/>
      <c r="DM11" s="294"/>
      <c r="DN11" s="294"/>
      <c r="DO11" s="294"/>
      <c r="DP11" s="294"/>
      <c r="DQ11" s="294"/>
      <c r="DR11" s="294"/>
      <c r="DS11" s="294"/>
      <c r="DT11" s="294"/>
      <c r="DU11" s="294"/>
      <c r="DV11" s="294"/>
      <c r="DW11" s="294"/>
      <c r="DX11" s="294"/>
      <c r="DY11" s="294"/>
      <c r="DZ11" s="294"/>
      <c r="EA11" s="294"/>
      <c r="EB11" s="294"/>
      <c r="EC11" s="294"/>
      <c r="ED11" s="294"/>
      <c r="EE11" s="294"/>
      <c r="EF11" s="294"/>
      <c r="EG11" s="294"/>
      <c r="EH11" s="294"/>
      <c r="EI11" s="294"/>
      <c r="EJ11" s="294"/>
      <c r="EK11" s="294"/>
      <c r="EL11" s="294"/>
      <c r="EM11" s="294"/>
      <c r="EN11" s="294"/>
      <c r="EO11" s="294"/>
      <c r="EP11" s="294"/>
      <c r="EQ11" s="294"/>
      <c r="ER11" s="294"/>
      <c r="ES11" s="294"/>
      <c r="ET11" s="294"/>
      <c r="EU11" s="294"/>
      <c r="EV11" s="294"/>
      <c r="EW11" s="294"/>
      <c r="EX11" s="294"/>
      <c r="EY11" s="294"/>
      <c r="EZ11" s="294"/>
      <c r="FA11" s="294"/>
      <c r="FB11" s="294"/>
      <c r="FC11" s="294"/>
      <c r="FD11" s="294"/>
      <c r="FE11" s="294"/>
      <c r="FF11" s="294"/>
      <c r="FG11" s="294"/>
      <c r="FH11" s="294"/>
      <c r="FI11" s="294"/>
      <c r="FJ11" s="294"/>
      <c r="FK11" s="294"/>
      <c r="FL11" s="294"/>
      <c r="FM11" s="294"/>
      <c r="FN11" s="294"/>
      <c r="FO11" s="294"/>
      <c r="FP11" s="294"/>
      <c r="FQ11" s="294"/>
      <c r="FR11" s="294"/>
      <c r="FS11" s="294"/>
      <c r="FT11" s="294"/>
      <c r="FU11" s="294"/>
      <c r="FV11" s="294"/>
      <c r="FW11" s="294"/>
      <c r="FX11" s="294"/>
      <c r="FY11" s="294"/>
      <c r="FZ11" s="294"/>
      <c r="GA11" s="294"/>
      <c r="GB11" s="294"/>
      <c r="GC11" s="294"/>
      <c r="GD11" s="294"/>
      <c r="GE11" s="294"/>
      <c r="GF11" s="294"/>
      <c r="GG11" s="294"/>
      <c r="GH11" s="294"/>
      <c r="GI11" s="294"/>
      <c r="GJ11" s="294"/>
      <c r="GK11" s="294"/>
      <c r="GL11" s="294"/>
      <c r="GM11" s="294"/>
      <c r="GN11" s="294"/>
      <c r="GO11" s="294"/>
      <c r="GP11" s="294"/>
      <c r="GQ11" s="294"/>
      <c r="GR11" s="294"/>
      <c r="GS11" s="294"/>
      <c r="GT11" s="294"/>
      <c r="GU11" s="294"/>
      <c r="GV11" s="294"/>
      <c r="GW11" s="294"/>
      <c r="GX11" s="294"/>
      <c r="GY11" s="294"/>
      <c r="GZ11" s="294"/>
      <c r="HA11" s="294"/>
      <c r="HB11" s="294"/>
      <c r="HC11" s="294"/>
      <c r="HD11" s="294"/>
      <c r="HE11" s="294"/>
      <c r="HF11" s="294"/>
      <c r="HG11" s="294"/>
      <c r="HH11" s="294"/>
      <c r="HI11" s="294"/>
      <c r="HJ11" s="294"/>
      <c r="HK11" s="294"/>
      <c r="HL11" s="294"/>
      <c r="HM11" s="294"/>
      <c r="HN11" s="294"/>
      <c r="HO11" s="294"/>
      <c r="HP11" s="294"/>
      <c r="HQ11" s="294"/>
      <c r="HR11" s="294"/>
      <c r="HS11" s="294"/>
      <c r="HT11" s="294"/>
      <c r="HU11" s="294"/>
      <c r="HV11" s="294"/>
      <c r="HW11" s="294"/>
      <c r="HX11" s="294"/>
      <c r="HY11" s="294"/>
      <c r="HZ11" s="294"/>
      <c r="IA11" s="294"/>
      <c r="IB11" s="294"/>
      <c r="IC11" s="294"/>
      <c r="ID11" s="294"/>
      <c r="IE11" s="294"/>
      <c r="IF11" s="294"/>
      <c r="IG11" s="294"/>
      <c r="IH11" s="294"/>
      <c r="II11" s="294"/>
      <c r="IJ11" s="294"/>
      <c r="IK11" s="294"/>
      <c r="IL11" s="294"/>
      <c r="IM11" s="294"/>
      <c r="IN11" s="294"/>
      <c r="IO11" s="294"/>
      <c r="IP11" s="294"/>
      <c r="IQ11" s="294"/>
      <c r="IR11" s="294"/>
    </row>
    <row r="12" spans="1:252" ht="14.25">
      <c r="A12" s="292"/>
      <c r="B12" s="320" t="str">
        <f>'Income Statement Ann'!E16</f>
        <v xml:space="preserve">Supply Chain Finance interest </v>
      </c>
      <c r="C12" s="292"/>
      <c r="D12" s="317">
        <f ca="1">'Income Statement Ann'!J16</f>
        <v>0</v>
      </c>
      <c r="E12" s="317">
        <f ca="1">'Income Statement Ann'!K16</f>
        <v>0</v>
      </c>
      <c r="F12" s="317">
        <f ca="1">'Income Statement Ann'!L16</f>
        <v>0</v>
      </c>
      <c r="G12" s="317">
        <f ca="1">'Income Statement Ann'!M16</f>
        <v>0</v>
      </c>
      <c r="H12" s="317">
        <f ca="1">'Income Statement Ann'!N16</f>
        <v>0</v>
      </c>
      <c r="I12" s="292"/>
      <c r="J12" s="292"/>
      <c r="K12" s="294"/>
      <c r="L12" s="294"/>
      <c r="M12" s="294"/>
      <c r="N12" s="294"/>
      <c r="O12" s="294"/>
      <c r="P12" s="294"/>
      <c r="Q12" s="294"/>
      <c r="R12" s="294"/>
      <c r="S12" s="294"/>
      <c r="T12" s="294"/>
      <c r="U12" s="294"/>
      <c r="V12" s="294"/>
      <c r="W12" s="294"/>
      <c r="X12" s="294"/>
      <c r="Y12" s="294"/>
      <c r="Z12" s="294"/>
      <c r="AA12" s="294"/>
      <c r="AB12" s="294"/>
      <c r="AC12" s="294"/>
      <c r="AD12" s="294"/>
      <c r="AE12" s="294"/>
      <c r="AF12" s="294"/>
      <c r="AG12" s="294"/>
      <c r="AH12" s="294"/>
      <c r="AI12" s="294"/>
      <c r="AJ12" s="294"/>
      <c r="AK12" s="294"/>
      <c r="AL12" s="294"/>
      <c r="AM12" s="294"/>
      <c r="AN12" s="294"/>
      <c r="AO12" s="294"/>
      <c r="AP12" s="294"/>
      <c r="AQ12" s="294"/>
      <c r="AR12" s="294"/>
      <c r="AS12" s="294"/>
      <c r="AT12" s="294"/>
      <c r="AU12" s="294"/>
      <c r="AV12" s="294"/>
      <c r="AW12" s="294"/>
      <c r="AX12" s="294"/>
      <c r="AY12" s="294"/>
      <c r="AZ12" s="294"/>
      <c r="BA12" s="294"/>
      <c r="BB12" s="294"/>
      <c r="BC12" s="294"/>
      <c r="BD12" s="294"/>
      <c r="BE12" s="294"/>
      <c r="BF12" s="294"/>
      <c r="BG12" s="294"/>
      <c r="BH12" s="294"/>
      <c r="BI12" s="294"/>
      <c r="BJ12" s="294"/>
      <c r="BK12" s="294"/>
      <c r="BL12" s="294"/>
      <c r="BM12" s="294"/>
      <c r="BN12" s="294"/>
      <c r="BO12" s="294"/>
      <c r="BP12" s="294"/>
      <c r="BQ12" s="294"/>
      <c r="BR12" s="294"/>
      <c r="BS12" s="294"/>
      <c r="BT12" s="294"/>
      <c r="BU12" s="294"/>
      <c r="BV12" s="294"/>
      <c r="BW12" s="294"/>
      <c r="BX12" s="294"/>
      <c r="BY12" s="294"/>
      <c r="BZ12" s="294"/>
      <c r="CA12" s="294"/>
      <c r="CB12" s="294"/>
      <c r="CC12" s="294"/>
      <c r="CD12" s="294"/>
      <c r="CE12" s="294"/>
      <c r="CF12" s="294"/>
      <c r="CG12" s="294"/>
      <c r="CH12" s="294"/>
      <c r="CI12" s="294"/>
      <c r="CJ12" s="294"/>
      <c r="CK12" s="294"/>
      <c r="CL12" s="294"/>
      <c r="CM12" s="294"/>
      <c r="CN12" s="294"/>
      <c r="CO12" s="294"/>
      <c r="CP12" s="294"/>
      <c r="CQ12" s="294"/>
      <c r="CR12" s="294"/>
      <c r="CS12" s="294"/>
      <c r="CT12" s="294"/>
      <c r="CU12" s="294"/>
      <c r="CV12" s="294"/>
      <c r="CW12" s="294"/>
      <c r="CX12" s="294"/>
      <c r="CY12" s="294"/>
      <c r="CZ12" s="294"/>
      <c r="DA12" s="294"/>
      <c r="DB12" s="294"/>
      <c r="DC12" s="294"/>
      <c r="DD12" s="294"/>
      <c r="DE12" s="294"/>
      <c r="DF12" s="294"/>
      <c r="DG12" s="294"/>
      <c r="DH12" s="294"/>
      <c r="DI12" s="294"/>
      <c r="DJ12" s="294"/>
      <c r="DK12" s="294"/>
      <c r="DL12" s="294"/>
      <c r="DM12" s="294"/>
      <c r="DN12" s="294"/>
      <c r="DO12" s="294"/>
      <c r="DP12" s="294"/>
      <c r="DQ12" s="294"/>
      <c r="DR12" s="294"/>
      <c r="DS12" s="294"/>
      <c r="DT12" s="294"/>
      <c r="DU12" s="294"/>
      <c r="DV12" s="294"/>
      <c r="DW12" s="294"/>
      <c r="DX12" s="294"/>
      <c r="DY12" s="294"/>
      <c r="DZ12" s="294"/>
      <c r="EA12" s="294"/>
      <c r="EB12" s="294"/>
      <c r="EC12" s="294"/>
      <c r="ED12" s="294"/>
      <c r="EE12" s="294"/>
      <c r="EF12" s="294"/>
      <c r="EG12" s="294"/>
      <c r="EH12" s="294"/>
      <c r="EI12" s="294"/>
      <c r="EJ12" s="294"/>
      <c r="EK12" s="294"/>
      <c r="EL12" s="294"/>
      <c r="EM12" s="294"/>
      <c r="EN12" s="294"/>
      <c r="EO12" s="294"/>
      <c r="EP12" s="294"/>
      <c r="EQ12" s="294"/>
      <c r="ER12" s="294"/>
      <c r="ES12" s="294"/>
      <c r="ET12" s="294"/>
      <c r="EU12" s="294"/>
      <c r="EV12" s="294"/>
      <c r="EW12" s="294"/>
      <c r="EX12" s="294"/>
      <c r="EY12" s="294"/>
      <c r="EZ12" s="294"/>
      <c r="FA12" s="294"/>
      <c r="FB12" s="294"/>
      <c r="FC12" s="294"/>
      <c r="FD12" s="294"/>
      <c r="FE12" s="294"/>
      <c r="FF12" s="294"/>
      <c r="FG12" s="294"/>
      <c r="FH12" s="294"/>
      <c r="FI12" s="294"/>
      <c r="FJ12" s="294"/>
      <c r="FK12" s="294"/>
      <c r="FL12" s="294"/>
      <c r="FM12" s="294"/>
      <c r="FN12" s="294"/>
      <c r="FO12" s="294"/>
      <c r="FP12" s="294"/>
      <c r="FQ12" s="294"/>
      <c r="FR12" s="294"/>
      <c r="FS12" s="294"/>
      <c r="FT12" s="294"/>
      <c r="FU12" s="294"/>
      <c r="FV12" s="294"/>
      <c r="FW12" s="294"/>
      <c r="FX12" s="294"/>
      <c r="FY12" s="294"/>
      <c r="FZ12" s="294"/>
      <c r="GA12" s="294"/>
      <c r="GB12" s="294"/>
      <c r="GC12" s="294"/>
      <c r="GD12" s="294"/>
      <c r="GE12" s="294"/>
      <c r="GF12" s="294"/>
      <c r="GG12" s="294"/>
      <c r="GH12" s="294"/>
      <c r="GI12" s="294"/>
      <c r="GJ12" s="294"/>
      <c r="GK12" s="294"/>
      <c r="GL12" s="294"/>
      <c r="GM12" s="294"/>
      <c r="GN12" s="294"/>
      <c r="GO12" s="294"/>
      <c r="GP12" s="294"/>
      <c r="GQ12" s="294"/>
      <c r="GR12" s="294"/>
      <c r="GS12" s="294"/>
      <c r="GT12" s="294"/>
      <c r="GU12" s="294"/>
      <c r="GV12" s="294"/>
      <c r="GW12" s="294"/>
      <c r="GX12" s="294"/>
      <c r="GY12" s="294"/>
      <c r="GZ12" s="294"/>
      <c r="HA12" s="294"/>
      <c r="HB12" s="294"/>
      <c r="HC12" s="294"/>
      <c r="HD12" s="294"/>
      <c r="HE12" s="294"/>
      <c r="HF12" s="294"/>
      <c r="HG12" s="294"/>
      <c r="HH12" s="294"/>
      <c r="HI12" s="294"/>
      <c r="HJ12" s="294"/>
      <c r="HK12" s="294"/>
      <c r="HL12" s="294"/>
      <c r="HM12" s="294"/>
      <c r="HN12" s="294"/>
      <c r="HO12" s="294"/>
      <c r="HP12" s="294"/>
      <c r="HQ12" s="294"/>
      <c r="HR12" s="294"/>
      <c r="HS12" s="294"/>
      <c r="HT12" s="294"/>
      <c r="HU12" s="294"/>
      <c r="HV12" s="294"/>
      <c r="HW12" s="294"/>
      <c r="HX12" s="294"/>
      <c r="HY12" s="294"/>
      <c r="HZ12" s="294"/>
      <c r="IA12" s="294"/>
      <c r="IB12" s="294"/>
      <c r="IC12" s="294"/>
      <c r="ID12" s="294"/>
      <c r="IE12" s="294"/>
      <c r="IF12" s="294"/>
      <c r="IG12" s="294"/>
      <c r="IH12" s="294"/>
      <c r="II12" s="294"/>
      <c r="IJ12" s="294"/>
      <c r="IK12" s="294"/>
      <c r="IL12" s="294"/>
      <c r="IM12" s="294"/>
      <c r="IN12" s="294"/>
      <c r="IO12" s="294"/>
      <c r="IP12" s="294"/>
      <c r="IQ12" s="294"/>
      <c r="IR12" s="294"/>
    </row>
    <row r="13" spans="1:252" ht="14.25">
      <c r="A13" s="292"/>
      <c r="B13" s="320" t="str">
        <f>'Income Statement Ann'!E17</f>
        <v xml:space="preserve">Invoice finance interest </v>
      </c>
      <c r="C13" s="292"/>
      <c r="D13" s="317">
        <f ca="1">'Income Statement Ann'!J17</f>
        <v>0</v>
      </c>
      <c r="E13" s="317">
        <f ca="1">'Income Statement Ann'!K17</f>
        <v>0</v>
      </c>
      <c r="F13" s="317">
        <f ca="1">'Income Statement Ann'!L17</f>
        <v>0</v>
      </c>
      <c r="G13" s="317">
        <f ca="1">'Income Statement Ann'!M17</f>
        <v>0</v>
      </c>
      <c r="H13" s="317">
        <f ca="1">'Income Statement Ann'!N17</f>
        <v>0</v>
      </c>
      <c r="I13" s="292"/>
      <c r="J13" s="292"/>
      <c r="K13" s="294"/>
      <c r="L13" s="294"/>
      <c r="M13" s="294"/>
      <c r="N13" s="294"/>
      <c r="O13" s="294"/>
      <c r="P13" s="294"/>
      <c r="Q13" s="294"/>
      <c r="R13" s="294"/>
      <c r="S13" s="294"/>
      <c r="T13" s="294"/>
      <c r="U13" s="294"/>
      <c r="V13" s="294"/>
      <c r="W13" s="294"/>
      <c r="X13" s="294"/>
      <c r="Y13" s="294"/>
      <c r="Z13" s="294"/>
      <c r="AA13" s="294"/>
      <c r="AB13" s="294"/>
      <c r="AC13" s="294"/>
      <c r="AD13" s="294"/>
      <c r="AE13" s="294"/>
      <c r="AF13" s="294"/>
      <c r="AG13" s="294"/>
      <c r="AH13" s="294"/>
      <c r="AI13" s="294"/>
      <c r="AJ13" s="294"/>
      <c r="AK13" s="294"/>
      <c r="AL13" s="294"/>
      <c r="AM13" s="294"/>
      <c r="AN13" s="294"/>
      <c r="AO13" s="294"/>
      <c r="AP13" s="294"/>
      <c r="AQ13" s="294"/>
      <c r="AR13" s="294"/>
      <c r="AS13" s="294"/>
      <c r="AT13" s="294"/>
      <c r="AU13" s="294"/>
      <c r="AV13" s="294"/>
      <c r="AW13" s="294"/>
      <c r="AX13" s="294"/>
      <c r="AY13" s="294"/>
      <c r="AZ13" s="294"/>
      <c r="BA13" s="294"/>
      <c r="BB13" s="294"/>
      <c r="BC13" s="294"/>
      <c r="BD13" s="294"/>
      <c r="BE13" s="294"/>
      <c r="BF13" s="294"/>
      <c r="BG13" s="294"/>
      <c r="BH13" s="294"/>
      <c r="BI13" s="294"/>
      <c r="BJ13" s="294"/>
      <c r="BK13" s="294"/>
      <c r="BL13" s="294"/>
      <c r="BM13" s="294"/>
      <c r="BN13" s="294"/>
      <c r="BO13" s="294"/>
      <c r="BP13" s="294"/>
      <c r="BQ13" s="294"/>
      <c r="BR13" s="294"/>
      <c r="BS13" s="294"/>
      <c r="BT13" s="294"/>
      <c r="BU13" s="294"/>
      <c r="BV13" s="294"/>
      <c r="BW13" s="294"/>
      <c r="BX13" s="294"/>
      <c r="BY13" s="294"/>
      <c r="BZ13" s="294"/>
      <c r="CA13" s="294"/>
      <c r="CB13" s="294"/>
      <c r="CC13" s="294"/>
      <c r="CD13" s="294"/>
      <c r="CE13" s="294"/>
      <c r="CF13" s="294"/>
      <c r="CG13" s="294"/>
      <c r="CH13" s="294"/>
      <c r="CI13" s="294"/>
      <c r="CJ13" s="294"/>
      <c r="CK13" s="294"/>
      <c r="CL13" s="294"/>
      <c r="CM13" s="294"/>
      <c r="CN13" s="294"/>
      <c r="CO13" s="294"/>
      <c r="CP13" s="294"/>
      <c r="CQ13" s="294"/>
      <c r="CR13" s="294"/>
      <c r="CS13" s="294"/>
      <c r="CT13" s="294"/>
      <c r="CU13" s="294"/>
      <c r="CV13" s="294"/>
      <c r="CW13" s="294"/>
      <c r="CX13" s="294"/>
      <c r="CY13" s="294"/>
      <c r="CZ13" s="294"/>
      <c r="DA13" s="294"/>
      <c r="DB13" s="294"/>
      <c r="DC13" s="294"/>
      <c r="DD13" s="294"/>
      <c r="DE13" s="294"/>
      <c r="DF13" s="294"/>
      <c r="DG13" s="294"/>
      <c r="DH13" s="294"/>
      <c r="DI13" s="294"/>
      <c r="DJ13" s="294"/>
      <c r="DK13" s="294"/>
      <c r="DL13" s="294"/>
      <c r="DM13" s="294"/>
      <c r="DN13" s="294"/>
      <c r="DO13" s="294"/>
      <c r="DP13" s="294"/>
      <c r="DQ13" s="294"/>
      <c r="DR13" s="294"/>
      <c r="DS13" s="294"/>
      <c r="DT13" s="294"/>
      <c r="DU13" s="294"/>
      <c r="DV13" s="294"/>
      <c r="DW13" s="294"/>
      <c r="DX13" s="294"/>
      <c r="DY13" s="294"/>
      <c r="DZ13" s="294"/>
      <c r="EA13" s="294"/>
      <c r="EB13" s="294"/>
      <c r="EC13" s="294"/>
      <c r="ED13" s="294"/>
      <c r="EE13" s="294"/>
      <c r="EF13" s="294"/>
      <c r="EG13" s="294"/>
      <c r="EH13" s="294"/>
      <c r="EI13" s="294"/>
      <c r="EJ13" s="294"/>
      <c r="EK13" s="294"/>
      <c r="EL13" s="294"/>
      <c r="EM13" s="294"/>
      <c r="EN13" s="294"/>
      <c r="EO13" s="294"/>
      <c r="EP13" s="294"/>
      <c r="EQ13" s="294"/>
      <c r="ER13" s="294"/>
      <c r="ES13" s="294"/>
      <c r="ET13" s="294"/>
      <c r="EU13" s="294"/>
      <c r="EV13" s="294"/>
      <c r="EW13" s="294"/>
      <c r="EX13" s="294"/>
      <c r="EY13" s="294"/>
      <c r="EZ13" s="294"/>
      <c r="FA13" s="294"/>
      <c r="FB13" s="294"/>
      <c r="FC13" s="294"/>
      <c r="FD13" s="294"/>
      <c r="FE13" s="294"/>
      <c r="FF13" s="294"/>
      <c r="FG13" s="294"/>
      <c r="FH13" s="294"/>
      <c r="FI13" s="294"/>
      <c r="FJ13" s="294"/>
      <c r="FK13" s="294"/>
      <c r="FL13" s="294"/>
      <c r="FM13" s="294"/>
      <c r="FN13" s="294"/>
      <c r="FO13" s="294"/>
      <c r="FP13" s="294"/>
      <c r="FQ13" s="294"/>
      <c r="FR13" s="294"/>
      <c r="FS13" s="294"/>
      <c r="FT13" s="294"/>
      <c r="FU13" s="294"/>
      <c r="FV13" s="294"/>
      <c r="FW13" s="294"/>
      <c r="FX13" s="294"/>
      <c r="FY13" s="294"/>
      <c r="FZ13" s="294"/>
      <c r="GA13" s="294"/>
      <c r="GB13" s="294"/>
      <c r="GC13" s="294"/>
      <c r="GD13" s="294"/>
      <c r="GE13" s="294"/>
      <c r="GF13" s="294"/>
      <c r="GG13" s="294"/>
      <c r="GH13" s="294"/>
      <c r="GI13" s="294"/>
      <c r="GJ13" s="294"/>
      <c r="GK13" s="294"/>
      <c r="GL13" s="294"/>
      <c r="GM13" s="294"/>
      <c r="GN13" s="294"/>
      <c r="GO13" s="294"/>
      <c r="GP13" s="294"/>
      <c r="GQ13" s="294"/>
      <c r="GR13" s="294"/>
      <c r="GS13" s="294"/>
      <c r="GT13" s="294"/>
      <c r="GU13" s="294"/>
      <c r="GV13" s="294"/>
      <c r="GW13" s="294"/>
      <c r="GX13" s="294"/>
      <c r="GY13" s="294"/>
      <c r="GZ13" s="294"/>
      <c r="HA13" s="294"/>
      <c r="HB13" s="294"/>
      <c r="HC13" s="294"/>
      <c r="HD13" s="294"/>
      <c r="HE13" s="294"/>
      <c r="HF13" s="294"/>
      <c r="HG13" s="294"/>
      <c r="HH13" s="294"/>
      <c r="HI13" s="294"/>
      <c r="HJ13" s="294"/>
      <c r="HK13" s="294"/>
      <c r="HL13" s="294"/>
      <c r="HM13" s="294"/>
      <c r="HN13" s="294"/>
      <c r="HO13" s="294"/>
      <c r="HP13" s="294"/>
      <c r="HQ13" s="294"/>
      <c r="HR13" s="294"/>
      <c r="HS13" s="294"/>
      <c r="HT13" s="294"/>
      <c r="HU13" s="294"/>
      <c r="HV13" s="294"/>
      <c r="HW13" s="294"/>
      <c r="HX13" s="294"/>
      <c r="HY13" s="294"/>
      <c r="HZ13" s="294"/>
      <c r="IA13" s="294"/>
      <c r="IB13" s="294"/>
      <c r="IC13" s="294"/>
      <c r="ID13" s="294"/>
      <c r="IE13" s="294"/>
      <c r="IF13" s="294"/>
      <c r="IG13" s="294"/>
      <c r="IH13" s="294"/>
      <c r="II13" s="294"/>
      <c r="IJ13" s="294"/>
      <c r="IK13" s="294"/>
      <c r="IL13" s="294"/>
      <c r="IM13" s="294"/>
      <c r="IN13" s="294"/>
      <c r="IO13" s="294"/>
      <c r="IP13" s="294"/>
      <c r="IQ13" s="294"/>
      <c r="IR13" s="294"/>
    </row>
    <row r="14" spans="1:252" s="315" customFormat="1" ht="14.25">
      <c r="A14" s="314"/>
      <c r="B14" s="320" t="str">
        <f>'Income Statement Ann'!E18</f>
        <v xml:space="preserve">Asset Finance interest </v>
      </c>
      <c r="C14" s="292"/>
      <c r="D14" s="317">
        <f ca="1">'Income Statement Ann'!J18</f>
        <v>-15834.690764259174</v>
      </c>
      <c r="E14" s="317">
        <f ca="1">'Income Statement Ann'!K18</f>
        <v>-37101.134654200752</v>
      </c>
      <c r="F14" s="317">
        <f ca="1">'Income Statement Ann'!L18</f>
        <v>-69604.996622733452</v>
      </c>
      <c r="G14" s="317">
        <f ca="1">'Income Statement Ann'!M18</f>
        <v>-124496.65877311684</v>
      </c>
      <c r="H14" s="317">
        <f ca="1">'Income Statement Ann'!N18</f>
        <v>-203606.90715789475</v>
      </c>
      <c r="I14" s="314"/>
      <c r="J14" s="314"/>
      <c r="K14" s="314"/>
      <c r="L14" s="295"/>
      <c r="M14" s="295"/>
      <c r="N14" s="295"/>
      <c r="O14" s="295"/>
      <c r="P14" s="295"/>
      <c r="Q14" s="295"/>
      <c r="R14" s="295"/>
      <c r="S14" s="295"/>
      <c r="T14" s="295"/>
      <c r="U14" s="295"/>
      <c r="V14" s="295"/>
      <c r="W14" s="295"/>
      <c r="X14" s="295"/>
      <c r="Y14" s="295"/>
      <c r="Z14" s="295"/>
      <c r="AA14" s="295"/>
      <c r="AB14" s="295"/>
      <c r="AC14" s="295"/>
      <c r="AD14" s="295"/>
      <c r="AE14" s="295"/>
      <c r="AF14" s="295"/>
      <c r="AG14" s="295"/>
      <c r="AH14" s="295"/>
      <c r="AI14" s="295"/>
      <c r="AJ14" s="295"/>
      <c r="AK14" s="295"/>
      <c r="AL14" s="295"/>
      <c r="AM14" s="295"/>
      <c r="AN14" s="295"/>
      <c r="AO14" s="295"/>
      <c r="AP14" s="295"/>
      <c r="AQ14" s="295"/>
      <c r="AR14" s="295"/>
      <c r="AS14" s="295"/>
      <c r="AT14" s="295"/>
      <c r="AU14" s="295"/>
      <c r="AV14" s="295"/>
      <c r="AW14" s="295"/>
      <c r="AX14" s="295"/>
      <c r="AY14" s="295"/>
      <c r="AZ14" s="295"/>
      <c r="BA14" s="295"/>
      <c r="BB14" s="295"/>
      <c r="BC14" s="295"/>
      <c r="BD14" s="295"/>
      <c r="BE14" s="295"/>
      <c r="BF14" s="295"/>
      <c r="BG14" s="295"/>
      <c r="BH14" s="295"/>
      <c r="BI14" s="295"/>
      <c r="BJ14" s="295"/>
      <c r="BK14" s="295"/>
      <c r="BL14" s="295"/>
      <c r="BM14" s="295"/>
      <c r="BN14" s="295"/>
      <c r="BO14" s="295"/>
      <c r="BP14" s="295"/>
      <c r="BQ14" s="295"/>
      <c r="BR14" s="295"/>
      <c r="BS14" s="295"/>
      <c r="BT14" s="295"/>
      <c r="BU14" s="295"/>
      <c r="BV14" s="295"/>
      <c r="BW14" s="295"/>
      <c r="BX14" s="295"/>
      <c r="BY14" s="295"/>
      <c r="BZ14" s="295"/>
      <c r="CA14" s="295"/>
      <c r="CB14" s="295"/>
      <c r="CC14" s="295"/>
      <c r="CD14" s="295"/>
      <c r="CE14" s="295"/>
      <c r="CF14" s="295"/>
      <c r="CG14" s="295"/>
      <c r="CH14" s="295"/>
      <c r="CI14" s="295"/>
      <c r="CJ14" s="295"/>
      <c r="CK14" s="295"/>
      <c r="CL14" s="295"/>
      <c r="CM14" s="295"/>
      <c r="CN14" s="295"/>
      <c r="CO14" s="295"/>
      <c r="CP14" s="295"/>
      <c r="CQ14" s="295"/>
      <c r="CR14" s="295"/>
      <c r="CS14" s="295"/>
      <c r="CT14" s="295"/>
      <c r="CU14" s="295"/>
      <c r="CV14" s="295"/>
      <c r="CW14" s="295"/>
      <c r="CX14" s="295"/>
      <c r="CY14" s="295"/>
      <c r="CZ14" s="295"/>
      <c r="DA14" s="295"/>
      <c r="DB14" s="295"/>
      <c r="DC14" s="295"/>
      <c r="DD14" s="295"/>
      <c r="DE14" s="295"/>
      <c r="DF14" s="295"/>
      <c r="DG14" s="295"/>
      <c r="DH14" s="295"/>
      <c r="DI14" s="295"/>
      <c r="DJ14" s="295"/>
      <c r="DK14" s="295"/>
      <c r="DL14" s="295"/>
      <c r="DM14" s="295"/>
      <c r="DN14" s="295"/>
      <c r="DO14" s="295"/>
      <c r="DP14" s="295"/>
      <c r="DQ14" s="295"/>
      <c r="DR14" s="295"/>
      <c r="DS14" s="295"/>
      <c r="DT14" s="295"/>
      <c r="DU14" s="295"/>
      <c r="DV14" s="295"/>
      <c r="DW14" s="295"/>
      <c r="DX14" s="295"/>
      <c r="DY14" s="295"/>
      <c r="DZ14" s="295"/>
      <c r="EA14" s="295"/>
      <c r="EB14" s="295"/>
      <c r="EC14" s="295"/>
      <c r="ED14" s="295"/>
      <c r="EE14" s="295"/>
      <c r="EF14" s="295"/>
      <c r="EG14" s="295"/>
      <c r="EH14" s="295"/>
      <c r="EI14" s="295"/>
      <c r="EJ14" s="295"/>
      <c r="EK14" s="295"/>
      <c r="EL14" s="295"/>
      <c r="EM14" s="295"/>
      <c r="EN14" s="295"/>
      <c r="EO14" s="295"/>
      <c r="EP14" s="295"/>
      <c r="EQ14" s="295"/>
      <c r="ER14" s="295"/>
      <c r="ES14" s="295"/>
      <c r="ET14" s="295"/>
      <c r="EU14" s="295"/>
      <c r="EV14" s="295"/>
      <c r="EW14" s="295"/>
      <c r="EX14" s="295"/>
      <c r="EY14" s="295"/>
      <c r="EZ14" s="295"/>
      <c r="FA14" s="295"/>
      <c r="FB14" s="295"/>
      <c r="FC14" s="295"/>
      <c r="FD14" s="295"/>
      <c r="FE14" s="295"/>
      <c r="FF14" s="295"/>
      <c r="FG14" s="295"/>
      <c r="FH14" s="295"/>
      <c r="FI14" s="295"/>
      <c r="FJ14" s="295"/>
      <c r="FK14" s="295"/>
      <c r="FL14" s="295"/>
      <c r="FM14" s="295"/>
      <c r="FN14" s="295"/>
      <c r="FO14" s="295"/>
      <c r="FP14" s="295"/>
      <c r="FQ14" s="295"/>
      <c r="FR14" s="295"/>
      <c r="FS14" s="295"/>
      <c r="FT14" s="295"/>
      <c r="FU14" s="295"/>
      <c r="FV14" s="295"/>
      <c r="FW14" s="295"/>
      <c r="FX14" s="295"/>
      <c r="FY14" s="295"/>
      <c r="FZ14" s="295"/>
      <c r="GA14" s="295"/>
      <c r="GB14" s="295"/>
      <c r="GC14" s="295"/>
      <c r="GD14" s="295"/>
      <c r="GE14" s="295"/>
      <c r="GF14" s="295"/>
      <c r="GG14" s="295"/>
      <c r="GH14" s="295"/>
      <c r="GI14" s="295"/>
      <c r="GJ14" s="295"/>
      <c r="GK14" s="295"/>
      <c r="GL14" s="295"/>
      <c r="GM14" s="295"/>
      <c r="GN14" s="295"/>
      <c r="GO14" s="295"/>
      <c r="GP14" s="295"/>
      <c r="GQ14" s="295"/>
      <c r="GR14" s="295"/>
      <c r="GS14" s="295"/>
      <c r="GT14" s="295"/>
      <c r="GU14" s="295"/>
      <c r="GV14" s="295"/>
      <c r="GW14" s="295"/>
      <c r="GX14" s="295"/>
      <c r="GY14" s="295"/>
      <c r="GZ14" s="295"/>
      <c r="HA14" s="295"/>
      <c r="HB14" s="295"/>
      <c r="HC14" s="295"/>
      <c r="HD14" s="295"/>
      <c r="HE14" s="295"/>
      <c r="HF14" s="295"/>
      <c r="HG14" s="295"/>
      <c r="HH14" s="295"/>
      <c r="HI14" s="295"/>
      <c r="HJ14" s="295"/>
      <c r="HK14" s="295"/>
      <c r="HL14" s="295"/>
      <c r="HM14" s="295"/>
      <c r="HN14" s="295"/>
      <c r="HO14" s="295"/>
      <c r="HP14" s="295"/>
      <c r="HQ14" s="295"/>
      <c r="HR14" s="295"/>
      <c r="HS14" s="295"/>
      <c r="HT14" s="295"/>
      <c r="HU14" s="295"/>
      <c r="HV14" s="295"/>
      <c r="HW14" s="295"/>
      <c r="HX14" s="295"/>
      <c r="HY14" s="295"/>
      <c r="HZ14" s="295"/>
      <c r="IA14" s="295"/>
      <c r="IB14" s="295"/>
      <c r="IC14" s="295"/>
      <c r="ID14" s="295"/>
      <c r="IE14" s="295"/>
      <c r="IF14" s="295"/>
      <c r="IG14" s="295"/>
      <c r="IH14" s="295"/>
      <c r="II14" s="295"/>
      <c r="IJ14" s="295"/>
      <c r="IK14" s="295"/>
      <c r="IL14" s="295"/>
      <c r="IM14" s="295"/>
      <c r="IN14" s="295"/>
      <c r="IO14" s="295"/>
      <c r="IP14" s="295"/>
      <c r="IQ14" s="295"/>
      <c r="IR14" s="295"/>
    </row>
    <row r="15" spans="1:252" ht="14.25">
      <c r="A15" s="292"/>
      <c r="B15" s="319" t="str">
        <f>'Income Statement Ann'!E19</f>
        <v>Profit before tax</v>
      </c>
      <c r="C15" s="321"/>
      <c r="D15" s="316">
        <f ca="1">'Income Statement Ann'!J19</f>
        <v>-524092.80616935901</v>
      </c>
      <c r="E15" s="316">
        <f ca="1">'Income Statement Ann'!K19</f>
        <v>509057.27816933248</v>
      </c>
      <c r="F15" s="316">
        <f ca="1">'Income Statement Ann'!L19</f>
        <v>2490351.8194982125</v>
      </c>
      <c r="G15" s="316">
        <f ca="1">'Income Statement Ann'!M19</f>
        <v>6671845.7267667279</v>
      </c>
      <c r="H15" s="316">
        <f ca="1">'Income Statement Ann'!N19</f>
        <v>15303698.708061695</v>
      </c>
      <c r="I15" s="292"/>
      <c r="J15" s="292"/>
      <c r="K15" s="294"/>
      <c r="L15" s="294"/>
      <c r="M15" s="294"/>
      <c r="N15" s="294"/>
      <c r="O15" s="294"/>
      <c r="P15" s="294"/>
      <c r="Q15" s="294"/>
      <c r="R15" s="294"/>
      <c r="S15" s="294"/>
      <c r="T15" s="294"/>
      <c r="U15" s="294"/>
      <c r="V15" s="294"/>
      <c r="W15" s="294"/>
      <c r="X15" s="294"/>
      <c r="Y15" s="294"/>
      <c r="Z15" s="294"/>
      <c r="AA15" s="294"/>
      <c r="AB15" s="294"/>
      <c r="AC15" s="294"/>
      <c r="AD15" s="294"/>
      <c r="AE15" s="294"/>
      <c r="AF15" s="294"/>
      <c r="AG15" s="294"/>
      <c r="AH15" s="294"/>
      <c r="AI15" s="294"/>
      <c r="AJ15" s="294"/>
      <c r="AK15" s="294"/>
      <c r="AL15" s="294"/>
      <c r="AM15" s="294"/>
      <c r="AN15" s="294"/>
      <c r="AO15" s="294"/>
      <c r="AP15" s="294"/>
      <c r="AQ15" s="294"/>
      <c r="AR15" s="294"/>
      <c r="AS15" s="294"/>
      <c r="AT15" s="294"/>
      <c r="AU15" s="294"/>
      <c r="AV15" s="294"/>
      <c r="AW15" s="294"/>
      <c r="AX15" s="294"/>
      <c r="AY15" s="294"/>
      <c r="AZ15" s="294"/>
      <c r="BA15" s="294"/>
      <c r="BB15" s="294"/>
      <c r="BC15" s="294"/>
      <c r="BD15" s="294"/>
      <c r="BE15" s="294"/>
      <c r="BF15" s="294"/>
      <c r="BG15" s="294"/>
      <c r="BH15" s="294"/>
      <c r="BI15" s="294"/>
      <c r="BJ15" s="294"/>
      <c r="BK15" s="294"/>
      <c r="BL15" s="294"/>
      <c r="BM15" s="294"/>
      <c r="BN15" s="294"/>
      <c r="BO15" s="294"/>
      <c r="BP15" s="294"/>
      <c r="BQ15" s="294"/>
      <c r="BR15" s="294"/>
      <c r="BS15" s="294"/>
      <c r="BT15" s="294"/>
      <c r="BU15" s="294"/>
      <c r="BV15" s="294"/>
      <c r="BW15" s="294"/>
      <c r="BX15" s="294"/>
      <c r="BY15" s="294"/>
      <c r="BZ15" s="294"/>
      <c r="CA15" s="294"/>
      <c r="CB15" s="294"/>
      <c r="CC15" s="294"/>
      <c r="CD15" s="294"/>
      <c r="CE15" s="294"/>
      <c r="CF15" s="294"/>
      <c r="CG15" s="294"/>
      <c r="CH15" s="294"/>
      <c r="CI15" s="294"/>
      <c r="CJ15" s="294"/>
      <c r="CK15" s="294"/>
      <c r="CL15" s="294"/>
      <c r="CM15" s="294"/>
      <c r="CN15" s="294"/>
      <c r="CO15" s="294"/>
      <c r="CP15" s="294"/>
      <c r="CQ15" s="294"/>
      <c r="CR15" s="294"/>
      <c r="CS15" s="294"/>
      <c r="CT15" s="294"/>
      <c r="CU15" s="294"/>
      <c r="CV15" s="294"/>
      <c r="CW15" s="294"/>
      <c r="CX15" s="294"/>
      <c r="CY15" s="294"/>
      <c r="CZ15" s="294"/>
      <c r="DA15" s="294"/>
      <c r="DB15" s="294"/>
      <c r="DC15" s="294"/>
      <c r="DD15" s="294"/>
      <c r="DE15" s="294"/>
      <c r="DF15" s="294"/>
      <c r="DG15" s="294"/>
      <c r="DH15" s="294"/>
      <c r="DI15" s="294"/>
      <c r="DJ15" s="294"/>
      <c r="DK15" s="294"/>
      <c r="DL15" s="294"/>
      <c r="DM15" s="294"/>
      <c r="DN15" s="294"/>
      <c r="DO15" s="294"/>
      <c r="DP15" s="294"/>
      <c r="DQ15" s="294"/>
      <c r="DR15" s="294"/>
      <c r="DS15" s="294"/>
      <c r="DT15" s="294"/>
      <c r="DU15" s="294"/>
      <c r="DV15" s="294"/>
      <c r="DW15" s="294"/>
      <c r="DX15" s="294"/>
      <c r="DY15" s="294"/>
      <c r="DZ15" s="294"/>
      <c r="EA15" s="294"/>
      <c r="EB15" s="294"/>
      <c r="EC15" s="294"/>
      <c r="ED15" s="294"/>
      <c r="EE15" s="294"/>
      <c r="EF15" s="294"/>
      <c r="EG15" s="294"/>
      <c r="EH15" s="294"/>
      <c r="EI15" s="294"/>
      <c r="EJ15" s="294"/>
      <c r="EK15" s="294"/>
      <c r="EL15" s="294"/>
      <c r="EM15" s="294"/>
      <c r="EN15" s="294"/>
      <c r="EO15" s="294"/>
      <c r="EP15" s="294"/>
      <c r="EQ15" s="294"/>
      <c r="ER15" s="294"/>
      <c r="ES15" s="294"/>
      <c r="ET15" s="294"/>
      <c r="EU15" s="294"/>
      <c r="EV15" s="294"/>
      <c r="EW15" s="294"/>
      <c r="EX15" s="294"/>
      <c r="EY15" s="294"/>
      <c r="EZ15" s="294"/>
      <c r="FA15" s="294"/>
      <c r="FB15" s="294"/>
      <c r="FC15" s="294"/>
      <c r="FD15" s="294"/>
      <c r="FE15" s="294"/>
      <c r="FF15" s="294"/>
      <c r="FG15" s="294"/>
      <c r="FH15" s="294"/>
      <c r="FI15" s="294"/>
      <c r="FJ15" s="294"/>
      <c r="FK15" s="294"/>
      <c r="FL15" s="294"/>
      <c r="FM15" s="294"/>
      <c r="FN15" s="294"/>
      <c r="FO15" s="294"/>
      <c r="FP15" s="294"/>
      <c r="FQ15" s="294"/>
      <c r="FR15" s="294"/>
      <c r="FS15" s="294"/>
      <c r="FT15" s="294"/>
      <c r="FU15" s="294"/>
      <c r="FV15" s="294"/>
      <c r="FW15" s="294"/>
      <c r="FX15" s="294"/>
      <c r="FY15" s="294"/>
      <c r="FZ15" s="294"/>
      <c r="GA15" s="294"/>
      <c r="GB15" s="294"/>
      <c r="GC15" s="294"/>
      <c r="GD15" s="294"/>
      <c r="GE15" s="294"/>
      <c r="GF15" s="294"/>
      <c r="GG15" s="294"/>
      <c r="GH15" s="294"/>
      <c r="GI15" s="294"/>
      <c r="GJ15" s="294"/>
      <c r="GK15" s="294"/>
      <c r="GL15" s="294"/>
      <c r="GM15" s="294"/>
      <c r="GN15" s="294"/>
      <c r="GO15" s="294"/>
      <c r="GP15" s="294"/>
      <c r="GQ15" s="294"/>
      <c r="GR15" s="294"/>
      <c r="GS15" s="294"/>
      <c r="GT15" s="294"/>
      <c r="GU15" s="294"/>
      <c r="GV15" s="294"/>
      <c r="GW15" s="294"/>
      <c r="GX15" s="294"/>
      <c r="GY15" s="294"/>
      <c r="GZ15" s="294"/>
      <c r="HA15" s="294"/>
      <c r="HB15" s="294"/>
      <c r="HC15" s="294"/>
      <c r="HD15" s="294"/>
      <c r="HE15" s="294"/>
      <c r="HF15" s="294"/>
      <c r="HG15" s="294"/>
      <c r="HH15" s="294"/>
      <c r="HI15" s="294"/>
      <c r="HJ15" s="294"/>
      <c r="HK15" s="294"/>
      <c r="HL15" s="294"/>
      <c r="HM15" s="294"/>
      <c r="HN15" s="294"/>
      <c r="HO15" s="294"/>
      <c r="HP15" s="294"/>
      <c r="HQ15" s="294"/>
      <c r="HR15" s="294"/>
      <c r="HS15" s="294"/>
      <c r="HT15" s="294"/>
      <c r="HU15" s="294"/>
      <c r="HV15" s="294"/>
      <c r="HW15" s="294"/>
      <c r="HX15" s="294"/>
      <c r="HY15" s="294"/>
      <c r="HZ15" s="294"/>
      <c r="IA15" s="294"/>
      <c r="IB15" s="294"/>
      <c r="IC15" s="294"/>
      <c r="ID15" s="294"/>
      <c r="IE15" s="294"/>
      <c r="IF15" s="294"/>
      <c r="IG15" s="294"/>
      <c r="IH15" s="294"/>
      <c r="II15" s="294"/>
      <c r="IJ15" s="294"/>
      <c r="IK15" s="294"/>
      <c r="IL15" s="294"/>
      <c r="IM15" s="294"/>
      <c r="IN15" s="294"/>
      <c r="IO15" s="294"/>
      <c r="IP15" s="294"/>
      <c r="IQ15" s="294"/>
      <c r="IR15" s="294"/>
    </row>
    <row r="16" spans="1:252" ht="14.25">
      <c r="A16" s="292"/>
      <c r="B16" s="320"/>
      <c r="C16" s="292"/>
      <c r="D16" s="317"/>
      <c r="E16" s="317"/>
      <c r="F16" s="317"/>
      <c r="G16" s="317"/>
      <c r="H16" s="317"/>
      <c r="I16" s="292"/>
      <c r="J16" s="292"/>
      <c r="K16" s="294"/>
      <c r="L16" s="294"/>
      <c r="M16" s="294"/>
      <c r="N16" s="294"/>
      <c r="O16" s="294"/>
      <c r="P16" s="294"/>
      <c r="Q16" s="294"/>
      <c r="R16" s="294"/>
      <c r="S16" s="294"/>
      <c r="T16" s="294"/>
      <c r="U16" s="294"/>
      <c r="V16" s="294"/>
      <c r="W16" s="294"/>
      <c r="X16" s="294"/>
      <c r="Y16" s="294"/>
      <c r="Z16" s="294"/>
      <c r="AA16" s="294"/>
      <c r="AB16" s="294"/>
      <c r="AC16" s="294"/>
      <c r="AD16" s="294"/>
      <c r="AE16" s="294"/>
      <c r="AF16" s="294"/>
      <c r="AG16" s="294"/>
      <c r="AH16" s="294"/>
      <c r="AI16" s="294"/>
      <c r="AJ16" s="294"/>
      <c r="AK16" s="294"/>
      <c r="AL16" s="294"/>
      <c r="AM16" s="294"/>
      <c r="AN16" s="294"/>
      <c r="AO16" s="294"/>
      <c r="AP16" s="294"/>
      <c r="AQ16" s="294"/>
      <c r="AR16" s="294"/>
      <c r="AS16" s="294"/>
      <c r="AT16" s="294"/>
      <c r="AU16" s="294"/>
      <c r="AV16" s="294"/>
      <c r="AW16" s="294"/>
      <c r="AX16" s="294"/>
      <c r="AY16" s="294"/>
      <c r="AZ16" s="294"/>
      <c r="BA16" s="294"/>
      <c r="BB16" s="294"/>
      <c r="BC16" s="294"/>
      <c r="BD16" s="294"/>
      <c r="BE16" s="294"/>
      <c r="BF16" s="294"/>
      <c r="BG16" s="294"/>
      <c r="BH16" s="294"/>
      <c r="BI16" s="294"/>
      <c r="BJ16" s="294"/>
      <c r="BK16" s="294"/>
      <c r="BL16" s="294"/>
      <c r="BM16" s="294"/>
      <c r="BN16" s="294"/>
      <c r="BO16" s="294"/>
      <c r="BP16" s="294"/>
      <c r="BQ16" s="294"/>
      <c r="BR16" s="294"/>
      <c r="BS16" s="294"/>
      <c r="BT16" s="294"/>
      <c r="BU16" s="294"/>
      <c r="BV16" s="294"/>
      <c r="BW16" s="294"/>
      <c r="BX16" s="294"/>
      <c r="BY16" s="294"/>
      <c r="BZ16" s="294"/>
      <c r="CA16" s="294"/>
      <c r="CB16" s="294"/>
      <c r="CC16" s="294"/>
      <c r="CD16" s="294"/>
      <c r="CE16" s="294"/>
      <c r="CF16" s="294"/>
      <c r="CG16" s="294"/>
      <c r="CH16" s="294"/>
      <c r="CI16" s="294"/>
      <c r="CJ16" s="294"/>
      <c r="CK16" s="294"/>
      <c r="CL16" s="294"/>
      <c r="CM16" s="294"/>
      <c r="CN16" s="294"/>
      <c r="CO16" s="294"/>
      <c r="CP16" s="294"/>
      <c r="CQ16" s="294"/>
      <c r="CR16" s="294"/>
      <c r="CS16" s="294"/>
      <c r="CT16" s="294"/>
      <c r="CU16" s="294"/>
      <c r="CV16" s="294"/>
      <c r="CW16" s="294"/>
      <c r="CX16" s="294"/>
      <c r="CY16" s="294"/>
      <c r="CZ16" s="294"/>
      <c r="DA16" s="294"/>
      <c r="DB16" s="294"/>
      <c r="DC16" s="294"/>
      <c r="DD16" s="294"/>
      <c r="DE16" s="294"/>
      <c r="DF16" s="294"/>
      <c r="DG16" s="294"/>
      <c r="DH16" s="294"/>
      <c r="DI16" s="294"/>
      <c r="DJ16" s="294"/>
      <c r="DK16" s="294"/>
      <c r="DL16" s="294"/>
      <c r="DM16" s="294"/>
      <c r="DN16" s="294"/>
      <c r="DO16" s="294"/>
      <c r="DP16" s="294"/>
      <c r="DQ16" s="294"/>
      <c r="DR16" s="294"/>
      <c r="DS16" s="294"/>
      <c r="DT16" s="294"/>
      <c r="DU16" s="294"/>
      <c r="DV16" s="294"/>
      <c r="DW16" s="294"/>
      <c r="DX16" s="294"/>
      <c r="DY16" s="294"/>
      <c r="DZ16" s="294"/>
      <c r="EA16" s="294"/>
      <c r="EB16" s="294"/>
      <c r="EC16" s="294"/>
      <c r="ED16" s="294"/>
      <c r="EE16" s="294"/>
      <c r="EF16" s="294"/>
      <c r="EG16" s="294"/>
      <c r="EH16" s="294"/>
      <c r="EI16" s="294"/>
      <c r="EJ16" s="294"/>
      <c r="EK16" s="294"/>
      <c r="EL16" s="294"/>
      <c r="EM16" s="294"/>
      <c r="EN16" s="294"/>
      <c r="EO16" s="294"/>
      <c r="EP16" s="294"/>
      <c r="EQ16" s="294"/>
      <c r="ER16" s="294"/>
      <c r="ES16" s="294"/>
      <c r="ET16" s="294"/>
      <c r="EU16" s="294"/>
      <c r="EV16" s="294"/>
      <c r="EW16" s="294"/>
      <c r="EX16" s="294"/>
      <c r="EY16" s="294"/>
      <c r="EZ16" s="294"/>
      <c r="FA16" s="294"/>
      <c r="FB16" s="294"/>
      <c r="FC16" s="294"/>
      <c r="FD16" s="294"/>
      <c r="FE16" s="294"/>
      <c r="FF16" s="294"/>
      <c r="FG16" s="294"/>
      <c r="FH16" s="294"/>
      <c r="FI16" s="294"/>
      <c r="FJ16" s="294"/>
      <c r="FK16" s="294"/>
      <c r="FL16" s="294"/>
      <c r="FM16" s="294"/>
      <c r="FN16" s="294"/>
      <c r="FO16" s="294"/>
      <c r="FP16" s="294"/>
      <c r="FQ16" s="294"/>
      <c r="FR16" s="294"/>
      <c r="FS16" s="294"/>
      <c r="FT16" s="294"/>
      <c r="FU16" s="294"/>
      <c r="FV16" s="294"/>
      <c r="FW16" s="294"/>
      <c r="FX16" s="294"/>
      <c r="FY16" s="294"/>
      <c r="FZ16" s="294"/>
      <c r="GA16" s="294"/>
      <c r="GB16" s="294"/>
      <c r="GC16" s="294"/>
      <c r="GD16" s="294"/>
      <c r="GE16" s="294"/>
      <c r="GF16" s="294"/>
      <c r="GG16" s="294"/>
      <c r="GH16" s="294"/>
      <c r="GI16" s="294"/>
      <c r="GJ16" s="294"/>
      <c r="GK16" s="294"/>
      <c r="GL16" s="294"/>
      <c r="GM16" s="294"/>
      <c r="GN16" s="294"/>
      <c r="GO16" s="294"/>
      <c r="GP16" s="294"/>
      <c r="GQ16" s="294"/>
      <c r="GR16" s="294"/>
      <c r="GS16" s="294"/>
      <c r="GT16" s="294"/>
      <c r="GU16" s="294"/>
      <c r="GV16" s="294"/>
      <c r="GW16" s="294"/>
      <c r="GX16" s="294"/>
      <c r="GY16" s="294"/>
      <c r="GZ16" s="294"/>
      <c r="HA16" s="294"/>
      <c r="HB16" s="294"/>
      <c r="HC16" s="294"/>
      <c r="HD16" s="294"/>
      <c r="HE16" s="294"/>
      <c r="HF16" s="294"/>
      <c r="HG16" s="294"/>
      <c r="HH16" s="294"/>
      <c r="HI16" s="294"/>
      <c r="HJ16" s="294"/>
      <c r="HK16" s="294"/>
      <c r="HL16" s="294"/>
      <c r="HM16" s="294"/>
      <c r="HN16" s="294"/>
      <c r="HO16" s="294"/>
      <c r="HP16" s="294"/>
      <c r="HQ16" s="294"/>
      <c r="HR16" s="294"/>
      <c r="HS16" s="294"/>
      <c r="HT16" s="294"/>
      <c r="HU16" s="294"/>
      <c r="HV16" s="294"/>
      <c r="HW16" s="294"/>
      <c r="HX16" s="294"/>
      <c r="HY16" s="294"/>
      <c r="HZ16" s="294"/>
      <c r="IA16" s="294"/>
      <c r="IB16" s="294"/>
      <c r="IC16" s="294"/>
      <c r="ID16" s="294"/>
      <c r="IE16" s="294"/>
      <c r="IF16" s="294"/>
      <c r="IG16" s="294"/>
      <c r="IH16" s="294"/>
      <c r="II16" s="294"/>
      <c r="IJ16" s="294"/>
      <c r="IK16" s="294"/>
      <c r="IL16" s="294"/>
      <c r="IM16" s="294"/>
      <c r="IN16" s="294"/>
      <c r="IO16" s="294"/>
      <c r="IP16" s="294"/>
      <c r="IQ16" s="294"/>
      <c r="IR16" s="294"/>
    </row>
    <row r="17" spans="1:252" ht="14.25">
      <c r="A17" s="292"/>
      <c r="B17" s="320" t="str">
        <f>'Income Statement Ann'!E21</f>
        <v xml:space="preserve">Corporation tax </v>
      </c>
      <c r="C17" s="292"/>
      <c r="D17" s="317">
        <f ca="1">'Income Statement Ann'!J21</f>
        <v>0</v>
      </c>
      <c r="E17" s="317">
        <f ca="1">'Income Statement Ann'!K21</f>
        <v>-106978.39281702002</v>
      </c>
      <c r="F17" s="317">
        <f ca="1">'Income Statement Ann'!L21</f>
        <v>-638700.45708725823</v>
      </c>
      <c r="G17" s="317">
        <f ca="1">'Income Statement Ann'!M21</f>
        <v>-1570065.6225443601</v>
      </c>
      <c r="H17" s="317">
        <f ca="1">'Income Statement Ann'!N21</f>
        <v>-3418727.4113206393</v>
      </c>
      <c r="I17" s="292"/>
      <c r="J17" s="292"/>
      <c r="K17" s="294"/>
      <c r="L17" s="294"/>
      <c r="M17" s="294"/>
      <c r="N17" s="294"/>
      <c r="O17" s="294"/>
      <c r="P17" s="294"/>
      <c r="Q17" s="294"/>
      <c r="R17" s="294"/>
      <c r="S17" s="294"/>
      <c r="T17" s="294"/>
      <c r="U17" s="294"/>
      <c r="V17" s="294"/>
      <c r="W17" s="294"/>
      <c r="X17" s="294"/>
      <c r="Y17" s="294"/>
      <c r="Z17" s="294"/>
      <c r="AA17" s="294"/>
      <c r="AB17" s="294"/>
      <c r="AC17" s="294"/>
      <c r="AD17" s="294"/>
      <c r="AE17" s="294"/>
      <c r="AF17" s="294"/>
      <c r="AG17" s="294"/>
      <c r="AH17" s="294"/>
      <c r="AI17" s="294"/>
      <c r="AJ17" s="294"/>
      <c r="AK17" s="294"/>
      <c r="AL17" s="294"/>
      <c r="AM17" s="294"/>
      <c r="AN17" s="294"/>
      <c r="AO17" s="294"/>
      <c r="AP17" s="294"/>
      <c r="AQ17" s="294"/>
      <c r="AR17" s="294"/>
      <c r="AS17" s="294"/>
      <c r="AT17" s="294"/>
      <c r="AU17" s="294"/>
      <c r="AV17" s="294"/>
      <c r="AW17" s="294"/>
      <c r="AX17" s="294"/>
      <c r="AY17" s="294"/>
      <c r="AZ17" s="294"/>
      <c r="BA17" s="294"/>
      <c r="BB17" s="294"/>
      <c r="BC17" s="294"/>
      <c r="BD17" s="294"/>
      <c r="BE17" s="294"/>
      <c r="BF17" s="294"/>
      <c r="BG17" s="294"/>
      <c r="BH17" s="294"/>
      <c r="BI17" s="294"/>
      <c r="BJ17" s="294"/>
      <c r="BK17" s="294"/>
      <c r="BL17" s="294"/>
      <c r="BM17" s="294"/>
      <c r="BN17" s="294"/>
      <c r="BO17" s="294"/>
      <c r="BP17" s="294"/>
      <c r="BQ17" s="294"/>
      <c r="BR17" s="294"/>
      <c r="BS17" s="294"/>
      <c r="BT17" s="294"/>
      <c r="BU17" s="294"/>
      <c r="BV17" s="294"/>
      <c r="BW17" s="294"/>
      <c r="BX17" s="294"/>
      <c r="BY17" s="294"/>
      <c r="BZ17" s="294"/>
      <c r="CA17" s="294"/>
      <c r="CB17" s="294"/>
      <c r="CC17" s="294"/>
      <c r="CD17" s="294"/>
      <c r="CE17" s="294"/>
      <c r="CF17" s="294"/>
      <c r="CG17" s="294"/>
      <c r="CH17" s="294"/>
      <c r="CI17" s="294"/>
      <c r="CJ17" s="294"/>
      <c r="CK17" s="294"/>
      <c r="CL17" s="294"/>
      <c r="CM17" s="294"/>
      <c r="CN17" s="294"/>
      <c r="CO17" s="294"/>
      <c r="CP17" s="294"/>
      <c r="CQ17" s="294"/>
      <c r="CR17" s="294"/>
      <c r="CS17" s="294"/>
      <c r="CT17" s="294"/>
      <c r="CU17" s="294"/>
      <c r="CV17" s="294"/>
      <c r="CW17" s="294"/>
      <c r="CX17" s="294"/>
      <c r="CY17" s="294"/>
      <c r="CZ17" s="294"/>
      <c r="DA17" s="294"/>
      <c r="DB17" s="294"/>
      <c r="DC17" s="294"/>
      <c r="DD17" s="294"/>
      <c r="DE17" s="294"/>
      <c r="DF17" s="294"/>
      <c r="DG17" s="294"/>
      <c r="DH17" s="294"/>
      <c r="DI17" s="294"/>
      <c r="DJ17" s="294"/>
      <c r="DK17" s="294"/>
      <c r="DL17" s="294"/>
      <c r="DM17" s="294"/>
      <c r="DN17" s="294"/>
      <c r="DO17" s="294"/>
      <c r="DP17" s="294"/>
      <c r="DQ17" s="294"/>
      <c r="DR17" s="294"/>
      <c r="DS17" s="294"/>
      <c r="DT17" s="294"/>
      <c r="DU17" s="294"/>
      <c r="DV17" s="294"/>
      <c r="DW17" s="294"/>
      <c r="DX17" s="294"/>
      <c r="DY17" s="294"/>
      <c r="DZ17" s="294"/>
      <c r="EA17" s="294"/>
      <c r="EB17" s="294"/>
      <c r="EC17" s="294"/>
      <c r="ED17" s="294"/>
      <c r="EE17" s="294"/>
      <c r="EF17" s="294"/>
      <c r="EG17" s="294"/>
      <c r="EH17" s="294"/>
      <c r="EI17" s="294"/>
      <c r="EJ17" s="294"/>
      <c r="EK17" s="294"/>
      <c r="EL17" s="294"/>
      <c r="EM17" s="294"/>
      <c r="EN17" s="294"/>
      <c r="EO17" s="294"/>
      <c r="EP17" s="294"/>
      <c r="EQ17" s="294"/>
      <c r="ER17" s="294"/>
      <c r="ES17" s="294"/>
      <c r="ET17" s="294"/>
      <c r="EU17" s="294"/>
      <c r="EV17" s="294"/>
      <c r="EW17" s="294"/>
      <c r="EX17" s="294"/>
      <c r="EY17" s="294"/>
      <c r="EZ17" s="294"/>
      <c r="FA17" s="294"/>
      <c r="FB17" s="294"/>
      <c r="FC17" s="294"/>
      <c r="FD17" s="294"/>
      <c r="FE17" s="294"/>
      <c r="FF17" s="294"/>
      <c r="FG17" s="294"/>
      <c r="FH17" s="294"/>
      <c r="FI17" s="294"/>
      <c r="FJ17" s="294"/>
      <c r="FK17" s="294"/>
      <c r="FL17" s="294"/>
      <c r="FM17" s="294"/>
      <c r="FN17" s="294"/>
      <c r="FO17" s="294"/>
      <c r="FP17" s="294"/>
      <c r="FQ17" s="294"/>
      <c r="FR17" s="294"/>
      <c r="FS17" s="294"/>
      <c r="FT17" s="294"/>
      <c r="FU17" s="294"/>
      <c r="FV17" s="294"/>
      <c r="FW17" s="294"/>
      <c r="FX17" s="294"/>
      <c r="FY17" s="294"/>
      <c r="FZ17" s="294"/>
      <c r="GA17" s="294"/>
      <c r="GB17" s="294"/>
      <c r="GC17" s="294"/>
      <c r="GD17" s="294"/>
      <c r="GE17" s="294"/>
      <c r="GF17" s="294"/>
      <c r="GG17" s="294"/>
      <c r="GH17" s="294"/>
      <c r="GI17" s="294"/>
      <c r="GJ17" s="294"/>
      <c r="GK17" s="294"/>
      <c r="GL17" s="294"/>
      <c r="GM17" s="294"/>
      <c r="GN17" s="294"/>
      <c r="GO17" s="294"/>
      <c r="GP17" s="294"/>
      <c r="GQ17" s="294"/>
      <c r="GR17" s="294"/>
      <c r="GS17" s="294"/>
      <c r="GT17" s="294"/>
      <c r="GU17" s="294"/>
      <c r="GV17" s="294"/>
      <c r="GW17" s="294"/>
      <c r="GX17" s="294"/>
      <c r="GY17" s="294"/>
      <c r="GZ17" s="294"/>
      <c r="HA17" s="294"/>
      <c r="HB17" s="294"/>
      <c r="HC17" s="294"/>
      <c r="HD17" s="294"/>
      <c r="HE17" s="294"/>
      <c r="HF17" s="294"/>
      <c r="HG17" s="294"/>
      <c r="HH17" s="294"/>
      <c r="HI17" s="294"/>
      <c r="HJ17" s="294"/>
      <c r="HK17" s="294"/>
      <c r="HL17" s="294"/>
      <c r="HM17" s="294"/>
      <c r="HN17" s="294"/>
      <c r="HO17" s="294"/>
      <c r="HP17" s="294"/>
      <c r="HQ17" s="294"/>
      <c r="HR17" s="294"/>
      <c r="HS17" s="294"/>
      <c r="HT17" s="294"/>
      <c r="HU17" s="294"/>
      <c r="HV17" s="294"/>
      <c r="HW17" s="294"/>
      <c r="HX17" s="294"/>
      <c r="HY17" s="294"/>
      <c r="HZ17" s="294"/>
      <c r="IA17" s="294"/>
      <c r="IB17" s="294"/>
      <c r="IC17" s="294"/>
      <c r="ID17" s="294"/>
      <c r="IE17" s="294"/>
      <c r="IF17" s="294"/>
      <c r="IG17" s="294"/>
      <c r="IH17" s="294"/>
      <c r="II17" s="294"/>
      <c r="IJ17" s="294"/>
      <c r="IK17" s="294"/>
      <c r="IL17" s="294"/>
      <c r="IM17" s="294"/>
      <c r="IN17" s="294"/>
      <c r="IO17" s="294"/>
      <c r="IP17" s="294"/>
      <c r="IQ17" s="294"/>
      <c r="IR17" s="294"/>
    </row>
    <row r="18" spans="1:252" ht="14.25">
      <c r="A18" s="292"/>
      <c r="B18" s="319" t="str">
        <f>'Income Statement Ann'!E22</f>
        <v>Retained Earnings this period</v>
      </c>
      <c r="C18" s="321"/>
      <c r="D18" s="316">
        <f ca="1">'Income Statement Ann'!J22</f>
        <v>-524092.80616935901</v>
      </c>
      <c r="E18" s="316">
        <f ca="1">'Income Statement Ann'!K22</f>
        <v>402078.88535231253</v>
      </c>
      <c r="F18" s="316">
        <f ca="1">'Income Statement Ann'!L22</f>
        <v>1851651.3624109549</v>
      </c>
      <c r="G18" s="316">
        <f ca="1">'Income Statement Ann'!M22</f>
        <v>5101780.1042223684</v>
      </c>
      <c r="H18" s="316">
        <f ca="1">'Income Statement Ann'!N22</f>
        <v>11884971.296741055</v>
      </c>
      <c r="I18" s="292"/>
      <c r="J18" s="292"/>
      <c r="K18" s="294"/>
      <c r="L18" s="294"/>
      <c r="M18" s="294"/>
      <c r="N18" s="294"/>
      <c r="O18" s="294"/>
      <c r="P18" s="294"/>
      <c r="Q18" s="294"/>
      <c r="R18" s="294"/>
      <c r="S18" s="294"/>
      <c r="T18" s="294"/>
      <c r="U18" s="294"/>
      <c r="V18" s="294"/>
      <c r="W18" s="294"/>
      <c r="X18" s="294"/>
      <c r="Y18" s="294"/>
      <c r="Z18" s="294"/>
      <c r="AA18" s="294"/>
      <c r="AB18" s="294"/>
      <c r="AC18" s="294"/>
      <c r="AD18" s="294"/>
      <c r="AE18" s="294"/>
      <c r="AF18" s="294"/>
      <c r="AG18" s="294"/>
      <c r="AH18" s="294"/>
      <c r="AI18" s="294"/>
      <c r="AJ18" s="294"/>
      <c r="AK18" s="294"/>
      <c r="AL18" s="294"/>
      <c r="AM18" s="294"/>
      <c r="AN18" s="294"/>
      <c r="AO18" s="294"/>
      <c r="AP18" s="294"/>
      <c r="AQ18" s="294"/>
      <c r="AR18" s="294"/>
      <c r="AS18" s="294"/>
      <c r="AT18" s="294"/>
      <c r="AU18" s="294"/>
      <c r="AV18" s="294"/>
      <c r="AW18" s="294"/>
      <c r="AX18" s="294"/>
      <c r="AY18" s="294"/>
      <c r="AZ18" s="294"/>
      <c r="BA18" s="294"/>
      <c r="BB18" s="294"/>
      <c r="BC18" s="294"/>
      <c r="BD18" s="294"/>
      <c r="BE18" s="294"/>
      <c r="BF18" s="294"/>
      <c r="BG18" s="294"/>
      <c r="BH18" s="294"/>
      <c r="BI18" s="294"/>
      <c r="BJ18" s="294"/>
      <c r="BK18" s="294"/>
      <c r="BL18" s="294"/>
      <c r="BM18" s="294"/>
      <c r="BN18" s="294"/>
      <c r="BO18" s="294"/>
      <c r="BP18" s="294"/>
      <c r="BQ18" s="294"/>
      <c r="BR18" s="294"/>
      <c r="BS18" s="294"/>
      <c r="BT18" s="294"/>
      <c r="BU18" s="294"/>
      <c r="BV18" s="294"/>
      <c r="BW18" s="294"/>
      <c r="BX18" s="294"/>
      <c r="BY18" s="294"/>
      <c r="BZ18" s="294"/>
      <c r="CA18" s="294"/>
      <c r="CB18" s="294"/>
      <c r="CC18" s="294"/>
      <c r="CD18" s="294"/>
      <c r="CE18" s="294"/>
      <c r="CF18" s="294"/>
      <c r="CG18" s="294"/>
      <c r="CH18" s="294"/>
      <c r="CI18" s="294"/>
      <c r="CJ18" s="294"/>
      <c r="CK18" s="294"/>
      <c r="CL18" s="294"/>
      <c r="CM18" s="294"/>
      <c r="CN18" s="294"/>
      <c r="CO18" s="294"/>
      <c r="CP18" s="294"/>
      <c r="CQ18" s="294"/>
      <c r="CR18" s="294"/>
      <c r="CS18" s="294"/>
      <c r="CT18" s="294"/>
      <c r="CU18" s="294"/>
      <c r="CV18" s="294"/>
      <c r="CW18" s="294"/>
      <c r="CX18" s="294"/>
      <c r="CY18" s="294"/>
      <c r="CZ18" s="294"/>
      <c r="DA18" s="294"/>
      <c r="DB18" s="294"/>
      <c r="DC18" s="294"/>
      <c r="DD18" s="294"/>
      <c r="DE18" s="294"/>
      <c r="DF18" s="294"/>
      <c r="DG18" s="294"/>
      <c r="DH18" s="294"/>
      <c r="DI18" s="294"/>
      <c r="DJ18" s="294"/>
      <c r="DK18" s="294"/>
      <c r="DL18" s="294"/>
      <c r="DM18" s="294"/>
      <c r="DN18" s="294"/>
      <c r="DO18" s="294"/>
      <c r="DP18" s="294"/>
      <c r="DQ18" s="294"/>
      <c r="DR18" s="294"/>
      <c r="DS18" s="294"/>
      <c r="DT18" s="294"/>
      <c r="DU18" s="294"/>
      <c r="DV18" s="294"/>
      <c r="DW18" s="294"/>
      <c r="DX18" s="294"/>
      <c r="DY18" s="294"/>
      <c r="DZ18" s="294"/>
      <c r="EA18" s="294"/>
      <c r="EB18" s="294"/>
      <c r="EC18" s="294"/>
      <c r="ED18" s="294"/>
      <c r="EE18" s="294"/>
      <c r="EF18" s="294"/>
      <c r="EG18" s="294"/>
      <c r="EH18" s="294"/>
      <c r="EI18" s="294"/>
      <c r="EJ18" s="294"/>
      <c r="EK18" s="294"/>
      <c r="EL18" s="294"/>
      <c r="EM18" s="294"/>
      <c r="EN18" s="294"/>
      <c r="EO18" s="294"/>
      <c r="EP18" s="294"/>
      <c r="EQ18" s="294"/>
      <c r="ER18" s="294"/>
      <c r="ES18" s="294"/>
      <c r="ET18" s="294"/>
      <c r="EU18" s="294"/>
      <c r="EV18" s="294"/>
      <c r="EW18" s="294"/>
      <c r="EX18" s="294"/>
      <c r="EY18" s="294"/>
      <c r="EZ18" s="294"/>
      <c r="FA18" s="294"/>
      <c r="FB18" s="294"/>
      <c r="FC18" s="294"/>
      <c r="FD18" s="294"/>
      <c r="FE18" s="294"/>
      <c r="FF18" s="294"/>
      <c r="FG18" s="294"/>
      <c r="FH18" s="294"/>
      <c r="FI18" s="294"/>
      <c r="FJ18" s="294"/>
      <c r="FK18" s="294"/>
      <c r="FL18" s="294"/>
      <c r="FM18" s="294"/>
      <c r="FN18" s="294"/>
      <c r="FO18" s="294"/>
      <c r="FP18" s="294"/>
      <c r="FQ18" s="294"/>
      <c r="FR18" s="294"/>
      <c r="FS18" s="294"/>
      <c r="FT18" s="294"/>
      <c r="FU18" s="294"/>
      <c r="FV18" s="294"/>
      <c r="FW18" s="294"/>
      <c r="FX18" s="294"/>
      <c r="FY18" s="294"/>
      <c r="FZ18" s="294"/>
      <c r="GA18" s="294"/>
      <c r="GB18" s="294"/>
      <c r="GC18" s="294"/>
      <c r="GD18" s="294"/>
      <c r="GE18" s="294"/>
      <c r="GF18" s="294"/>
      <c r="GG18" s="294"/>
      <c r="GH18" s="294"/>
      <c r="GI18" s="294"/>
      <c r="GJ18" s="294"/>
      <c r="GK18" s="294"/>
      <c r="GL18" s="294"/>
      <c r="GM18" s="294"/>
      <c r="GN18" s="294"/>
      <c r="GO18" s="294"/>
      <c r="GP18" s="294"/>
      <c r="GQ18" s="294"/>
      <c r="GR18" s="294"/>
      <c r="GS18" s="294"/>
      <c r="GT18" s="294"/>
      <c r="GU18" s="294"/>
      <c r="GV18" s="294"/>
      <c r="GW18" s="294"/>
      <c r="GX18" s="294"/>
      <c r="GY18" s="294"/>
      <c r="GZ18" s="294"/>
      <c r="HA18" s="294"/>
      <c r="HB18" s="294"/>
      <c r="HC18" s="294"/>
      <c r="HD18" s="294"/>
      <c r="HE18" s="294"/>
      <c r="HF18" s="294"/>
      <c r="HG18" s="294"/>
      <c r="HH18" s="294"/>
      <c r="HI18" s="294"/>
      <c r="HJ18" s="294"/>
      <c r="HK18" s="294"/>
      <c r="HL18" s="294"/>
      <c r="HM18" s="294"/>
      <c r="HN18" s="294"/>
      <c r="HO18" s="294"/>
      <c r="HP18" s="294"/>
      <c r="HQ18" s="294"/>
      <c r="HR18" s="294"/>
      <c r="HS18" s="294"/>
      <c r="HT18" s="294"/>
      <c r="HU18" s="294"/>
      <c r="HV18" s="294"/>
      <c r="HW18" s="294"/>
      <c r="HX18" s="294"/>
      <c r="HY18" s="294"/>
      <c r="HZ18" s="294"/>
      <c r="IA18" s="294"/>
      <c r="IB18" s="294"/>
      <c r="IC18" s="294"/>
      <c r="ID18" s="294"/>
      <c r="IE18" s="294"/>
      <c r="IF18" s="294"/>
      <c r="IG18" s="294"/>
      <c r="IH18" s="294"/>
      <c r="II18" s="294"/>
      <c r="IJ18" s="294"/>
      <c r="IK18" s="294"/>
      <c r="IL18" s="294"/>
      <c r="IM18" s="294"/>
      <c r="IN18" s="294"/>
      <c r="IO18" s="294"/>
      <c r="IP18" s="294"/>
      <c r="IQ18" s="294"/>
      <c r="IR18" s="294"/>
    </row>
    <row r="19" spans="1:252" ht="14.25">
      <c r="A19" s="292"/>
      <c r="B19" s="320"/>
      <c r="C19" s="292"/>
      <c r="D19" s="317"/>
      <c r="E19" s="317"/>
      <c r="F19" s="317"/>
      <c r="G19" s="317"/>
      <c r="H19" s="317"/>
      <c r="I19" s="292"/>
      <c r="J19" s="292"/>
      <c r="K19" s="294"/>
      <c r="L19" s="294"/>
      <c r="M19" s="294"/>
      <c r="N19" s="294"/>
      <c r="O19" s="294"/>
      <c r="P19" s="294"/>
      <c r="Q19" s="294"/>
      <c r="R19" s="294"/>
      <c r="S19" s="294"/>
      <c r="T19" s="294"/>
      <c r="U19" s="294"/>
      <c r="V19" s="294"/>
      <c r="W19" s="294"/>
      <c r="X19" s="294"/>
      <c r="Y19" s="294"/>
      <c r="Z19" s="294"/>
      <c r="AA19" s="294"/>
      <c r="AB19" s="294"/>
      <c r="AC19" s="294"/>
      <c r="AD19" s="294"/>
      <c r="AE19" s="294"/>
      <c r="AF19" s="294"/>
      <c r="AG19" s="294"/>
      <c r="AH19" s="294"/>
      <c r="AI19" s="294"/>
      <c r="AJ19" s="294"/>
      <c r="AK19" s="294"/>
      <c r="AL19" s="294"/>
      <c r="AM19" s="294"/>
      <c r="AN19" s="294"/>
      <c r="AO19" s="294"/>
      <c r="AP19" s="294"/>
      <c r="AQ19" s="294"/>
      <c r="AR19" s="294"/>
      <c r="AS19" s="294"/>
      <c r="AT19" s="294"/>
      <c r="AU19" s="294"/>
      <c r="AV19" s="294"/>
      <c r="AW19" s="294"/>
      <c r="AX19" s="294"/>
      <c r="AY19" s="294"/>
      <c r="AZ19" s="294"/>
      <c r="BA19" s="294"/>
      <c r="BB19" s="294"/>
      <c r="BC19" s="294"/>
      <c r="BD19" s="294"/>
      <c r="BE19" s="294"/>
      <c r="BF19" s="294"/>
      <c r="BG19" s="294"/>
      <c r="BH19" s="294"/>
      <c r="BI19" s="294"/>
      <c r="BJ19" s="294"/>
      <c r="BK19" s="294"/>
      <c r="BL19" s="294"/>
      <c r="BM19" s="294"/>
      <c r="BN19" s="294"/>
      <c r="BO19" s="294"/>
      <c r="BP19" s="294"/>
      <c r="BQ19" s="294"/>
      <c r="BR19" s="294"/>
      <c r="BS19" s="294"/>
      <c r="BT19" s="294"/>
      <c r="BU19" s="294"/>
      <c r="BV19" s="294"/>
      <c r="BW19" s="294"/>
      <c r="BX19" s="294"/>
      <c r="BY19" s="294"/>
      <c r="BZ19" s="294"/>
      <c r="CA19" s="294"/>
      <c r="CB19" s="294"/>
      <c r="CC19" s="294"/>
      <c r="CD19" s="294"/>
      <c r="CE19" s="294"/>
      <c r="CF19" s="294"/>
      <c r="CG19" s="294"/>
      <c r="CH19" s="294"/>
      <c r="CI19" s="294"/>
      <c r="CJ19" s="294"/>
      <c r="CK19" s="294"/>
      <c r="CL19" s="294"/>
      <c r="CM19" s="294"/>
      <c r="CN19" s="294"/>
      <c r="CO19" s="294"/>
      <c r="CP19" s="294"/>
      <c r="CQ19" s="294"/>
      <c r="CR19" s="294"/>
      <c r="CS19" s="294"/>
      <c r="CT19" s="294"/>
      <c r="CU19" s="294"/>
      <c r="CV19" s="294"/>
      <c r="CW19" s="294"/>
      <c r="CX19" s="294"/>
      <c r="CY19" s="294"/>
      <c r="CZ19" s="294"/>
      <c r="DA19" s="294"/>
      <c r="DB19" s="294"/>
      <c r="DC19" s="294"/>
      <c r="DD19" s="294"/>
      <c r="DE19" s="294"/>
      <c r="DF19" s="294"/>
      <c r="DG19" s="294"/>
      <c r="DH19" s="294"/>
      <c r="DI19" s="294"/>
      <c r="DJ19" s="294"/>
      <c r="DK19" s="294"/>
      <c r="DL19" s="294"/>
      <c r="DM19" s="294"/>
      <c r="DN19" s="294"/>
      <c r="DO19" s="294"/>
      <c r="DP19" s="294"/>
      <c r="DQ19" s="294"/>
      <c r="DR19" s="294"/>
      <c r="DS19" s="294"/>
      <c r="DT19" s="294"/>
      <c r="DU19" s="294"/>
      <c r="DV19" s="294"/>
      <c r="DW19" s="294"/>
      <c r="DX19" s="294"/>
      <c r="DY19" s="294"/>
      <c r="DZ19" s="294"/>
      <c r="EA19" s="294"/>
      <c r="EB19" s="294"/>
      <c r="EC19" s="294"/>
      <c r="ED19" s="294"/>
      <c r="EE19" s="294"/>
      <c r="EF19" s="294"/>
      <c r="EG19" s="294"/>
      <c r="EH19" s="294"/>
      <c r="EI19" s="294"/>
      <c r="EJ19" s="294"/>
      <c r="EK19" s="294"/>
      <c r="EL19" s="294"/>
      <c r="EM19" s="294"/>
      <c r="EN19" s="294"/>
      <c r="EO19" s="294"/>
      <c r="EP19" s="294"/>
      <c r="EQ19" s="294"/>
      <c r="ER19" s="294"/>
      <c r="ES19" s="294"/>
      <c r="ET19" s="294"/>
      <c r="EU19" s="294"/>
      <c r="EV19" s="294"/>
      <c r="EW19" s="294"/>
      <c r="EX19" s="294"/>
      <c r="EY19" s="294"/>
      <c r="EZ19" s="294"/>
      <c r="FA19" s="294"/>
      <c r="FB19" s="294"/>
      <c r="FC19" s="294"/>
      <c r="FD19" s="294"/>
      <c r="FE19" s="294"/>
      <c r="FF19" s="294"/>
      <c r="FG19" s="294"/>
      <c r="FH19" s="294"/>
      <c r="FI19" s="294"/>
      <c r="FJ19" s="294"/>
      <c r="FK19" s="294"/>
      <c r="FL19" s="294"/>
      <c r="FM19" s="294"/>
      <c r="FN19" s="294"/>
      <c r="FO19" s="294"/>
      <c r="FP19" s="294"/>
      <c r="FQ19" s="294"/>
      <c r="FR19" s="294"/>
      <c r="FS19" s="294"/>
      <c r="FT19" s="294"/>
      <c r="FU19" s="294"/>
      <c r="FV19" s="294"/>
      <c r="FW19" s="294"/>
      <c r="FX19" s="294"/>
      <c r="FY19" s="294"/>
      <c r="FZ19" s="294"/>
      <c r="GA19" s="294"/>
      <c r="GB19" s="294"/>
      <c r="GC19" s="294"/>
      <c r="GD19" s="294"/>
      <c r="GE19" s="294"/>
      <c r="GF19" s="294"/>
      <c r="GG19" s="294"/>
      <c r="GH19" s="294"/>
      <c r="GI19" s="294"/>
      <c r="GJ19" s="294"/>
      <c r="GK19" s="294"/>
      <c r="GL19" s="294"/>
      <c r="GM19" s="294"/>
      <c r="GN19" s="294"/>
      <c r="GO19" s="294"/>
      <c r="GP19" s="294"/>
      <c r="GQ19" s="294"/>
      <c r="GR19" s="294"/>
      <c r="GS19" s="294"/>
      <c r="GT19" s="294"/>
      <c r="GU19" s="294"/>
      <c r="GV19" s="294"/>
      <c r="GW19" s="294"/>
      <c r="GX19" s="294"/>
      <c r="GY19" s="294"/>
      <c r="GZ19" s="294"/>
      <c r="HA19" s="294"/>
      <c r="HB19" s="294"/>
      <c r="HC19" s="294"/>
      <c r="HD19" s="294"/>
      <c r="HE19" s="294"/>
      <c r="HF19" s="294"/>
      <c r="HG19" s="294"/>
      <c r="HH19" s="294"/>
      <c r="HI19" s="294"/>
      <c r="HJ19" s="294"/>
      <c r="HK19" s="294"/>
      <c r="HL19" s="294"/>
      <c r="HM19" s="294"/>
      <c r="HN19" s="294"/>
      <c r="HO19" s="294"/>
      <c r="HP19" s="294"/>
      <c r="HQ19" s="294"/>
      <c r="HR19" s="294"/>
      <c r="HS19" s="294"/>
      <c r="HT19" s="294"/>
      <c r="HU19" s="294"/>
      <c r="HV19" s="294"/>
      <c r="HW19" s="294"/>
      <c r="HX19" s="294"/>
      <c r="HY19" s="294"/>
      <c r="HZ19" s="294"/>
      <c r="IA19" s="294"/>
      <c r="IB19" s="294"/>
      <c r="IC19" s="294"/>
      <c r="ID19" s="294"/>
      <c r="IE19" s="294"/>
      <c r="IF19" s="294"/>
      <c r="IG19" s="294"/>
      <c r="IH19" s="294"/>
      <c r="II19" s="294"/>
      <c r="IJ19" s="294"/>
      <c r="IK19" s="294"/>
      <c r="IL19" s="294"/>
      <c r="IM19" s="294"/>
      <c r="IN19" s="294"/>
      <c r="IO19" s="294"/>
      <c r="IP19" s="294"/>
      <c r="IQ19" s="294"/>
      <c r="IR19" s="294"/>
    </row>
    <row r="20" spans="1:252" ht="14.25">
      <c r="A20" s="292"/>
      <c r="B20" s="292"/>
      <c r="C20" s="292"/>
      <c r="D20" s="318"/>
      <c r="E20" s="318"/>
      <c r="F20" s="318"/>
      <c r="G20" s="318"/>
      <c r="H20" s="318"/>
      <c r="I20" s="292"/>
      <c r="J20" s="292"/>
      <c r="K20" s="294"/>
      <c r="L20" s="294"/>
      <c r="M20" s="294"/>
      <c r="N20" s="294"/>
      <c r="O20" s="294"/>
      <c r="P20" s="294"/>
      <c r="Q20" s="294"/>
      <c r="R20" s="294"/>
      <c r="S20" s="294"/>
      <c r="T20" s="294"/>
      <c r="U20" s="294"/>
      <c r="V20" s="294"/>
      <c r="W20" s="294"/>
      <c r="X20" s="294"/>
      <c r="Y20" s="294"/>
      <c r="Z20" s="294"/>
      <c r="AA20" s="294"/>
      <c r="AB20" s="294"/>
      <c r="AC20" s="294"/>
      <c r="AD20" s="294"/>
      <c r="AE20" s="294"/>
      <c r="AF20" s="294"/>
      <c r="AG20" s="294"/>
      <c r="AH20" s="294"/>
      <c r="AI20" s="294"/>
      <c r="AJ20" s="294"/>
      <c r="AK20" s="294"/>
      <c r="AL20" s="294"/>
      <c r="AM20" s="294"/>
      <c r="AN20" s="294"/>
      <c r="AO20" s="294"/>
      <c r="AP20" s="294"/>
      <c r="AQ20" s="294"/>
      <c r="AR20" s="294"/>
      <c r="AS20" s="294"/>
      <c r="AT20" s="294"/>
      <c r="AU20" s="294"/>
      <c r="AV20" s="294"/>
      <c r="AW20" s="294"/>
      <c r="AX20" s="294"/>
      <c r="AY20" s="294"/>
      <c r="AZ20" s="294"/>
      <c r="BA20" s="294"/>
      <c r="BB20" s="294"/>
      <c r="BC20" s="294"/>
      <c r="BD20" s="294"/>
      <c r="BE20" s="294"/>
      <c r="BF20" s="294"/>
      <c r="BG20" s="294"/>
      <c r="BH20" s="294"/>
      <c r="BI20" s="294"/>
      <c r="BJ20" s="294"/>
      <c r="BK20" s="294"/>
      <c r="BL20" s="294"/>
      <c r="BM20" s="294"/>
      <c r="BN20" s="294"/>
      <c r="BO20" s="294"/>
      <c r="BP20" s="294"/>
      <c r="BQ20" s="294"/>
      <c r="BR20" s="294"/>
      <c r="BS20" s="294"/>
      <c r="BT20" s="294"/>
      <c r="BU20" s="294"/>
      <c r="BV20" s="294"/>
      <c r="BW20" s="294"/>
      <c r="BX20" s="294"/>
      <c r="BY20" s="294"/>
      <c r="BZ20" s="294"/>
      <c r="CA20" s="294"/>
      <c r="CB20" s="294"/>
      <c r="CC20" s="294"/>
      <c r="CD20" s="294"/>
      <c r="CE20" s="294"/>
      <c r="CF20" s="294"/>
      <c r="CG20" s="294"/>
      <c r="CH20" s="294"/>
      <c r="CI20" s="294"/>
      <c r="CJ20" s="294"/>
      <c r="CK20" s="294"/>
      <c r="CL20" s="294"/>
      <c r="CM20" s="294"/>
      <c r="CN20" s="294"/>
      <c r="CO20" s="294"/>
      <c r="CP20" s="294"/>
      <c r="CQ20" s="294"/>
      <c r="CR20" s="294"/>
      <c r="CS20" s="294"/>
      <c r="CT20" s="294"/>
      <c r="CU20" s="294"/>
      <c r="CV20" s="294"/>
      <c r="CW20" s="294"/>
      <c r="CX20" s="294"/>
      <c r="CY20" s="294"/>
      <c r="CZ20" s="294"/>
      <c r="DA20" s="294"/>
      <c r="DB20" s="294"/>
      <c r="DC20" s="294"/>
      <c r="DD20" s="294"/>
      <c r="DE20" s="294"/>
      <c r="DF20" s="294"/>
      <c r="DG20" s="294"/>
      <c r="DH20" s="294"/>
      <c r="DI20" s="294"/>
      <c r="DJ20" s="294"/>
      <c r="DK20" s="294"/>
      <c r="DL20" s="294"/>
      <c r="DM20" s="294"/>
      <c r="DN20" s="294"/>
      <c r="DO20" s="294"/>
      <c r="DP20" s="294"/>
      <c r="DQ20" s="294"/>
      <c r="DR20" s="294"/>
      <c r="DS20" s="294"/>
      <c r="DT20" s="294"/>
      <c r="DU20" s="294"/>
      <c r="DV20" s="294"/>
      <c r="DW20" s="294"/>
      <c r="DX20" s="294"/>
      <c r="DY20" s="294"/>
      <c r="DZ20" s="294"/>
      <c r="EA20" s="294"/>
      <c r="EB20" s="294"/>
      <c r="EC20" s="294"/>
      <c r="ED20" s="294"/>
      <c r="EE20" s="294"/>
      <c r="EF20" s="294"/>
      <c r="EG20" s="294"/>
      <c r="EH20" s="294"/>
      <c r="EI20" s="294"/>
      <c r="EJ20" s="294"/>
      <c r="EK20" s="294"/>
      <c r="EL20" s="294"/>
      <c r="EM20" s="294"/>
      <c r="EN20" s="294"/>
      <c r="EO20" s="294"/>
      <c r="EP20" s="294"/>
      <c r="EQ20" s="294"/>
      <c r="ER20" s="294"/>
      <c r="ES20" s="294"/>
      <c r="ET20" s="294"/>
      <c r="EU20" s="294"/>
      <c r="EV20" s="294"/>
      <c r="EW20" s="294"/>
      <c r="EX20" s="294"/>
      <c r="EY20" s="294"/>
      <c r="EZ20" s="294"/>
      <c r="FA20" s="294"/>
      <c r="FB20" s="294"/>
      <c r="FC20" s="294"/>
      <c r="FD20" s="294"/>
      <c r="FE20" s="294"/>
      <c r="FF20" s="294"/>
      <c r="FG20" s="294"/>
      <c r="FH20" s="294"/>
      <c r="FI20" s="294"/>
      <c r="FJ20" s="294"/>
      <c r="FK20" s="294"/>
      <c r="FL20" s="294"/>
      <c r="FM20" s="294"/>
      <c r="FN20" s="294"/>
      <c r="FO20" s="294"/>
      <c r="FP20" s="294"/>
      <c r="FQ20" s="294"/>
      <c r="FR20" s="294"/>
      <c r="FS20" s="294"/>
      <c r="FT20" s="294"/>
      <c r="FU20" s="294"/>
      <c r="FV20" s="294"/>
      <c r="FW20" s="294"/>
      <c r="FX20" s="294"/>
      <c r="FY20" s="294"/>
      <c r="FZ20" s="294"/>
      <c r="GA20" s="294"/>
      <c r="GB20" s="294"/>
      <c r="GC20" s="294"/>
      <c r="GD20" s="294"/>
      <c r="GE20" s="294"/>
      <c r="GF20" s="294"/>
      <c r="GG20" s="294"/>
      <c r="GH20" s="294"/>
      <c r="GI20" s="294"/>
      <c r="GJ20" s="294"/>
      <c r="GK20" s="294"/>
      <c r="GL20" s="294"/>
      <c r="GM20" s="294"/>
      <c r="GN20" s="294"/>
      <c r="GO20" s="294"/>
      <c r="GP20" s="294"/>
      <c r="GQ20" s="294"/>
      <c r="GR20" s="294"/>
      <c r="GS20" s="294"/>
      <c r="GT20" s="294"/>
      <c r="GU20" s="294"/>
      <c r="GV20" s="294"/>
      <c r="GW20" s="294"/>
      <c r="GX20" s="294"/>
      <c r="GY20" s="294"/>
      <c r="GZ20" s="294"/>
      <c r="HA20" s="294"/>
      <c r="HB20" s="294"/>
      <c r="HC20" s="294"/>
      <c r="HD20" s="294"/>
      <c r="HE20" s="294"/>
      <c r="HF20" s="294"/>
      <c r="HG20" s="294"/>
      <c r="HH20" s="294"/>
      <c r="HI20" s="294"/>
      <c r="HJ20" s="294"/>
      <c r="HK20" s="294"/>
      <c r="HL20" s="294"/>
      <c r="HM20" s="294"/>
      <c r="HN20" s="294"/>
      <c r="HO20" s="294"/>
      <c r="HP20" s="294"/>
      <c r="HQ20" s="294"/>
      <c r="HR20" s="294"/>
      <c r="HS20" s="294"/>
      <c r="HT20" s="294"/>
      <c r="HU20" s="294"/>
      <c r="HV20" s="294"/>
      <c r="HW20" s="294"/>
      <c r="HX20" s="294"/>
      <c r="HY20" s="294"/>
      <c r="HZ20" s="294"/>
      <c r="IA20" s="294"/>
      <c r="IB20" s="294"/>
      <c r="IC20" s="294"/>
      <c r="ID20" s="294"/>
      <c r="IE20" s="294"/>
      <c r="IF20" s="294"/>
      <c r="IG20" s="294"/>
      <c r="IH20" s="294"/>
      <c r="II20" s="294"/>
      <c r="IJ20" s="294"/>
      <c r="IK20" s="294"/>
      <c r="IL20" s="294"/>
      <c r="IM20" s="294"/>
      <c r="IN20" s="294"/>
      <c r="IO20" s="294"/>
      <c r="IP20" s="294"/>
      <c r="IQ20" s="294"/>
      <c r="IR20" s="294"/>
    </row>
    <row r="21" spans="1:252" s="315" customFormat="1" ht="14.25">
      <c r="A21" s="295"/>
      <c r="B21" s="336" t="s">
        <v>345</v>
      </c>
      <c r="C21" s="324"/>
      <c r="D21" s="337">
        <f>'Balance Sheet Ann'!J2</f>
        <v>45412</v>
      </c>
      <c r="E21" s="337">
        <f>'Balance Sheet Ann'!K2</f>
        <v>45777</v>
      </c>
      <c r="F21" s="337">
        <f>'Balance Sheet Ann'!L2</f>
        <v>46142</v>
      </c>
      <c r="G21" s="337">
        <f>'Balance Sheet Ann'!M2</f>
        <v>46507</v>
      </c>
      <c r="H21" s="337">
        <f>'Balance Sheet Ann'!N2</f>
        <v>46873</v>
      </c>
      <c r="I21" s="295"/>
      <c r="J21" s="295"/>
      <c r="K21" s="295"/>
      <c r="L21" s="295"/>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c r="AM21" s="295"/>
      <c r="AN21" s="295"/>
      <c r="AO21" s="295"/>
      <c r="AP21" s="295"/>
      <c r="AQ21" s="295"/>
      <c r="AR21" s="295"/>
      <c r="AS21" s="295"/>
      <c r="AT21" s="295"/>
      <c r="AU21" s="295"/>
      <c r="AV21" s="295"/>
      <c r="AW21" s="295"/>
      <c r="AX21" s="295"/>
      <c r="AY21" s="295"/>
      <c r="AZ21" s="295"/>
      <c r="BA21" s="295"/>
      <c r="BB21" s="295"/>
      <c r="BC21" s="295"/>
      <c r="BD21" s="295"/>
      <c r="BE21" s="295"/>
      <c r="BF21" s="295"/>
      <c r="BG21" s="295"/>
      <c r="BH21" s="295"/>
      <c r="BI21" s="295"/>
      <c r="BJ21" s="295"/>
      <c r="BK21" s="295"/>
      <c r="BL21" s="295"/>
      <c r="BM21" s="295"/>
      <c r="BN21" s="295"/>
      <c r="BO21" s="295"/>
      <c r="BP21" s="295"/>
      <c r="BQ21" s="295"/>
      <c r="BR21" s="295"/>
      <c r="BS21" s="295"/>
      <c r="BT21" s="295"/>
      <c r="BU21" s="295"/>
      <c r="BV21" s="295"/>
      <c r="BW21" s="295"/>
      <c r="BX21" s="295"/>
      <c r="BY21" s="295"/>
      <c r="BZ21" s="295"/>
      <c r="CA21" s="295"/>
      <c r="CB21" s="295"/>
      <c r="CC21" s="295"/>
      <c r="CD21" s="295"/>
      <c r="CE21" s="295"/>
      <c r="CF21" s="295"/>
      <c r="CG21" s="295"/>
      <c r="CH21" s="295"/>
      <c r="CI21" s="295"/>
      <c r="CJ21" s="295"/>
      <c r="CK21" s="295"/>
      <c r="CL21" s="295"/>
      <c r="CM21" s="295"/>
      <c r="CN21" s="295"/>
      <c r="CO21" s="295"/>
      <c r="CP21" s="295"/>
      <c r="CQ21" s="295"/>
      <c r="CR21" s="295"/>
      <c r="CS21" s="295"/>
      <c r="CT21" s="295"/>
      <c r="CU21" s="295"/>
      <c r="CV21" s="295"/>
      <c r="CW21" s="295"/>
      <c r="CX21" s="295"/>
      <c r="CY21" s="295"/>
      <c r="CZ21" s="295"/>
      <c r="DA21" s="295"/>
      <c r="DB21" s="295"/>
      <c r="DC21" s="295"/>
      <c r="DD21" s="295"/>
      <c r="DE21" s="295"/>
      <c r="DF21" s="295"/>
      <c r="DG21" s="295"/>
      <c r="DH21" s="295"/>
      <c r="DI21" s="295"/>
      <c r="DJ21" s="295"/>
      <c r="DK21" s="295"/>
      <c r="DL21" s="295"/>
      <c r="DM21" s="295"/>
      <c r="DN21" s="295"/>
      <c r="DO21" s="295"/>
      <c r="DP21" s="295"/>
      <c r="DQ21" s="295"/>
      <c r="DR21" s="295"/>
      <c r="DS21" s="295"/>
      <c r="DT21" s="295"/>
      <c r="DU21" s="295"/>
      <c r="DV21" s="295"/>
      <c r="DW21" s="295"/>
      <c r="DX21" s="295"/>
      <c r="DY21" s="295"/>
      <c r="DZ21" s="295"/>
      <c r="EA21" s="295"/>
      <c r="EB21" s="295"/>
      <c r="EC21" s="295"/>
      <c r="ED21" s="295"/>
      <c r="EE21" s="295"/>
      <c r="EF21" s="295"/>
      <c r="EG21" s="295"/>
      <c r="EH21" s="295"/>
      <c r="EI21" s="295"/>
      <c r="EJ21" s="295"/>
      <c r="EK21" s="295"/>
      <c r="EL21" s="295"/>
      <c r="EM21" s="295"/>
      <c r="EN21" s="295"/>
      <c r="EO21" s="295"/>
      <c r="EP21" s="295"/>
      <c r="EQ21" s="295"/>
      <c r="ER21" s="295"/>
      <c r="ES21" s="295"/>
      <c r="ET21" s="295"/>
      <c r="EU21" s="295"/>
      <c r="EV21" s="295"/>
      <c r="EW21" s="295"/>
      <c r="EX21" s="295"/>
      <c r="EY21" s="295"/>
      <c r="EZ21" s="295"/>
      <c r="FA21" s="295"/>
      <c r="FB21" s="295"/>
      <c r="FC21" s="295"/>
      <c r="FD21" s="295"/>
      <c r="FE21" s="295"/>
      <c r="FF21" s="295"/>
      <c r="FG21" s="295"/>
      <c r="FH21" s="295"/>
      <c r="FI21" s="295"/>
      <c r="FJ21" s="295"/>
      <c r="FK21" s="295"/>
      <c r="FL21" s="295"/>
      <c r="FM21" s="295"/>
      <c r="FN21" s="295"/>
      <c r="FO21" s="295"/>
      <c r="FP21" s="295"/>
      <c r="FQ21" s="295"/>
      <c r="FR21" s="295"/>
      <c r="FS21" s="295"/>
      <c r="FT21" s="295"/>
      <c r="FU21" s="295"/>
      <c r="FV21" s="295"/>
      <c r="FW21" s="295"/>
      <c r="FX21" s="295"/>
      <c r="FY21" s="295"/>
      <c r="FZ21" s="295"/>
      <c r="GA21" s="295"/>
      <c r="GB21" s="295"/>
      <c r="GC21" s="295"/>
      <c r="GD21" s="295"/>
      <c r="GE21" s="295"/>
      <c r="GF21" s="295"/>
      <c r="GG21" s="295"/>
      <c r="GH21" s="295"/>
      <c r="GI21" s="295"/>
      <c r="GJ21" s="295"/>
      <c r="GK21" s="295"/>
      <c r="GL21" s="295"/>
      <c r="GM21" s="295"/>
      <c r="GN21" s="295"/>
      <c r="GO21" s="295"/>
      <c r="GP21" s="295"/>
      <c r="GQ21" s="295"/>
      <c r="GR21" s="295"/>
      <c r="GS21" s="295"/>
      <c r="GT21" s="295"/>
      <c r="GU21" s="295"/>
      <c r="GV21" s="295"/>
      <c r="GW21" s="295"/>
      <c r="GX21" s="295"/>
      <c r="GY21" s="295"/>
      <c r="GZ21" s="295"/>
      <c r="HA21" s="295"/>
      <c r="HB21" s="295"/>
      <c r="HC21" s="295"/>
      <c r="HD21" s="295"/>
      <c r="HE21" s="295"/>
      <c r="HF21" s="295"/>
      <c r="HG21" s="295"/>
      <c r="HH21" s="295"/>
      <c r="HI21" s="295"/>
      <c r="HJ21" s="295"/>
      <c r="HK21" s="295"/>
      <c r="HL21" s="295"/>
      <c r="HM21" s="295"/>
      <c r="HN21" s="295"/>
      <c r="HO21" s="295"/>
      <c r="HP21" s="295"/>
      <c r="HQ21" s="295"/>
      <c r="HR21" s="295"/>
      <c r="HS21" s="295"/>
      <c r="HT21" s="295"/>
      <c r="HU21" s="295"/>
      <c r="HV21" s="295"/>
      <c r="HW21" s="295"/>
      <c r="HX21" s="295"/>
      <c r="HY21" s="295"/>
      <c r="HZ21" s="295"/>
      <c r="IA21" s="295"/>
      <c r="IB21" s="295"/>
      <c r="IC21" s="295"/>
      <c r="ID21" s="295"/>
      <c r="IE21" s="295"/>
      <c r="IF21" s="295"/>
      <c r="IG21" s="295"/>
      <c r="IH21" s="295"/>
      <c r="II21" s="295"/>
      <c r="IJ21" s="295"/>
      <c r="IK21" s="295"/>
      <c r="IL21" s="295"/>
      <c r="IM21" s="295"/>
      <c r="IN21" s="295"/>
      <c r="IO21" s="295"/>
      <c r="IP21" s="295"/>
      <c r="IQ21" s="295"/>
      <c r="IR21" s="295"/>
    </row>
    <row r="22" spans="1:252" ht="14.25">
      <c r="A22" s="292"/>
      <c r="B22" s="292"/>
      <c r="C22" s="292"/>
      <c r="D22" s="318"/>
      <c r="E22" s="318"/>
      <c r="F22" s="318"/>
      <c r="G22" s="318"/>
      <c r="H22" s="318"/>
      <c r="I22" s="292"/>
      <c r="J22" s="292"/>
      <c r="K22" s="294"/>
      <c r="L22" s="294"/>
      <c r="M22" s="294"/>
      <c r="N22" s="294"/>
      <c r="O22" s="294"/>
      <c r="P22" s="294"/>
      <c r="Q22" s="294"/>
      <c r="R22" s="294"/>
      <c r="S22" s="294"/>
      <c r="T22" s="294"/>
      <c r="U22" s="294"/>
      <c r="V22" s="294"/>
      <c r="W22" s="294"/>
      <c r="X22" s="294"/>
      <c r="Y22" s="294"/>
      <c r="Z22" s="294"/>
      <c r="AA22" s="294"/>
      <c r="AB22" s="294"/>
      <c r="AC22" s="294"/>
      <c r="AD22" s="294"/>
      <c r="AE22" s="294"/>
      <c r="AF22" s="294"/>
      <c r="AG22" s="294"/>
      <c r="AH22" s="294"/>
      <c r="AI22" s="294"/>
      <c r="AJ22" s="294"/>
      <c r="AK22" s="294"/>
      <c r="AL22" s="294"/>
      <c r="AM22" s="294"/>
      <c r="AN22" s="294"/>
      <c r="AO22" s="294"/>
      <c r="AP22" s="294"/>
      <c r="AQ22" s="294"/>
      <c r="AR22" s="294"/>
      <c r="AS22" s="294"/>
      <c r="AT22" s="294"/>
      <c r="AU22" s="294"/>
      <c r="AV22" s="294"/>
      <c r="AW22" s="294"/>
      <c r="AX22" s="294"/>
      <c r="AY22" s="294"/>
      <c r="AZ22" s="294"/>
      <c r="BA22" s="294"/>
      <c r="BB22" s="294"/>
      <c r="BC22" s="294"/>
      <c r="BD22" s="294"/>
      <c r="BE22" s="294"/>
      <c r="BF22" s="294"/>
      <c r="BG22" s="294"/>
      <c r="BH22" s="294"/>
      <c r="BI22" s="294"/>
      <c r="BJ22" s="294"/>
      <c r="BK22" s="294"/>
      <c r="BL22" s="294"/>
      <c r="BM22" s="294"/>
      <c r="BN22" s="294"/>
      <c r="BO22" s="294"/>
      <c r="BP22" s="294"/>
      <c r="BQ22" s="294"/>
      <c r="BR22" s="294"/>
      <c r="BS22" s="294"/>
      <c r="BT22" s="294"/>
      <c r="BU22" s="294"/>
      <c r="BV22" s="294"/>
      <c r="BW22" s="294"/>
      <c r="BX22" s="294"/>
      <c r="BY22" s="294"/>
      <c r="BZ22" s="294"/>
      <c r="CA22" s="294"/>
      <c r="CB22" s="294"/>
      <c r="CC22" s="294"/>
      <c r="CD22" s="294"/>
      <c r="CE22" s="294"/>
      <c r="CF22" s="294"/>
      <c r="CG22" s="294"/>
      <c r="CH22" s="294"/>
      <c r="CI22" s="294"/>
      <c r="CJ22" s="294"/>
      <c r="CK22" s="294"/>
      <c r="CL22" s="294"/>
      <c r="CM22" s="294"/>
      <c r="CN22" s="294"/>
      <c r="CO22" s="294"/>
      <c r="CP22" s="294"/>
      <c r="CQ22" s="294"/>
      <c r="CR22" s="294"/>
      <c r="CS22" s="294"/>
      <c r="CT22" s="294"/>
      <c r="CU22" s="294"/>
      <c r="CV22" s="294"/>
      <c r="CW22" s="294"/>
      <c r="CX22" s="294"/>
      <c r="CY22" s="294"/>
      <c r="CZ22" s="294"/>
      <c r="DA22" s="294"/>
      <c r="DB22" s="294"/>
      <c r="DC22" s="294"/>
      <c r="DD22" s="294"/>
      <c r="DE22" s="294"/>
      <c r="DF22" s="294"/>
      <c r="DG22" s="294"/>
      <c r="DH22" s="294"/>
      <c r="DI22" s="294"/>
      <c r="DJ22" s="294"/>
      <c r="DK22" s="294"/>
      <c r="DL22" s="294"/>
      <c r="DM22" s="294"/>
      <c r="DN22" s="294"/>
      <c r="DO22" s="294"/>
      <c r="DP22" s="294"/>
      <c r="DQ22" s="294"/>
      <c r="DR22" s="294"/>
      <c r="DS22" s="294"/>
      <c r="DT22" s="294"/>
      <c r="DU22" s="294"/>
      <c r="DV22" s="294"/>
      <c r="DW22" s="294"/>
      <c r="DX22" s="294"/>
      <c r="DY22" s="294"/>
      <c r="DZ22" s="294"/>
      <c r="EA22" s="294"/>
      <c r="EB22" s="294"/>
      <c r="EC22" s="294"/>
      <c r="ED22" s="294"/>
      <c r="EE22" s="294"/>
      <c r="EF22" s="294"/>
      <c r="EG22" s="294"/>
      <c r="EH22" s="294"/>
      <c r="EI22" s="294"/>
      <c r="EJ22" s="294"/>
      <c r="EK22" s="294"/>
      <c r="EL22" s="294"/>
      <c r="EM22" s="294"/>
      <c r="EN22" s="294"/>
      <c r="EO22" s="294"/>
      <c r="EP22" s="294"/>
      <c r="EQ22" s="294"/>
      <c r="ER22" s="294"/>
      <c r="ES22" s="294"/>
      <c r="ET22" s="294"/>
      <c r="EU22" s="294"/>
      <c r="EV22" s="294"/>
      <c r="EW22" s="294"/>
      <c r="EX22" s="294"/>
      <c r="EY22" s="294"/>
      <c r="EZ22" s="294"/>
      <c r="FA22" s="294"/>
      <c r="FB22" s="294"/>
      <c r="FC22" s="294"/>
      <c r="FD22" s="294"/>
      <c r="FE22" s="294"/>
      <c r="FF22" s="294"/>
      <c r="FG22" s="294"/>
      <c r="FH22" s="294"/>
      <c r="FI22" s="294"/>
      <c r="FJ22" s="294"/>
      <c r="FK22" s="294"/>
      <c r="FL22" s="294"/>
      <c r="FM22" s="294"/>
      <c r="FN22" s="294"/>
      <c r="FO22" s="294"/>
      <c r="FP22" s="294"/>
      <c r="FQ22" s="294"/>
      <c r="FR22" s="294"/>
      <c r="FS22" s="294"/>
      <c r="FT22" s="294"/>
      <c r="FU22" s="294"/>
      <c r="FV22" s="294"/>
      <c r="FW22" s="294"/>
      <c r="FX22" s="294"/>
      <c r="FY22" s="294"/>
      <c r="FZ22" s="294"/>
      <c r="GA22" s="294"/>
      <c r="GB22" s="294"/>
      <c r="GC22" s="294"/>
      <c r="GD22" s="294"/>
      <c r="GE22" s="294"/>
      <c r="GF22" s="294"/>
      <c r="GG22" s="294"/>
      <c r="GH22" s="294"/>
      <c r="GI22" s="294"/>
      <c r="GJ22" s="294"/>
      <c r="GK22" s="294"/>
      <c r="GL22" s="294"/>
      <c r="GM22" s="294"/>
      <c r="GN22" s="294"/>
      <c r="GO22" s="294"/>
      <c r="GP22" s="294"/>
      <c r="GQ22" s="294"/>
      <c r="GR22" s="294"/>
      <c r="GS22" s="294"/>
      <c r="GT22" s="294"/>
      <c r="GU22" s="294"/>
      <c r="GV22" s="294"/>
      <c r="GW22" s="294"/>
      <c r="GX22" s="294"/>
      <c r="GY22" s="294"/>
      <c r="GZ22" s="294"/>
      <c r="HA22" s="294"/>
      <c r="HB22" s="294"/>
      <c r="HC22" s="294"/>
      <c r="HD22" s="294"/>
      <c r="HE22" s="294"/>
      <c r="HF22" s="294"/>
      <c r="HG22" s="294"/>
      <c r="HH22" s="294"/>
      <c r="HI22" s="294"/>
      <c r="HJ22" s="294"/>
      <c r="HK22" s="294"/>
      <c r="HL22" s="294"/>
      <c r="HM22" s="294"/>
      <c r="HN22" s="294"/>
      <c r="HO22" s="294"/>
      <c r="HP22" s="294"/>
      <c r="HQ22" s="294"/>
      <c r="HR22" s="294"/>
      <c r="HS22" s="294"/>
      <c r="HT22" s="294"/>
      <c r="HU22" s="294"/>
      <c r="HV22" s="294"/>
      <c r="HW22" s="294"/>
      <c r="HX22" s="294"/>
      <c r="HY22" s="294"/>
      <c r="HZ22" s="294"/>
      <c r="IA22" s="294"/>
      <c r="IB22" s="294"/>
      <c r="IC22" s="294"/>
      <c r="ID22" s="294"/>
      <c r="IE22" s="294"/>
      <c r="IF22" s="294"/>
      <c r="IG22" s="294"/>
      <c r="IH22" s="294"/>
      <c r="II22" s="294"/>
      <c r="IJ22" s="294"/>
      <c r="IK22" s="294"/>
      <c r="IL22" s="294"/>
      <c r="IM22" s="294"/>
      <c r="IN22" s="294"/>
      <c r="IO22" s="294"/>
      <c r="IP22" s="294"/>
      <c r="IQ22" s="294"/>
      <c r="IR22" s="294"/>
    </row>
    <row r="23" spans="1:252" ht="14.25">
      <c r="A23" s="292"/>
      <c r="B23" s="314" t="str">
        <f>'Balance Sheet Ann'!E8</f>
        <v>Inventory</v>
      </c>
      <c r="C23" s="292"/>
      <c r="D23" s="317">
        <f ca="1">'Balance Sheet Ann'!J8</f>
        <v>350000</v>
      </c>
      <c r="E23" s="317">
        <f ca="1">'Balance Sheet Ann'!K8</f>
        <v>1050000</v>
      </c>
      <c r="F23" s="317">
        <f ca="1">'Balance Sheet Ann'!L8</f>
        <v>1630176.8000105759</v>
      </c>
      <c r="G23" s="317">
        <f ca="1">'Balance Sheet Ann'!M8</f>
        <v>2790185.3525249097</v>
      </c>
      <c r="H23" s="317">
        <f ca="1">'Balance Sheet Ann'!N8</f>
        <v>3445036.4383722316</v>
      </c>
      <c r="I23" s="292"/>
      <c r="J23" s="292"/>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row>
    <row r="24" spans="1:252" ht="14.25">
      <c r="A24" s="292"/>
      <c r="B24" s="314" t="str">
        <f>'Balance Sheet Ann'!E9</f>
        <v xml:space="preserve">Depreciation </v>
      </c>
      <c r="C24" s="292"/>
      <c r="D24" s="317">
        <f ca="1">'Balance Sheet Ann'!J9</f>
        <v>-116666.66666666666</v>
      </c>
      <c r="E24" s="317">
        <f ca="1">'Balance Sheet Ann'!K9</f>
        <v>-444791.66666666663</v>
      </c>
      <c r="F24" s="317">
        <f ca="1">'Balance Sheet Ann'!L9</f>
        <v>-783513.93599258631</v>
      </c>
      <c r="G24" s="317">
        <f ca="1">'Balance Sheet Ann'!M9</f>
        <v>-1247508.2156888754</v>
      </c>
      <c r="H24" s="317">
        <f ca="1">'Balance Sheet Ann'!N9</f>
        <v>-1388690.7429198015</v>
      </c>
      <c r="I24" s="292"/>
      <c r="J24" s="292"/>
      <c r="K24" s="294"/>
      <c r="L24" s="294"/>
      <c r="M24" s="294"/>
      <c r="N24" s="294"/>
      <c r="O24" s="294"/>
      <c r="P24" s="294"/>
      <c r="Q24" s="294"/>
      <c r="R24" s="294"/>
      <c r="S24" s="294"/>
      <c r="T24" s="294"/>
      <c r="U24" s="294"/>
      <c r="V24" s="294"/>
      <c r="W24" s="294"/>
      <c r="X24" s="294"/>
      <c r="Y24" s="294"/>
      <c r="Z24" s="294"/>
      <c r="AA24" s="294"/>
      <c r="AB24" s="294"/>
      <c r="AC24" s="294"/>
      <c r="AD24" s="294"/>
      <c r="AE24" s="294"/>
      <c r="AF24" s="294"/>
      <c r="AG24" s="294"/>
      <c r="AH24" s="294"/>
      <c r="AI24" s="294"/>
      <c r="AJ24" s="294"/>
      <c r="AK24" s="294"/>
      <c r="AL24" s="294"/>
      <c r="AM24" s="294"/>
      <c r="AN24" s="294"/>
      <c r="AO24" s="294"/>
      <c r="AP24" s="294"/>
      <c r="AQ24" s="294"/>
      <c r="AR24" s="294"/>
      <c r="AS24" s="294"/>
      <c r="AT24" s="294"/>
      <c r="AU24" s="294"/>
      <c r="AV24" s="294"/>
      <c r="AW24" s="294"/>
      <c r="AX24" s="294"/>
      <c r="AY24" s="294"/>
      <c r="AZ24" s="294"/>
      <c r="BA24" s="294"/>
      <c r="BB24" s="294"/>
      <c r="BC24" s="294"/>
      <c r="BD24" s="294"/>
      <c r="BE24" s="294"/>
      <c r="BF24" s="294"/>
      <c r="BG24" s="294"/>
      <c r="BH24" s="294"/>
      <c r="BI24" s="294"/>
      <c r="BJ24" s="294"/>
      <c r="BK24" s="294"/>
      <c r="BL24" s="294"/>
      <c r="BM24" s="294"/>
      <c r="BN24" s="294"/>
      <c r="BO24" s="294"/>
      <c r="BP24" s="294"/>
      <c r="BQ24" s="294"/>
      <c r="BR24" s="294"/>
      <c r="BS24" s="294"/>
      <c r="BT24" s="294"/>
      <c r="BU24" s="294"/>
      <c r="BV24" s="294"/>
      <c r="BW24" s="294"/>
      <c r="BX24" s="294"/>
      <c r="BY24" s="294"/>
      <c r="BZ24" s="294"/>
      <c r="CA24" s="294"/>
      <c r="CB24" s="294"/>
      <c r="CC24" s="294"/>
      <c r="CD24" s="294"/>
      <c r="CE24" s="294"/>
      <c r="CF24" s="294"/>
      <c r="CG24" s="294"/>
      <c r="CH24" s="294"/>
      <c r="CI24" s="294"/>
      <c r="CJ24" s="294"/>
      <c r="CK24" s="294"/>
      <c r="CL24" s="294"/>
      <c r="CM24" s="294"/>
      <c r="CN24" s="294"/>
      <c r="CO24" s="294"/>
      <c r="CP24" s="294"/>
      <c r="CQ24" s="294"/>
      <c r="CR24" s="294"/>
      <c r="CS24" s="294"/>
      <c r="CT24" s="294"/>
      <c r="CU24" s="294"/>
      <c r="CV24" s="294"/>
      <c r="CW24" s="294"/>
      <c r="CX24" s="294"/>
      <c r="CY24" s="294"/>
      <c r="CZ24" s="294"/>
      <c r="DA24" s="294"/>
      <c r="DB24" s="294"/>
      <c r="DC24" s="294"/>
      <c r="DD24" s="294"/>
      <c r="DE24" s="294"/>
      <c r="DF24" s="294"/>
      <c r="DG24" s="294"/>
      <c r="DH24" s="294"/>
      <c r="DI24" s="294"/>
      <c r="DJ24" s="294"/>
      <c r="DK24" s="294"/>
      <c r="DL24" s="294"/>
      <c r="DM24" s="294"/>
      <c r="DN24" s="294"/>
      <c r="DO24" s="294"/>
      <c r="DP24" s="294"/>
      <c r="DQ24" s="294"/>
      <c r="DR24" s="294"/>
      <c r="DS24" s="294"/>
      <c r="DT24" s="294"/>
      <c r="DU24" s="294"/>
      <c r="DV24" s="294"/>
      <c r="DW24" s="294"/>
      <c r="DX24" s="294"/>
      <c r="DY24" s="294"/>
      <c r="DZ24" s="294"/>
      <c r="EA24" s="294"/>
      <c r="EB24" s="294"/>
      <c r="EC24" s="294"/>
      <c r="ED24" s="294"/>
      <c r="EE24" s="294"/>
      <c r="EF24" s="294"/>
      <c r="EG24" s="294"/>
      <c r="EH24" s="294"/>
      <c r="EI24" s="294"/>
      <c r="EJ24" s="294"/>
      <c r="EK24" s="294"/>
      <c r="EL24" s="294"/>
      <c r="EM24" s="294"/>
      <c r="EN24" s="294"/>
      <c r="EO24" s="294"/>
      <c r="EP24" s="294"/>
      <c r="EQ24" s="294"/>
      <c r="ER24" s="294"/>
      <c r="ES24" s="294"/>
      <c r="ET24" s="294"/>
      <c r="EU24" s="294"/>
      <c r="EV24" s="294"/>
      <c r="EW24" s="294"/>
      <c r="EX24" s="294"/>
      <c r="EY24" s="294"/>
      <c r="EZ24" s="294"/>
      <c r="FA24" s="294"/>
      <c r="FB24" s="294"/>
      <c r="FC24" s="294"/>
      <c r="FD24" s="294"/>
      <c r="FE24" s="294"/>
      <c r="FF24" s="294"/>
      <c r="FG24" s="294"/>
      <c r="FH24" s="294"/>
      <c r="FI24" s="294"/>
      <c r="FJ24" s="294"/>
      <c r="FK24" s="294"/>
      <c r="FL24" s="294"/>
      <c r="FM24" s="294"/>
      <c r="FN24" s="294"/>
      <c r="FO24" s="294"/>
      <c r="FP24" s="294"/>
      <c r="FQ24" s="294"/>
      <c r="FR24" s="294"/>
      <c r="FS24" s="294"/>
      <c r="FT24" s="294"/>
      <c r="FU24" s="294"/>
      <c r="FV24" s="294"/>
      <c r="FW24" s="294"/>
      <c r="FX24" s="294"/>
      <c r="FY24" s="294"/>
      <c r="FZ24" s="294"/>
      <c r="GA24" s="294"/>
      <c r="GB24" s="294"/>
      <c r="GC24" s="294"/>
      <c r="GD24" s="294"/>
      <c r="GE24" s="294"/>
      <c r="GF24" s="294"/>
      <c r="GG24" s="294"/>
      <c r="GH24" s="294"/>
      <c r="GI24" s="294"/>
      <c r="GJ24" s="294"/>
      <c r="GK24" s="294"/>
      <c r="GL24" s="294"/>
      <c r="GM24" s="294"/>
      <c r="GN24" s="294"/>
      <c r="GO24" s="294"/>
      <c r="GP24" s="294"/>
      <c r="GQ24" s="294"/>
      <c r="GR24" s="294"/>
      <c r="GS24" s="294"/>
      <c r="GT24" s="294"/>
      <c r="GU24" s="294"/>
      <c r="GV24" s="294"/>
      <c r="GW24" s="294"/>
      <c r="GX24" s="294"/>
      <c r="GY24" s="294"/>
      <c r="GZ24" s="294"/>
      <c r="HA24" s="294"/>
      <c r="HB24" s="294"/>
      <c r="HC24" s="294"/>
      <c r="HD24" s="294"/>
      <c r="HE24" s="294"/>
      <c r="HF24" s="294"/>
      <c r="HG24" s="294"/>
      <c r="HH24" s="294"/>
      <c r="HI24" s="294"/>
      <c r="HJ24" s="294"/>
      <c r="HK24" s="294"/>
      <c r="HL24" s="294"/>
      <c r="HM24" s="294"/>
      <c r="HN24" s="294"/>
      <c r="HO24" s="294"/>
      <c r="HP24" s="294"/>
      <c r="HQ24" s="294"/>
      <c r="HR24" s="294"/>
      <c r="HS24" s="294"/>
      <c r="HT24" s="294"/>
      <c r="HU24" s="294"/>
      <c r="HV24" s="294"/>
      <c r="HW24" s="294"/>
      <c r="HX24" s="294"/>
      <c r="HY24" s="294"/>
      <c r="HZ24" s="294"/>
      <c r="IA24" s="294"/>
      <c r="IB24" s="294"/>
      <c r="IC24" s="294"/>
      <c r="ID24" s="294"/>
      <c r="IE24" s="294"/>
      <c r="IF24" s="294"/>
      <c r="IG24" s="294"/>
      <c r="IH24" s="294"/>
      <c r="II24" s="294"/>
      <c r="IJ24" s="294"/>
      <c r="IK24" s="294"/>
      <c r="IL24" s="294"/>
      <c r="IM24" s="294"/>
      <c r="IN24" s="294"/>
      <c r="IO24" s="294"/>
      <c r="IP24" s="294"/>
      <c r="IQ24" s="294"/>
      <c r="IR24" s="294"/>
    </row>
    <row r="25" spans="1:252" ht="14.25">
      <c r="A25" s="292"/>
      <c r="B25" s="314" t="str">
        <f>'Balance Sheet Ann'!E10</f>
        <v>Debtors</v>
      </c>
      <c r="C25" s="292"/>
      <c r="D25" s="317">
        <f ca="1">'Balance Sheet Ann'!J10</f>
        <v>-6.3664629124104977E-11</v>
      </c>
      <c r="E25" s="317">
        <f ca="1">'Balance Sheet Ann'!K10</f>
        <v>864000</v>
      </c>
      <c r="F25" s="317">
        <f ca="1">'Balance Sheet Ann'!L10</f>
        <v>2327752.7966961241</v>
      </c>
      <c r="G25" s="317">
        <f ca="1">'Balance Sheet Ann'!M10</f>
        <v>3527977.4326262358</v>
      </c>
      <c r="H25" s="317">
        <f ca="1">'Balance Sheet Ann'!N10</f>
        <v>6731994.6507732924</v>
      </c>
      <c r="I25" s="292"/>
      <c r="J25" s="292"/>
      <c r="K25" s="294"/>
      <c r="L25" s="294"/>
      <c r="M25" s="294"/>
      <c r="N25" s="294"/>
      <c r="O25" s="294"/>
      <c r="P25" s="294"/>
      <c r="Q25" s="294"/>
      <c r="R25" s="294"/>
      <c r="S25" s="294"/>
      <c r="T25" s="294"/>
      <c r="U25" s="294"/>
      <c r="V25" s="294"/>
      <c r="W25" s="294"/>
      <c r="X25" s="294"/>
      <c r="Y25" s="294"/>
      <c r="Z25" s="294"/>
      <c r="AA25" s="294"/>
      <c r="AB25" s="294"/>
      <c r="AC25" s="294"/>
      <c r="AD25" s="294"/>
      <c r="AE25" s="294"/>
      <c r="AF25" s="294"/>
      <c r="AG25" s="294"/>
      <c r="AH25" s="294"/>
      <c r="AI25" s="294"/>
      <c r="AJ25" s="294"/>
      <c r="AK25" s="294"/>
      <c r="AL25" s="294"/>
      <c r="AM25" s="294"/>
      <c r="AN25" s="294"/>
      <c r="AO25" s="294"/>
      <c r="AP25" s="294"/>
      <c r="AQ25" s="294"/>
      <c r="AR25" s="294"/>
      <c r="AS25" s="294"/>
      <c r="AT25" s="294"/>
      <c r="AU25" s="294"/>
      <c r="AV25" s="294"/>
      <c r="AW25" s="294"/>
      <c r="AX25" s="294"/>
      <c r="AY25" s="294"/>
      <c r="AZ25" s="294"/>
      <c r="BA25" s="294"/>
      <c r="BB25" s="294"/>
      <c r="BC25" s="294"/>
      <c r="BD25" s="294"/>
      <c r="BE25" s="294"/>
      <c r="BF25" s="294"/>
      <c r="BG25" s="294"/>
      <c r="BH25" s="294"/>
      <c r="BI25" s="294"/>
      <c r="BJ25" s="294"/>
      <c r="BK25" s="294"/>
      <c r="BL25" s="294"/>
      <c r="BM25" s="294"/>
      <c r="BN25" s="294"/>
      <c r="BO25" s="294"/>
      <c r="BP25" s="294"/>
      <c r="BQ25" s="294"/>
      <c r="BR25" s="294"/>
      <c r="BS25" s="294"/>
      <c r="BT25" s="294"/>
      <c r="BU25" s="294"/>
      <c r="BV25" s="294"/>
      <c r="BW25" s="294"/>
      <c r="BX25" s="294"/>
      <c r="BY25" s="294"/>
      <c r="BZ25" s="294"/>
      <c r="CA25" s="294"/>
      <c r="CB25" s="294"/>
      <c r="CC25" s="294"/>
      <c r="CD25" s="294"/>
      <c r="CE25" s="294"/>
      <c r="CF25" s="294"/>
      <c r="CG25" s="294"/>
      <c r="CH25" s="294"/>
      <c r="CI25" s="294"/>
      <c r="CJ25" s="294"/>
      <c r="CK25" s="294"/>
      <c r="CL25" s="294"/>
      <c r="CM25" s="294"/>
      <c r="CN25" s="294"/>
      <c r="CO25" s="294"/>
      <c r="CP25" s="294"/>
      <c r="CQ25" s="294"/>
      <c r="CR25" s="294"/>
      <c r="CS25" s="294"/>
      <c r="CT25" s="294"/>
      <c r="CU25" s="294"/>
      <c r="CV25" s="294"/>
      <c r="CW25" s="294"/>
      <c r="CX25" s="294"/>
      <c r="CY25" s="294"/>
      <c r="CZ25" s="294"/>
      <c r="DA25" s="294"/>
      <c r="DB25" s="294"/>
      <c r="DC25" s="294"/>
      <c r="DD25" s="294"/>
      <c r="DE25" s="294"/>
      <c r="DF25" s="294"/>
      <c r="DG25" s="294"/>
      <c r="DH25" s="294"/>
      <c r="DI25" s="294"/>
      <c r="DJ25" s="294"/>
      <c r="DK25" s="294"/>
      <c r="DL25" s="294"/>
      <c r="DM25" s="294"/>
      <c r="DN25" s="294"/>
      <c r="DO25" s="294"/>
      <c r="DP25" s="294"/>
      <c r="DQ25" s="294"/>
      <c r="DR25" s="294"/>
      <c r="DS25" s="294"/>
      <c r="DT25" s="294"/>
      <c r="DU25" s="294"/>
      <c r="DV25" s="294"/>
      <c r="DW25" s="294"/>
      <c r="DX25" s="294"/>
      <c r="DY25" s="294"/>
      <c r="DZ25" s="294"/>
      <c r="EA25" s="294"/>
      <c r="EB25" s="294"/>
      <c r="EC25" s="294"/>
      <c r="ED25" s="294"/>
      <c r="EE25" s="294"/>
      <c r="EF25" s="294"/>
      <c r="EG25" s="294"/>
      <c r="EH25" s="294"/>
      <c r="EI25" s="294"/>
      <c r="EJ25" s="294"/>
      <c r="EK25" s="294"/>
      <c r="EL25" s="294"/>
      <c r="EM25" s="294"/>
      <c r="EN25" s="294"/>
      <c r="EO25" s="294"/>
      <c r="EP25" s="294"/>
      <c r="EQ25" s="294"/>
      <c r="ER25" s="294"/>
      <c r="ES25" s="294"/>
      <c r="ET25" s="294"/>
      <c r="EU25" s="294"/>
      <c r="EV25" s="294"/>
      <c r="EW25" s="294"/>
      <c r="EX25" s="294"/>
      <c r="EY25" s="294"/>
      <c r="EZ25" s="294"/>
      <c r="FA25" s="294"/>
      <c r="FB25" s="294"/>
      <c r="FC25" s="294"/>
      <c r="FD25" s="294"/>
      <c r="FE25" s="294"/>
      <c r="FF25" s="294"/>
      <c r="FG25" s="294"/>
      <c r="FH25" s="294"/>
      <c r="FI25" s="294"/>
      <c r="FJ25" s="294"/>
      <c r="FK25" s="294"/>
      <c r="FL25" s="294"/>
      <c r="FM25" s="294"/>
      <c r="FN25" s="294"/>
      <c r="FO25" s="294"/>
      <c r="FP25" s="294"/>
      <c r="FQ25" s="294"/>
      <c r="FR25" s="294"/>
      <c r="FS25" s="294"/>
      <c r="FT25" s="294"/>
      <c r="FU25" s="294"/>
      <c r="FV25" s="294"/>
      <c r="FW25" s="294"/>
      <c r="FX25" s="294"/>
      <c r="FY25" s="294"/>
      <c r="FZ25" s="294"/>
      <c r="GA25" s="294"/>
      <c r="GB25" s="294"/>
      <c r="GC25" s="294"/>
      <c r="GD25" s="294"/>
      <c r="GE25" s="294"/>
      <c r="GF25" s="294"/>
      <c r="GG25" s="294"/>
      <c r="GH25" s="294"/>
      <c r="GI25" s="294"/>
      <c r="GJ25" s="294"/>
      <c r="GK25" s="294"/>
      <c r="GL25" s="294"/>
      <c r="GM25" s="294"/>
      <c r="GN25" s="294"/>
      <c r="GO25" s="294"/>
      <c r="GP25" s="294"/>
      <c r="GQ25" s="294"/>
      <c r="GR25" s="294"/>
      <c r="GS25" s="294"/>
      <c r="GT25" s="294"/>
      <c r="GU25" s="294"/>
      <c r="GV25" s="294"/>
      <c r="GW25" s="294"/>
      <c r="GX25" s="294"/>
      <c r="GY25" s="294"/>
      <c r="GZ25" s="294"/>
      <c r="HA25" s="294"/>
      <c r="HB25" s="294"/>
      <c r="HC25" s="294"/>
      <c r="HD25" s="294"/>
      <c r="HE25" s="294"/>
      <c r="HF25" s="294"/>
      <c r="HG25" s="294"/>
      <c r="HH25" s="294"/>
      <c r="HI25" s="294"/>
      <c r="HJ25" s="294"/>
      <c r="HK25" s="294"/>
      <c r="HL25" s="294"/>
      <c r="HM25" s="294"/>
      <c r="HN25" s="294"/>
      <c r="HO25" s="294"/>
      <c r="HP25" s="294"/>
      <c r="HQ25" s="294"/>
      <c r="HR25" s="294"/>
      <c r="HS25" s="294"/>
      <c r="HT25" s="294"/>
      <c r="HU25" s="294"/>
      <c r="HV25" s="294"/>
      <c r="HW25" s="294"/>
      <c r="HX25" s="294"/>
      <c r="HY25" s="294"/>
      <c r="HZ25" s="294"/>
      <c r="IA25" s="294"/>
      <c r="IB25" s="294"/>
      <c r="IC25" s="294"/>
      <c r="ID25" s="294"/>
      <c r="IE25" s="294"/>
      <c r="IF25" s="294"/>
      <c r="IG25" s="294"/>
      <c r="IH25" s="294"/>
      <c r="II25" s="294"/>
      <c r="IJ25" s="294"/>
      <c r="IK25" s="294"/>
      <c r="IL25" s="294"/>
      <c r="IM25" s="294"/>
      <c r="IN25" s="294"/>
      <c r="IO25" s="294"/>
      <c r="IP25" s="294"/>
      <c r="IQ25" s="294"/>
      <c r="IR25" s="294"/>
    </row>
    <row r="26" spans="1:252" s="315" customFormat="1" ht="14.25">
      <c r="A26" s="314"/>
      <c r="B26" s="314" t="str">
        <f>'Balance Sheet Ann'!E11</f>
        <v>Cash</v>
      </c>
      <c r="C26" s="292"/>
      <c r="D26" s="317">
        <f ca="1">'Balance Sheet Ann'!J11</f>
        <v>85687.307120060359</v>
      </c>
      <c r="E26" s="317">
        <f ca="1">'Balance Sheet Ann'!K11</f>
        <v>1270059.1436541709</v>
      </c>
      <c r="F26" s="317">
        <f ca="1">'Balance Sheet Ann'!L11</f>
        <v>5417962.1105279103</v>
      </c>
      <c r="G26" s="317">
        <f ca="1">'Balance Sheet Ann'!M11</f>
        <v>14984790.399722619</v>
      </c>
      <c r="H26" s="317">
        <f ca="1">'Balance Sheet Ann'!N11</f>
        <v>34145444.452532314</v>
      </c>
      <c r="I26" s="314"/>
      <c r="J26" s="314"/>
      <c r="K26" s="314"/>
      <c r="L26" s="295"/>
      <c r="M26" s="295"/>
      <c r="N26" s="295"/>
      <c r="O26" s="295"/>
      <c r="P26" s="295"/>
      <c r="Q26" s="295"/>
      <c r="R26" s="295"/>
      <c r="S26" s="295"/>
      <c r="T26" s="295"/>
      <c r="U26" s="295"/>
      <c r="V26" s="295"/>
      <c r="W26" s="295"/>
      <c r="X26" s="295"/>
      <c r="Y26" s="295"/>
      <c r="Z26" s="295"/>
      <c r="AA26" s="295"/>
      <c r="AB26" s="295"/>
      <c r="AC26" s="295"/>
      <c r="AD26" s="295"/>
      <c r="AE26" s="295"/>
      <c r="AF26" s="295"/>
      <c r="AG26" s="295"/>
      <c r="AH26" s="295"/>
      <c r="AI26" s="295"/>
      <c r="AJ26" s="295"/>
      <c r="AK26" s="295"/>
      <c r="AL26" s="295"/>
      <c r="AM26" s="295"/>
      <c r="AN26" s="295"/>
      <c r="AO26" s="295"/>
      <c r="AP26" s="295"/>
      <c r="AQ26" s="295"/>
      <c r="AR26" s="295"/>
      <c r="AS26" s="295"/>
      <c r="AT26" s="295"/>
      <c r="AU26" s="295"/>
      <c r="AV26" s="295"/>
      <c r="AW26" s="295"/>
      <c r="AX26" s="295"/>
      <c r="AY26" s="295"/>
      <c r="AZ26" s="295"/>
      <c r="BA26" s="295"/>
      <c r="BB26" s="295"/>
      <c r="BC26" s="295"/>
      <c r="BD26" s="295"/>
      <c r="BE26" s="295"/>
      <c r="BF26" s="295"/>
      <c r="BG26" s="295"/>
      <c r="BH26" s="295"/>
      <c r="BI26" s="295"/>
      <c r="BJ26" s="295"/>
      <c r="BK26" s="295"/>
      <c r="BL26" s="295"/>
      <c r="BM26" s="295"/>
      <c r="BN26" s="295"/>
      <c r="BO26" s="295"/>
      <c r="BP26" s="295"/>
      <c r="BQ26" s="295"/>
      <c r="BR26" s="295"/>
      <c r="BS26" s="295"/>
      <c r="BT26" s="295"/>
      <c r="BU26" s="295"/>
      <c r="BV26" s="295"/>
      <c r="BW26" s="295"/>
      <c r="BX26" s="295"/>
      <c r="BY26" s="295"/>
      <c r="BZ26" s="295"/>
      <c r="CA26" s="295"/>
      <c r="CB26" s="295"/>
      <c r="CC26" s="295"/>
      <c r="CD26" s="295"/>
      <c r="CE26" s="295"/>
      <c r="CF26" s="295"/>
      <c r="CG26" s="295"/>
      <c r="CH26" s="295"/>
      <c r="CI26" s="295"/>
      <c r="CJ26" s="295"/>
      <c r="CK26" s="295"/>
      <c r="CL26" s="295"/>
      <c r="CM26" s="295"/>
      <c r="CN26" s="295"/>
      <c r="CO26" s="295"/>
      <c r="CP26" s="295"/>
      <c r="CQ26" s="295"/>
      <c r="CR26" s="295"/>
      <c r="CS26" s="295"/>
      <c r="CT26" s="295"/>
      <c r="CU26" s="295"/>
      <c r="CV26" s="295"/>
      <c r="CW26" s="295"/>
      <c r="CX26" s="295"/>
      <c r="CY26" s="295"/>
      <c r="CZ26" s="295"/>
      <c r="DA26" s="295"/>
      <c r="DB26" s="295"/>
      <c r="DC26" s="295"/>
      <c r="DD26" s="295"/>
      <c r="DE26" s="295"/>
      <c r="DF26" s="295"/>
      <c r="DG26" s="295"/>
      <c r="DH26" s="295"/>
      <c r="DI26" s="295"/>
      <c r="DJ26" s="295"/>
      <c r="DK26" s="295"/>
      <c r="DL26" s="295"/>
      <c r="DM26" s="295"/>
      <c r="DN26" s="295"/>
      <c r="DO26" s="295"/>
      <c r="DP26" s="295"/>
      <c r="DQ26" s="295"/>
      <c r="DR26" s="295"/>
      <c r="DS26" s="295"/>
      <c r="DT26" s="295"/>
      <c r="DU26" s="295"/>
      <c r="DV26" s="295"/>
      <c r="DW26" s="295"/>
      <c r="DX26" s="295"/>
      <c r="DY26" s="295"/>
      <c r="DZ26" s="295"/>
      <c r="EA26" s="295"/>
      <c r="EB26" s="295"/>
      <c r="EC26" s="295"/>
      <c r="ED26" s="295"/>
      <c r="EE26" s="295"/>
      <c r="EF26" s="295"/>
      <c r="EG26" s="295"/>
      <c r="EH26" s="295"/>
      <c r="EI26" s="295"/>
      <c r="EJ26" s="295"/>
      <c r="EK26" s="295"/>
      <c r="EL26" s="295"/>
      <c r="EM26" s="295"/>
      <c r="EN26" s="295"/>
      <c r="EO26" s="295"/>
      <c r="EP26" s="295"/>
      <c r="EQ26" s="295"/>
      <c r="ER26" s="295"/>
      <c r="ES26" s="295"/>
      <c r="ET26" s="295"/>
      <c r="EU26" s="295"/>
      <c r="EV26" s="295"/>
      <c r="EW26" s="295"/>
      <c r="EX26" s="295"/>
      <c r="EY26" s="295"/>
      <c r="EZ26" s="295"/>
      <c r="FA26" s="295"/>
      <c r="FB26" s="295"/>
      <c r="FC26" s="295"/>
      <c r="FD26" s="295"/>
      <c r="FE26" s="295"/>
      <c r="FF26" s="295"/>
      <c r="FG26" s="295"/>
      <c r="FH26" s="295"/>
      <c r="FI26" s="295"/>
      <c r="FJ26" s="295"/>
      <c r="FK26" s="295"/>
      <c r="FL26" s="295"/>
      <c r="FM26" s="295"/>
      <c r="FN26" s="295"/>
      <c r="FO26" s="295"/>
      <c r="FP26" s="295"/>
      <c r="FQ26" s="295"/>
      <c r="FR26" s="295"/>
      <c r="FS26" s="295"/>
      <c r="FT26" s="295"/>
      <c r="FU26" s="295"/>
      <c r="FV26" s="295"/>
      <c r="FW26" s="295"/>
      <c r="FX26" s="295"/>
      <c r="FY26" s="295"/>
      <c r="FZ26" s="295"/>
      <c r="GA26" s="295"/>
      <c r="GB26" s="295"/>
      <c r="GC26" s="295"/>
      <c r="GD26" s="295"/>
      <c r="GE26" s="295"/>
      <c r="GF26" s="295"/>
      <c r="GG26" s="295"/>
      <c r="GH26" s="295"/>
      <c r="GI26" s="295"/>
      <c r="GJ26" s="295"/>
      <c r="GK26" s="295"/>
      <c r="GL26" s="295"/>
      <c r="GM26" s="295"/>
      <c r="GN26" s="295"/>
      <c r="GO26" s="295"/>
      <c r="GP26" s="295"/>
      <c r="GQ26" s="295"/>
      <c r="GR26" s="295"/>
      <c r="GS26" s="295"/>
      <c r="GT26" s="295"/>
      <c r="GU26" s="295"/>
      <c r="GV26" s="295"/>
      <c r="GW26" s="295"/>
      <c r="GX26" s="295"/>
      <c r="GY26" s="295"/>
      <c r="GZ26" s="295"/>
      <c r="HA26" s="295"/>
      <c r="HB26" s="295"/>
      <c r="HC26" s="295"/>
      <c r="HD26" s="295"/>
      <c r="HE26" s="295"/>
      <c r="HF26" s="295"/>
      <c r="HG26" s="295"/>
      <c r="HH26" s="295"/>
      <c r="HI26" s="295"/>
      <c r="HJ26" s="295"/>
      <c r="HK26" s="295"/>
      <c r="HL26" s="295"/>
      <c r="HM26" s="295"/>
      <c r="HN26" s="295"/>
      <c r="HO26" s="295"/>
      <c r="HP26" s="295"/>
      <c r="HQ26" s="295"/>
      <c r="HR26" s="295"/>
      <c r="HS26" s="295"/>
      <c r="HT26" s="295"/>
      <c r="HU26" s="295"/>
      <c r="HV26" s="295"/>
      <c r="HW26" s="295"/>
      <c r="HX26" s="295"/>
      <c r="HY26" s="295"/>
      <c r="HZ26" s="295"/>
      <c r="IA26" s="295"/>
      <c r="IB26" s="295"/>
      <c r="IC26" s="295"/>
      <c r="ID26" s="295"/>
      <c r="IE26" s="295"/>
      <c r="IF26" s="295"/>
      <c r="IG26" s="295"/>
      <c r="IH26" s="295"/>
      <c r="II26" s="295"/>
      <c r="IJ26" s="295"/>
      <c r="IK26" s="295"/>
      <c r="IL26" s="295"/>
      <c r="IM26" s="295"/>
      <c r="IN26" s="295"/>
      <c r="IO26" s="295"/>
      <c r="IP26" s="295"/>
      <c r="IQ26" s="295"/>
      <c r="IR26" s="295"/>
    </row>
    <row r="27" spans="1:252" ht="14.25">
      <c r="A27" s="292"/>
      <c r="B27" s="322" t="str">
        <f>'Balance Sheet Ann'!E12</f>
        <v>Assets</v>
      </c>
      <c r="C27" s="321"/>
      <c r="D27" s="316">
        <f ca="1">'Balance Sheet Ann'!J12</f>
        <v>319020.64045339363</v>
      </c>
      <c r="E27" s="316">
        <f ca="1">'Balance Sheet Ann'!K12</f>
        <v>2739267.4769875044</v>
      </c>
      <c r="F27" s="316">
        <f ca="1">'Balance Sheet Ann'!L12</f>
        <v>8592377.7712420244</v>
      </c>
      <c r="G27" s="316">
        <f ca="1">'Balance Sheet Ann'!M12</f>
        <v>20055444.96918489</v>
      </c>
      <c r="H27" s="316">
        <f ca="1">'Balance Sheet Ann'!N12</f>
        <v>42933784.798758037</v>
      </c>
      <c r="I27" s="292"/>
      <c r="J27" s="292"/>
      <c r="K27" s="294"/>
      <c r="L27" s="294"/>
      <c r="M27" s="294"/>
      <c r="N27" s="294"/>
      <c r="O27" s="294"/>
      <c r="P27" s="294"/>
      <c r="Q27" s="294"/>
      <c r="R27" s="294"/>
      <c r="S27" s="294"/>
      <c r="T27" s="294"/>
      <c r="U27" s="294"/>
      <c r="V27" s="294"/>
      <c r="W27" s="294"/>
      <c r="X27" s="294"/>
      <c r="Y27" s="294"/>
      <c r="Z27" s="294"/>
      <c r="AA27" s="294"/>
      <c r="AB27" s="294"/>
      <c r="AC27" s="294"/>
      <c r="AD27" s="294"/>
      <c r="AE27" s="294"/>
      <c r="AF27" s="294"/>
      <c r="AG27" s="294"/>
      <c r="AH27" s="294"/>
      <c r="AI27" s="294"/>
      <c r="AJ27" s="294"/>
      <c r="AK27" s="294"/>
      <c r="AL27" s="294"/>
      <c r="AM27" s="294"/>
      <c r="AN27" s="294"/>
      <c r="AO27" s="294"/>
      <c r="AP27" s="294"/>
      <c r="AQ27" s="294"/>
      <c r="AR27" s="294"/>
      <c r="AS27" s="294"/>
      <c r="AT27" s="294"/>
      <c r="AU27" s="294"/>
      <c r="AV27" s="294"/>
      <c r="AW27" s="294"/>
      <c r="AX27" s="294"/>
      <c r="AY27" s="294"/>
      <c r="AZ27" s="294"/>
      <c r="BA27" s="294"/>
      <c r="BB27" s="294"/>
      <c r="BC27" s="294"/>
      <c r="BD27" s="294"/>
      <c r="BE27" s="294"/>
      <c r="BF27" s="294"/>
      <c r="BG27" s="294"/>
      <c r="BH27" s="294"/>
      <c r="BI27" s="294"/>
      <c r="BJ27" s="294"/>
      <c r="BK27" s="294"/>
      <c r="BL27" s="294"/>
      <c r="BM27" s="294"/>
      <c r="BN27" s="294"/>
      <c r="BO27" s="294"/>
      <c r="BP27" s="294"/>
      <c r="BQ27" s="294"/>
      <c r="BR27" s="294"/>
      <c r="BS27" s="294"/>
      <c r="BT27" s="294"/>
      <c r="BU27" s="294"/>
      <c r="BV27" s="294"/>
      <c r="BW27" s="294"/>
      <c r="BX27" s="294"/>
      <c r="BY27" s="294"/>
      <c r="BZ27" s="294"/>
      <c r="CA27" s="294"/>
      <c r="CB27" s="294"/>
      <c r="CC27" s="294"/>
      <c r="CD27" s="294"/>
      <c r="CE27" s="294"/>
      <c r="CF27" s="294"/>
      <c r="CG27" s="294"/>
      <c r="CH27" s="294"/>
      <c r="CI27" s="294"/>
      <c r="CJ27" s="294"/>
      <c r="CK27" s="294"/>
      <c r="CL27" s="294"/>
      <c r="CM27" s="294"/>
      <c r="CN27" s="294"/>
      <c r="CO27" s="294"/>
      <c r="CP27" s="294"/>
      <c r="CQ27" s="294"/>
      <c r="CR27" s="294"/>
      <c r="CS27" s="294"/>
      <c r="CT27" s="294"/>
      <c r="CU27" s="294"/>
      <c r="CV27" s="294"/>
      <c r="CW27" s="294"/>
      <c r="CX27" s="294"/>
      <c r="CY27" s="294"/>
      <c r="CZ27" s="294"/>
      <c r="DA27" s="294"/>
      <c r="DB27" s="294"/>
      <c r="DC27" s="294"/>
      <c r="DD27" s="294"/>
      <c r="DE27" s="294"/>
      <c r="DF27" s="294"/>
      <c r="DG27" s="294"/>
      <c r="DH27" s="294"/>
      <c r="DI27" s="294"/>
      <c r="DJ27" s="294"/>
      <c r="DK27" s="294"/>
      <c r="DL27" s="294"/>
      <c r="DM27" s="294"/>
      <c r="DN27" s="294"/>
      <c r="DO27" s="294"/>
      <c r="DP27" s="294"/>
      <c r="DQ27" s="294"/>
      <c r="DR27" s="294"/>
      <c r="DS27" s="294"/>
      <c r="DT27" s="294"/>
      <c r="DU27" s="294"/>
      <c r="DV27" s="294"/>
      <c r="DW27" s="294"/>
      <c r="DX27" s="294"/>
      <c r="DY27" s="294"/>
      <c r="DZ27" s="294"/>
      <c r="EA27" s="294"/>
      <c r="EB27" s="294"/>
      <c r="EC27" s="294"/>
      <c r="ED27" s="294"/>
      <c r="EE27" s="294"/>
      <c r="EF27" s="294"/>
      <c r="EG27" s="294"/>
      <c r="EH27" s="294"/>
      <c r="EI27" s="294"/>
      <c r="EJ27" s="294"/>
      <c r="EK27" s="294"/>
      <c r="EL27" s="294"/>
      <c r="EM27" s="294"/>
      <c r="EN27" s="294"/>
      <c r="EO27" s="294"/>
      <c r="EP27" s="294"/>
      <c r="EQ27" s="294"/>
      <c r="ER27" s="294"/>
      <c r="ES27" s="294"/>
      <c r="ET27" s="294"/>
      <c r="EU27" s="294"/>
      <c r="EV27" s="294"/>
      <c r="EW27" s="294"/>
      <c r="EX27" s="294"/>
      <c r="EY27" s="294"/>
      <c r="EZ27" s="294"/>
      <c r="FA27" s="294"/>
      <c r="FB27" s="294"/>
      <c r="FC27" s="294"/>
      <c r="FD27" s="294"/>
      <c r="FE27" s="294"/>
      <c r="FF27" s="294"/>
      <c r="FG27" s="294"/>
      <c r="FH27" s="294"/>
      <c r="FI27" s="294"/>
      <c r="FJ27" s="294"/>
      <c r="FK27" s="294"/>
      <c r="FL27" s="294"/>
      <c r="FM27" s="294"/>
      <c r="FN27" s="294"/>
      <c r="FO27" s="294"/>
      <c r="FP27" s="294"/>
      <c r="FQ27" s="294"/>
      <c r="FR27" s="294"/>
      <c r="FS27" s="294"/>
      <c r="FT27" s="294"/>
      <c r="FU27" s="294"/>
      <c r="FV27" s="294"/>
      <c r="FW27" s="294"/>
      <c r="FX27" s="294"/>
      <c r="FY27" s="294"/>
      <c r="FZ27" s="294"/>
      <c r="GA27" s="294"/>
      <c r="GB27" s="294"/>
      <c r="GC27" s="294"/>
      <c r="GD27" s="294"/>
      <c r="GE27" s="294"/>
      <c r="GF27" s="294"/>
      <c r="GG27" s="294"/>
      <c r="GH27" s="294"/>
      <c r="GI27" s="294"/>
      <c r="GJ27" s="294"/>
      <c r="GK27" s="294"/>
      <c r="GL27" s="294"/>
      <c r="GM27" s="294"/>
      <c r="GN27" s="294"/>
      <c r="GO27" s="294"/>
      <c r="GP27" s="294"/>
      <c r="GQ27" s="294"/>
      <c r="GR27" s="294"/>
      <c r="GS27" s="294"/>
      <c r="GT27" s="294"/>
      <c r="GU27" s="294"/>
      <c r="GV27" s="294"/>
      <c r="GW27" s="294"/>
      <c r="GX27" s="294"/>
      <c r="GY27" s="294"/>
      <c r="GZ27" s="294"/>
      <c r="HA27" s="294"/>
      <c r="HB27" s="294"/>
      <c r="HC27" s="294"/>
      <c r="HD27" s="294"/>
      <c r="HE27" s="294"/>
      <c r="HF27" s="294"/>
      <c r="HG27" s="294"/>
      <c r="HH27" s="294"/>
      <c r="HI27" s="294"/>
      <c r="HJ27" s="294"/>
      <c r="HK27" s="294"/>
      <c r="HL27" s="294"/>
      <c r="HM27" s="294"/>
      <c r="HN27" s="294"/>
      <c r="HO27" s="294"/>
      <c r="HP27" s="294"/>
      <c r="HQ27" s="294"/>
      <c r="HR27" s="294"/>
      <c r="HS27" s="294"/>
      <c r="HT27" s="294"/>
      <c r="HU27" s="294"/>
      <c r="HV27" s="294"/>
      <c r="HW27" s="294"/>
      <c r="HX27" s="294"/>
      <c r="HY27" s="294"/>
      <c r="HZ27" s="294"/>
      <c r="IA27" s="294"/>
      <c r="IB27" s="294"/>
      <c r="IC27" s="294"/>
      <c r="ID27" s="294"/>
      <c r="IE27" s="294"/>
      <c r="IF27" s="294"/>
      <c r="IG27" s="294"/>
      <c r="IH27" s="294"/>
      <c r="II27" s="294"/>
      <c r="IJ27" s="294"/>
      <c r="IK27" s="294"/>
      <c r="IL27" s="294"/>
      <c r="IM27" s="294"/>
      <c r="IN27" s="294"/>
      <c r="IO27" s="294"/>
      <c r="IP27" s="294"/>
      <c r="IQ27" s="294"/>
      <c r="IR27" s="294"/>
    </row>
    <row r="28" spans="1:252" ht="14.25">
      <c r="A28" s="292"/>
      <c r="C28" s="292"/>
      <c r="D28" s="317"/>
      <c r="E28" s="317"/>
      <c r="F28" s="317"/>
      <c r="G28" s="317"/>
      <c r="H28" s="317"/>
      <c r="I28" s="292"/>
      <c r="J28" s="292"/>
      <c r="K28" s="294"/>
      <c r="L28" s="294"/>
      <c r="M28" s="294"/>
      <c r="N28" s="294"/>
      <c r="O28" s="294"/>
      <c r="P28" s="294"/>
      <c r="Q28" s="294"/>
      <c r="R28" s="294"/>
      <c r="S28" s="294"/>
      <c r="T28" s="294"/>
      <c r="U28" s="294"/>
      <c r="V28" s="294"/>
      <c r="W28" s="294"/>
      <c r="X28" s="294"/>
      <c r="Y28" s="294"/>
      <c r="Z28" s="294"/>
      <c r="AA28" s="294"/>
      <c r="AB28" s="294"/>
      <c r="AC28" s="294"/>
      <c r="AD28" s="294"/>
      <c r="AE28" s="294"/>
      <c r="AF28" s="294"/>
      <c r="AG28" s="294"/>
      <c r="AH28" s="294"/>
      <c r="AI28" s="294"/>
      <c r="AJ28" s="294"/>
      <c r="AK28" s="294"/>
      <c r="AL28" s="294"/>
      <c r="AM28" s="294"/>
      <c r="AN28" s="294"/>
      <c r="AO28" s="294"/>
      <c r="AP28" s="294"/>
      <c r="AQ28" s="294"/>
      <c r="AR28" s="294"/>
      <c r="AS28" s="294"/>
      <c r="AT28" s="294"/>
      <c r="AU28" s="294"/>
      <c r="AV28" s="294"/>
      <c r="AW28" s="294"/>
      <c r="AX28" s="294"/>
      <c r="AY28" s="294"/>
      <c r="AZ28" s="294"/>
      <c r="BA28" s="294"/>
      <c r="BB28" s="294"/>
      <c r="BC28" s="294"/>
      <c r="BD28" s="294"/>
      <c r="BE28" s="294"/>
      <c r="BF28" s="294"/>
      <c r="BG28" s="294"/>
      <c r="BH28" s="294"/>
      <c r="BI28" s="294"/>
      <c r="BJ28" s="294"/>
      <c r="BK28" s="294"/>
      <c r="BL28" s="294"/>
      <c r="BM28" s="294"/>
      <c r="BN28" s="294"/>
      <c r="BO28" s="294"/>
      <c r="BP28" s="294"/>
      <c r="BQ28" s="294"/>
      <c r="BR28" s="294"/>
      <c r="BS28" s="294"/>
      <c r="BT28" s="294"/>
      <c r="BU28" s="294"/>
      <c r="BV28" s="294"/>
      <c r="BW28" s="294"/>
      <c r="BX28" s="294"/>
      <c r="BY28" s="294"/>
      <c r="BZ28" s="294"/>
      <c r="CA28" s="294"/>
      <c r="CB28" s="294"/>
      <c r="CC28" s="294"/>
      <c r="CD28" s="294"/>
      <c r="CE28" s="294"/>
      <c r="CF28" s="294"/>
      <c r="CG28" s="294"/>
      <c r="CH28" s="294"/>
      <c r="CI28" s="294"/>
      <c r="CJ28" s="294"/>
      <c r="CK28" s="294"/>
      <c r="CL28" s="294"/>
      <c r="CM28" s="294"/>
      <c r="CN28" s="294"/>
      <c r="CO28" s="294"/>
      <c r="CP28" s="294"/>
      <c r="CQ28" s="294"/>
      <c r="CR28" s="294"/>
      <c r="CS28" s="294"/>
      <c r="CT28" s="294"/>
      <c r="CU28" s="294"/>
      <c r="CV28" s="294"/>
      <c r="CW28" s="294"/>
      <c r="CX28" s="294"/>
      <c r="CY28" s="294"/>
      <c r="CZ28" s="294"/>
      <c r="DA28" s="294"/>
      <c r="DB28" s="294"/>
      <c r="DC28" s="294"/>
      <c r="DD28" s="294"/>
      <c r="DE28" s="294"/>
      <c r="DF28" s="294"/>
      <c r="DG28" s="294"/>
      <c r="DH28" s="294"/>
      <c r="DI28" s="294"/>
      <c r="DJ28" s="294"/>
      <c r="DK28" s="294"/>
      <c r="DL28" s="294"/>
      <c r="DM28" s="294"/>
      <c r="DN28" s="294"/>
      <c r="DO28" s="294"/>
      <c r="DP28" s="294"/>
      <c r="DQ28" s="294"/>
      <c r="DR28" s="294"/>
      <c r="DS28" s="294"/>
      <c r="DT28" s="294"/>
      <c r="DU28" s="294"/>
      <c r="DV28" s="294"/>
      <c r="DW28" s="294"/>
      <c r="DX28" s="294"/>
      <c r="DY28" s="294"/>
      <c r="DZ28" s="294"/>
      <c r="EA28" s="294"/>
      <c r="EB28" s="294"/>
      <c r="EC28" s="294"/>
      <c r="ED28" s="294"/>
      <c r="EE28" s="294"/>
      <c r="EF28" s="294"/>
      <c r="EG28" s="294"/>
      <c r="EH28" s="294"/>
      <c r="EI28" s="294"/>
      <c r="EJ28" s="294"/>
      <c r="EK28" s="294"/>
      <c r="EL28" s="294"/>
      <c r="EM28" s="294"/>
      <c r="EN28" s="294"/>
      <c r="EO28" s="294"/>
      <c r="EP28" s="294"/>
      <c r="EQ28" s="294"/>
      <c r="ER28" s="294"/>
      <c r="ES28" s="294"/>
      <c r="ET28" s="294"/>
      <c r="EU28" s="294"/>
      <c r="EV28" s="294"/>
      <c r="EW28" s="294"/>
      <c r="EX28" s="294"/>
      <c r="EY28" s="294"/>
      <c r="EZ28" s="294"/>
      <c r="FA28" s="294"/>
      <c r="FB28" s="294"/>
      <c r="FC28" s="294"/>
      <c r="FD28" s="294"/>
      <c r="FE28" s="294"/>
      <c r="FF28" s="294"/>
      <c r="FG28" s="294"/>
      <c r="FH28" s="294"/>
      <c r="FI28" s="294"/>
      <c r="FJ28" s="294"/>
      <c r="FK28" s="294"/>
      <c r="FL28" s="294"/>
      <c r="FM28" s="294"/>
      <c r="FN28" s="294"/>
      <c r="FO28" s="294"/>
      <c r="FP28" s="294"/>
      <c r="FQ28" s="294"/>
      <c r="FR28" s="294"/>
      <c r="FS28" s="294"/>
      <c r="FT28" s="294"/>
      <c r="FU28" s="294"/>
      <c r="FV28" s="294"/>
      <c r="FW28" s="294"/>
      <c r="FX28" s="294"/>
      <c r="FY28" s="294"/>
      <c r="FZ28" s="294"/>
      <c r="GA28" s="294"/>
      <c r="GB28" s="294"/>
      <c r="GC28" s="294"/>
      <c r="GD28" s="294"/>
      <c r="GE28" s="294"/>
      <c r="GF28" s="294"/>
      <c r="GG28" s="294"/>
      <c r="GH28" s="294"/>
      <c r="GI28" s="294"/>
      <c r="GJ28" s="294"/>
      <c r="GK28" s="294"/>
      <c r="GL28" s="294"/>
      <c r="GM28" s="294"/>
      <c r="GN28" s="294"/>
      <c r="GO28" s="294"/>
      <c r="GP28" s="294"/>
      <c r="GQ28" s="294"/>
      <c r="GR28" s="294"/>
      <c r="GS28" s="294"/>
      <c r="GT28" s="294"/>
      <c r="GU28" s="294"/>
      <c r="GV28" s="294"/>
      <c r="GW28" s="294"/>
      <c r="GX28" s="294"/>
      <c r="GY28" s="294"/>
      <c r="GZ28" s="294"/>
      <c r="HA28" s="294"/>
      <c r="HB28" s="294"/>
      <c r="HC28" s="294"/>
      <c r="HD28" s="294"/>
      <c r="HE28" s="294"/>
      <c r="HF28" s="294"/>
      <c r="HG28" s="294"/>
      <c r="HH28" s="294"/>
      <c r="HI28" s="294"/>
      <c r="HJ28" s="294"/>
      <c r="HK28" s="294"/>
      <c r="HL28" s="294"/>
      <c r="HM28" s="294"/>
      <c r="HN28" s="294"/>
      <c r="HO28" s="294"/>
      <c r="HP28" s="294"/>
      <c r="HQ28" s="294"/>
      <c r="HR28" s="294"/>
      <c r="HS28" s="294"/>
      <c r="HT28" s="294"/>
      <c r="HU28" s="294"/>
      <c r="HV28" s="294"/>
      <c r="HW28" s="294"/>
      <c r="HX28" s="294"/>
      <c r="HY28" s="294"/>
      <c r="HZ28" s="294"/>
      <c r="IA28" s="294"/>
      <c r="IB28" s="294"/>
      <c r="IC28" s="294"/>
      <c r="ID28" s="294"/>
      <c r="IE28" s="294"/>
      <c r="IF28" s="294"/>
      <c r="IG28" s="294"/>
      <c r="IH28" s="294"/>
      <c r="II28" s="294"/>
      <c r="IJ28" s="294"/>
      <c r="IK28" s="294"/>
      <c r="IL28" s="294"/>
      <c r="IM28" s="294"/>
      <c r="IN28" s="294"/>
      <c r="IO28" s="294"/>
      <c r="IP28" s="294"/>
      <c r="IQ28" s="294"/>
      <c r="IR28" s="294"/>
    </row>
    <row r="29" spans="1:252" ht="14.25">
      <c r="A29" s="292"/>
      <c r="B29" s="314" t="str">
        <f>'Balance Sheet Ann'!E14</f>
        <v>Deferred Income</v>
      </c>
      <c r="C29" s="292"/>
      <c r="D29" s="317">
        <f ca="1">'Balance Sheet Ann'!J14</f>
        <v>430277.01892282837</v>
      </c>
      <c r="E29" s="317">
        <f ca="1">'Balance Sheet Ann'!K14</f>
        <v>1577194.7789264543</v>
      </c>
      <c r="F29" s="317">
        <f ca="1">'Balance Sheet Ann'!L14</f>
        <v>4305331.5949776452</v>
      </c>
      <c r="G29" s="317">
        <f ca="1">'Balance Sheet Ann'!M14</f>
        <v>8456697.2648357581</v>
      </c>
      <c r="H29" s="317">
        <f ca="1">'Balance Sheet Ann'!N14</f>
        <v>16810162.851556987</v>
      </c>
      <c r="I29" s="292"/>
      <c r="J29" s="292"/>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294"/>
      <c r="CR29" s="294"/>
      <c r="CS29" s="294"/>
      <c r="CT29" s="294"/>
      <c r="CU29" s="294"/>
      <c r="CV29" s="294"/>
      <c r="CW29" s="294"/>
      <c r="CX29" s="294"/>
      <c r="CY29" s="294"/>
      <c r="CZ29" s="294"/>
      <c r="DA29" s="294"/>
      <c r="DB29" s="294"/>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row>
    <row r="30" spans="1:252" ht="14.25">
      <c r="A30" s="292"/>
      <c r="B30" s="314" t="str">
        <f>'Balance Sheet Ann'!E15</f>
        <v>Creditors</v>
      </c>
      <c r="C30" s="292"/>
      <c r="D30" s="317">
        <f ca="1">'Balance Sheet Ann'!J15</f>
        <v>168000</v>
      </c>
      <c r="E30" s="317">
        <f ca="1">'Balance Sheet Ann'!K15</f>
        <v>357000</v>
      </c>
      <c r="F30" s="317">
        <f ca="1">'Balance Sheet Ann'!L15</f>
        <v>556500.00000000012</v>
      </c>
      <c r="G30" s="317">
        <f ca="1">'Balance Sheet Ann'!M15</f>
        <v>1102500</v>
      </c>
      <c r="H30" s="317">
        <f ca="1">'Balance Sheet Ann'!N15</f>
        <v>1228499.9999999986</v>
      </c>
      <c r="I30" s="292"/>
      <c r="J30" s="292"/>
      <c r="K30" s="294"/>
      <c r="L30" s="294"/>
      <c r="M30" s="294"/>
      <c r="N30" s="294"/>
      <c r="O30" s="294"/>
      <c r="P30" s="294"/>
      <c r="Q30" s="294"/>
      <c r="R30" s="294"/>
      <c r="S30" s="294"/>
      <c r="T30" s="294"/>
      <c r="U30" s="294"/>
      <c r="V30" s="294"/>
      <c r="W30" s="294"/>
      <c r="X30" s="294"/>
      <c r="Y30" s="294"/>
      <c r="Z30" s="294"/>
      <c r="AA30" s="294"/>
      <c r="AB30" s="294"/>
      <c r="AC30" s="294"/>
      <c r="AD30" s="294"/>
      <c r="AE30" s="294"/>
      <c r="AF30" s="294"/>
      <c r="AG30" s="294"/>
      <c r="AH30" s="294"/>
      <c r="AI30" s="294"/>
      <c r="AJ30" s="294"/>
      <c r="AK30" s="294"/>
      <c r="AL30" s="294"/>
      <c r="AM30" s="294"/>
      <c r="AN30" s="294"/>
      <c r="AO30" s="294"/>
      <c r="AP30" s="294"/>
      <c r="AQ30" s="294"/>
      <c r="AR30" s="294"/>
      <c r="AS30" s="294"/>
      <c r="AT30" s="294"/>
      <c r="AU30" s="294"/>
      <c r="AV30" s="294"/>
      <c r="AW30" s="294"/>
      <c r="AX30" s="294"/>
      <c r="AY30" s="294"/>
      <c r="AZ30" s="294"/>
      <c r="BA30" s="294"/>
      <c r="BB30" s="294"/>
      <c r="BC30" s="294"/>
      <c r="BD30" s="294"/>
      <c r="BE30" s="294"/>
      <c r="BF30" s="294"/>
      <c r="BG30" s="294"/>
      <c r="BH30" s="294"/>
      <c r="BI30" s="294"/>
      <c r="BJ30" s="294"/>
      <c r="BK30" s="294"/>
      <c r="BL30" s="294"/>
      <c r="BM30" s="294"/>
      <c r="BN30" s="294"/>
      <c r="BO30" s="294"/>
      <c r="BP30" s="294"/>
      <c r="BQ30" s="294"/>
      <c r="BR30" s="294"/>
      <c r="BS30" s="294"/>
      <c r="BT30" s="294"/>
      <c r="BU30" s="294"/>
      <c r="BV30" s="294"/>
      <c r="BW30" s="294"/>
      <c r="BX30" s="294"/>
      <c r="BY30" s="294"/>
      <c r="BZ30" s="294"/>
      <c r="CA30" s="294"/>
      <c r="CB30" s="294"/>
      <c r="CC30" s="294"/>
      <c r="CD30" s="294"/>
      <c r="CE30" s="294"/>
      <c r="CF30" s="294"/>
      <c r="CG30" s="294"/>
      <c r="CH30" s="294"/>
      <c r="CI30" s="294"/>
      <c r="CJ30" s="294"/>
      <c r="CK30" s="294"/>
      <c r="CL30" s="294"/>
      <c r="CM30" s="294"/>
      <c r="CN30" s="294"/>
      <c r="CO30" s="294"/>
      <c r="CP30" s="294"/>
      <c r="CQ30" s="294"/>
      <c r="CR30" s="294"/>
      <c r="CS30" s="294"/>
      <c r="CT30" s="294"/>
      <c r="CU30" s="294"/>
      <c r="CV30" s="294"/>
      <c r="CW30" s="294"/>
      <c r="CX30" s="294"/>
      <c r="CY30" s="294"/>
      <c r="CZ30" s="294"/>
      <c r="DA30" s="294"/>
      <c r="DB30" s="294"/>
      <c r="DC30" s="294"/>
      <c r="DD30" s="294"/>
      <c r="DE30" s="294"/>
      <c r="DF30" s="294"/>
      <c r="DG30" s="294"/>
      <c r="DH30" s="294"/>
      <c r="DI30" s="294"/>
      <c r="DJ30" s="294"/>
      <c r="DK30" s="294"/>
      <c r="DL30" s="294"/>
      <c r="DM30" s="294"/>
      <c r="DN30" s="294"/>
      <c r="DO30" s="294"/>
      <c r="DP30" s="294"/>
      <c r="DQ30" s="294"/>
      <c r="DR30" s="294"/>
      <c r="DS30" s="294"/>
      <c r="DT30" s="294"/>
      <c r="DU30" s="294"/>
      <c r="DV30" s="294"/>
      <c r="DW30" s="294"/>
      <c r="DX30" s="294"/>
      <c r="DY30" s="294"/>
      <c r="DZ30" s="294"/>
      <c r="EA30" s="294"/>
      <c r="EB30" s="294"/>
      <c r="EC30" s="294"/>
      <c r="ED30" s="294"/>
      <c r="EE30" s="294"/>
      <c r="EF30" s="294"/>
      <c r="EG30" s="294"/>
      <c r="EH30" s="294"/>
      <c r="EI30" s="294"/>
      <c r="EJ30" s="294"/>
      <c r="EK30" s="294"/>
      <c r="EL30" s="294"/>
      <c r="EM30" s="294"/>
      <c r="EN30" s="294"/>
      <c r="EO30" s="294"/>
      <c r="EP30" s="294"/>
      <c r="EQ30" s="294"/>
      <c r="ER30" s="294"/>
      <c r="ES30" s="294"/>
      <c r="ET30" s="294"/>
      <c r="EU30" s="294"/>
      <c r="EV30" s="294"/>
      <c r="EW30" s="294"/>
      <c r="EX30" s="294"/>
      <c r="EY30" s="294"/>
      <c r="EZ30" s="294"/>
      <c r="FA30" s="294"/>
      <c r="FB30" s="294"/>
      <c r="FC30" s="294"/>
      <c r="FD30" s="294"/>
      <c r="FE30" s="294"/>
      <c r="FF30" s="294"/>
      <c r="FG30" s="294"/>
      <c r="FH30" s="294"/>
      <c r="FI30" s="294"/>
      <c r="FJ30" s="294"/>
      <c r="FK30" s="294"/>
      <c r="FL30" s="294"/>
      <c r="FM30" s="294"/>
      <c r="FN30" s="294"/>
      <c r="FO30" s="294"/>
      <c r="FP30" s="294"/>
      <c r="FQ30" s="294"/>
      <c r="FR30" s="294"/>
      <c r="FS30" s="294"/>
      <c r="FT30" s="294"/>
      <c r="FU30" s="294"/>
      <c r="FV30" s="294"/>
      <c r="FW30" s="294"/>
      <c r="FX30" s="294"/>
      <c r="FY30" s="294"/>
      <c r="FZ30" s="294"/>
      <c r="GA30" s="294"/>
      <c r="GB30" s="294"/>
      <c r="GC30" s="294"/>
      <c r="GD30" s="294"/>
      <c r="GE30" s="294"/>
      <c r="GF30" s="294"/>
      <c r="GG30" s="294"/>
      <c r="GH30" s="294"/>
      <c r="GI30" s="294"/>
      <c r="GJ30" s="294"/>
      <c r="GK30" s="294"/>
      <c r="GL30" s="294"/>
      <c r="GM30" s="294"/>
      <c r="GN30" s="294"/>
      <c r="GO30" s="294"/>
      <c r="GP30" s="294"/>
      <c r="GQ30" s="294"/>
      <c r="GR30" s="294"/>
      <c r="GS30" s="294"/>
      <c r="GT30" s="294"/>
      <c r="GU30" s="294"/>
      <c r="GV30" s="294"/>
      <c r="GW30" s="294"/>
      <c r="GX30" s="294"/>
      <c r="GY30" s="294"/>
      <c r="GZ30" s="294"/>
      <c r="HA30" s="294"/>
      <c r="HB30" s="294"/>
      <c r="HC30" s="294"/>
      <c r="HD30" s="294"/>
      <c r="HE30" s="294"/>
      <c r="HF30" s="294"/>
      <c r="HG30" s="294"/>
      <c r="HH30" s="294"/>
      <c r="HI30" s="294"/>
      <c r="HJ30" s="294"/>
      <c r="HK30" s="294"/>
      <c r="HL30" s="294"/>
      <c r="HM30" s="294"/>
      <c r="HN30" s="294"/>
      <c r="HO30" s="294"/>
      <c r="HP30" s="294"/>
      <c r="HQ30" s="294"/>
      <c r="HR30" s="294"/>
      <c r="HS30" s="294"/>
      <c r="HT30" s="294"/>
      <c r="HU30" s="294"/>
      <c r="HV30" s="294"/>
      <c r="HW30" s="294"/>
      <c r="HX30" s="294"/>
      <c r="HY30" s="294"/>
      <c r="HZ30" s="294"/>
      <c r="IA30" s="294"/>
      <c r="IB30" s="294"/>
      <c r="IC30" s="294"/>
      <c r="ID30" s="294"/>
      <c r="IE30" s="294"/>
      <c r="IF30" s="294"/>
      <c r="IG30" s="294"/>
      <c r="IH30" s="294"/>
      <c r="II30" s="294"/>
      <c r="IJ30" s="294"/>
      <c r="IK30" s="294"/>
      <c r="IL30" s="294"/>
      <c r="IM30" s="294"/>
      <c r="IN30" s="294"/>
      <c r="IO30" s="294"/>
      <c r="IP30" s="294"/>
      <c r="IQ30" s="294"/>
      <c r="IR30" s="294"/>
    </row>
    <row r="31" spans="1:252" ht="14.25">
      <c r="A31" s="292"/>
      <c r="B31" s="314" t="str">
        <f>'Balance Sheet Ann'!E16</f>
        <v>Supply Chain Finance balance</v>
      </c>
      <c r="C31" s="292"/>
      <c r="D31" s="317">
        <f ca="1">'Balance Sheet Ann'!J16</f>
        <v>0</v>
      </c>
      <c r="E31" s="317">
        <f ca="1">'Balance Sheet Ann'!K16</f>
        <v>0</v>
      </c>
      <c r="F31" s="317">
        <f ca="1">'Balance Sheet Ann'!L16</f>
        <v>0</v>
      </c>
      <c r="G31" s="317">
        <f ca="1">'Balance Sheet Ann'!M16</f>
        <v>0</v>
      </c>
      <c r="H31" s="317">
        <f ca="1">'Balance Sheet Ann'!N16</f>
        <v>0</v>
      </c>
      <c r="I31" s="292"/>
      <c r="J31" s="292"/>
      <c r="K31" s="294"/>
      <c r="L31" s="294"/>
      <c r="M31" s="294"/>
      <c r="N31" s="294"/>
      <c r="O31" s="294"/>
      <c r="P31" s="294"/>
      <c r="Q31" s="294"/>
      <c r="R31" s="294"/>
      <c r="S31" s="294"/>
      <c r="T31" s="294"/>
      <c r="U31" s="294"/>
      <c r="V31" s="294"/>
      <c r="W31" s="294"/>
      <c r="X31" s="294"/>
      <c r="Y31" s="294"/>
      <c r="Z31" s="294"/>
      <c r="AA31" s="294"/>
      <c r="AB31" s="294"/>
      <c r="AC31" s="294"/>
      <c r="AD31" s="294"/>
      <c r="AE31" s="294"/>
      <c r="AF31" s="294"/>
      <c r="AG31" s="294"/>
      <c r="AH31" s="294"/>
      <c r="AI31" s="294"/>
      <c r="AJ31" s="294"/>
      <c r="AK31" s="294"/>
      <c r="AL31" s="294"/>
      <c r="AM31" s="294"/>
      <c r="AN31" s="294"/>
      <c r="AO31" s="294"/>
      <c r="AP31" s="294"/>
      <c r="AQ31" s="294"/>
      <c r="AR31" s="294"/>
      <c r="AS31" s="294"/>
      <c r="AT31" s="294"/>
      <c r="AU31" s="294"/>
      <c r="AV31" s="294"/>
      <c r="AW31" s="294"/>
      <c r="AX31" s="294"/>
      <c r="AY31" s="294"/>
      <c r="AZ31" s="294"/>
      <c r="BA31" s="294"/>
      <c r="BB31" s="294"/>
      <c r="BC31" s="294"/>
      <c r="BD31" s="294"/>
      <c r="BE31" s="294"/>
      <c r="BF31" s="294"/>
      <c r="BG31" s="294"/>
      <c r="BH31" s="294"/>
      <c r="BI31" s="294"/>
      <c r="BJ31" s="294"/>
      <c r="BK31" s="294"/>
      <c r="BL31" s="294"/>
      <c r="BM31" s="294"/>
      <c r="BN31" s="294"/>
      <c r="BO31" s="294"/>
      <c r="BP31" s="294"/>
      <c r="BQ31" s="294"/>
      <c r="BR31" s="294"/>
      <c r="BS31" s="294"/>
      <c r="BT31" s="294"/>
      <c r="BU31" s="294"/>
      <c r="BV31" s="294"/>
      <c r="BW31" s="294"/>
      <c r="BX31" s="294"/>
      <c r="BY31" s="294"/>
      <c r="BZ31" s="294"/>
      <c r="CA31" s="294"/>
      <c r="CB31" s="294"/>
      <c r="CC31" s="294"/>
      <c r="CD31" s="294"/>
      <c r="CE31" s="294"/>
      <c r="CF31" s="294"/>
      <c r="CG31" s="294"/>
      <c r="CH31" s="294"/>
      <c r="CI31" s="294"/>
      <c r="CJ31" s="294"/>
      <c r="CK31" s="294"/>
      <c r="CL31" s="294"/>
      <c r="CM31" s="294"/>
      <c r="CN31" s="294"/>
      <c r="CO31" s="294"/>
      <c r="CP31" s="294"/>
      <c r="CQ31" s="294"/>
      <c r="CR31" s="294"/>
      <c r="CS31" s="294"/>
      <c r="CT31" s="294"/>
      <c r="CU31" s="294"/>
      <c r="CV31" s="294"/>
      <c r="CW31" s="294"/>
      <c r="CX31" s="294"/>
      <c r="CY31" s="294"/>
      <c r="CZ31" s="294"/>
      <c r="DA31" s="294"/>
      <c r="DB31" s="294"/>
      <c r="DC31" s="294"/>
      <c r="DD31" s="294"/>
      <c r="DE31" s="294"/>
      <c r="DF31" s="294"/>
      <c r="DG31" s="294"/>
      <c r="DH31" s="294"/>
      <c r="DI31" s="294"/>
      <c r="DJ31" s="294"/>
      <c r="DK31" s="294"/>
      <c r="DL31" s="294"/>
      <c r="DM31" s="294"/>
      <c r="DN31" s="294"/>
      <c r="DO31" s="294"/>
      <c r="DP31" s="294"/>
      <c r="DQ31" s="294"/>
      <c r="DR31" s="294"/>
      <c r="DS31" s="294"/>
      <c r="DT31" s="294"/>
      <c r="DU31" s="294"/>
      <c r="DV31" s="294"/>
      <c r="DW31" s="294"/>
      <c r="DX31" s="294"/>
      <c r="DY31" s="294"/>
      <c r="DZ31" s="294"/>
      <c r="EA31" s="294"/>
      <c r="EB31" s="294"/>
      <c r="EC31" s="294"/>
      <c r="ED31" s="294"/>
      <c r="EE31" s="294"/>
      <c r="EF31" s="294"/>
      <c r="EG31" s="294"/>
      <c r="EH31" s="294"/>
      <c r="EI31" s="294"/>
      <c r="EJ31" s="294"/>
      <c r="EK31" s="294"/>
      <c r="EL31" s="294"/>
      <c r="EM31" s="294"/>
      <c r="EN31" s="294"/>
      <c r="EO31" s="294"/>
      <c r="EP31" s="294"/>
      <c r="EQ31" s="294"/>
      <c r="ER31" s="294"/>
      <c r="ES31" s="294"/>
      <c r="ET31" s="294"/>
      <c r="EU31" s="294"/>
      <c r="EV31" s="294"/>
      <c r="EW31" s="294"/>
      <c r="EX31" s="294"/>
      <c r="EY31" s="294"/>
      <c r="EZ31" s="294"/>
      <c r="FA31" s="294"/>
      <c r="FB31" s="294"/>
      <c r="FC31" s="294"/>
      <c r="FD31" s="294"/>
      <c r="FE31" s="294"/>
      <c r="FF31" s="294"/>
      <c r="FG31" s="294"/>
      <c r="FH31" s="294"/>
      <c r="FI31" s="294"/>
      <c r="FJ31" s="294"/>
      <c r="FK31" s="294"/>
      <c r="FL31" s="294"/>
      <c r="FM31" s="294"/>
      <c r="FN31" s="294"/>
      <c r="FO31" s="294"/>
      <c r="FP31" s="294"/>
      <c r="FQ31" s="294"/>
      <c r="FR31" s="294"/>
      <c r="FS31" s="294"/>
      <c r="FT31" s="294"/>
      <c r="FU31" s="294"/>
      <c r="FV31" s="294"/>
      <c r="FW31" s="294"/>
      <c r="FX31" s="294"/>
      <c r="FY31" s="294"/>
      <c r="FZ31" s="294"/>
      <c r="GA31" s="294"/>
      <c r="GB31" s="294"/>
      <c r="GC31" s="294"/>
      <c r="GD31" s="294"/>
      <c r="GE31" s="294"/>
      <c r="GF31" s="294"/>
      <c r="GG31" s="294"/>
      <c r="GH31" s="294"/>
      <c r="GI31" s="294"/>
      <c r="GJ31" s="294"/>
      <c r="GK31" s="294"/>
      <c r="GL31" s="294"/>
      <c r="GM31" s="294"/>
      <c r="GN31" s="294"/>
      <c r="GO31" s="294"/>
      <c r="GP31" s="294"/>
      <c r="GQ31" s="294"/>
      <c r="GR31" s="294"/>
      <c r="GS31" s="294"/>
      <c r="GT31" s="294"/>
      <c r="GU31" s="294"/>
      <c r="GV31" s="294"/>
      <c r="GW31" s="294"/>
      <c r="GX31" s="294"/>
      <c r="GY31" s="294"/>
      <c r="GZ31" s="294"/>
      <c r="HA31" s="294"/>
      <c r="HB31" s="294"/>
      <c r="HC31" s="294"/>
      <c r="HD31" s="294"/>
      <c r="HE31" s="294"/>
      <c r="HF31" s="294"/>
      <c r="HG31" s="294"/>
      <c r="HH31" s="294"/>
      <c r="HI31" s="294"/>
      <c r="HJ31" s="294"/>
      <c r="HK31" s="294"/>
      <c r="HL31" s="294"/>
      <c r="HM31" s="294"/>
      <c r="HN31" s="294"/>
      <c r="HO31" s="294"/>
      <c r="HP31" s="294"/>
      <c r="HQ31" s="294"/>
      <c r="HR31" s="294"/>
      <c r="HS31" s="294"/>
      <c r="HT31" s="294"/>
      <c r="HU31" s="294"/>
      <c r="HV31" s="294"/>
      <c r="HW31" s="294"/>
      <c r="HX31" s="294"/>
      <c r="HY31" s="294"/>
      <c r="HZ31" s="294"/>
      <c r="IA31" s="294"/>
      <c r="IB31" s="294"/>
      <c r="IC31" s="294"/>
      <c r="ID31" s="294"/>
      <c r="IE31" s="294"/>
      <c r="IF31" s="294"/>
      <c r="IG31" s="294"/>
      <c r="IH31" s="294"/>
      <c r="II31" s="294"/>
      <c r="IJ31" s="294"/>
      <c r="IK31" s="294"/>
      <c r="IL31" s="294"/>
      <c r="IM31" s="294"/>
      <c r="IN31" s="294"/>
      <c r="IO31" s="294"/>
      <c r="IP31" s="294"/>
      <c r="IQ31" s="294"/>
      <c r="IR31" s="294"/>
    </row>
    <row r="32" spans="1:252" s="315" customFormat="1" ht="14.25">
      <c r="A32" s="314"/>
      <c r="B32" s="314" t="str">
        <f>'Balance Sheet Ann'!E17</f>
        <v>Invoice finance balance</v>
      </c>
      <c r="C32" s="292"/>
      <c r="D32" s="317">
        <f ca="1">'Balance Sheet Ann'!J17</f>
        <v>0</v>
      </c>
      <c r="E32" s="317">
        <f ca="1">'Balance Sheet Ann'!K17</f>
        <v>0</v>
      </c>
      <c r="F32" s="317">
        <f ca="1">'Balance Sheet Ann'!L17</f>
        <v>0</v>
      </c>
      <c r="G32" s="317">
        <f ca="1">'Balance Sheet Ann'!M17</f>
        <v>0</v>
      </c>
      <c r="H32" s="317">
        <f ca="1">'Balance Sheet Ann'!N17</f>
        <v>0</v>
      </c>
      <c r="I32" s="314"/>
      <c r="J32" s="314"/>
      <c r="K32" s="314"/>
      <c r="L32" s="295"/>
      <c r="M32" s="295"/>
      <c r="N32" s="295"/>
      <c r="O32" s="295"/>
      <c r="P32" s="295"/>
      <c r="Q32" s="295"/>
      <c r="R32" s="295"/>
      <c r="S32" s="295"/>
      <c r="T32" s="295"/>
      <c r="U32" s="295"/>
      <c r="V32" s="295"/>
      <c r="W32" s="295"/>
      <c r="X32" s="295"/>
      <c r="Y32" s="295"/>
      <c r="Z32" s="295"/>
      <c r="AA32" s="295"/>
      <c r="AB32" s="295"/>
      <c r="AC32" s="295"/>
      <c r="AD32" s="295"/>
      <c r="AE32" s="295"/>
      <c r="AF32" s="295"/>
      <c r="AG32" s="295"/>
      <c r="AH32" s="295"/>
      <c r="AI32" s="295"/>
      <c r="AJ32" s="295"/>
      <c r="AK32" s="295"/>
      <c r="AL32" s="295"/>
      <c r="AM32" s="295"/>
      <c r="AN32" s="295"/>
      <c r="AO32" s="295"/>
      <c r="AP32" s="295"/>
      <c r="AQ32" s="295"/>
      <c r="AR32" s="295"/>
      <c r="AS32" s="295"/>
      <c r="AT32" s="295"/>
      <c r="AU32" s="295"/>
      <c r="AV32" s="295"/>
      <c r="AW32" s="295"/>
      <c r="AX32" s="295"/>
      <c r="AY32" s="295"/>
      <c r="AZ32" s="295"/>
      <c r="BA32" s="295"/>
      <c r="BB32" s="295"/>
      <c r="BC32" s="295"/>
      <c r="BD32" s="295"/>
      <c r="BE32" s="295"/>
      <c r="BF32" s="295"/>
      <c r="BG32" s="295"/>
      <c r="BH32" s="295"/>
      <c r="BI32" s="295"/>
      <c r="BJ32" s="295"/>
      <c r="BK32" s="295"/>
      <c r="BL32" s="295"/>
      <c r="BM32" s="295"/>
      <c r="BN32" s="295"/>
      <c r="BO32" s="295"/>
      <c r="BP32" s="295"/>
      <c r="BQ32" s="295"/>
      <c r="BR32" s="295"/>
      <c r="BS32" s="295"/>
      <c r="BT32" s="295"/>
      <c r="BU32" s="295"/>
      <c r="BV32" s="295"/>
      <c r="BW32" s="295"/>
      <c r="BX32" s="295"/>
      <c r="BY32" s="295"/>
      <c r="BZ32" s="295"/>
      <c r="CA32" s="295"/>
      <c r="CB32" s="295"/>
      <c r="CC32" s="295"/>
      <c r="CD32" s="295"/>
      <c r="CE32" s="295"/>
      <c r="CF32" s="295"/>
      <c r="CG32" s="295"/>
      <c r="CH32" s="295"/>
      <c r="CI32" s="295"/>
      <c r="CJ32" s="295"/>
      <c r="CK32" s="295"/>
      <c r="CL32" s="295"/>
      <c r="CM32" s="295"/>
      <c r="CN32" s="295"/>
      <c r="CO32" s="295"/>
      <c r="CP32" s="295"/>
      <c r="CQ32" s="295"/>
      <c r="CR32" s="295"/>
      <c r="CS32" s="295"/>
      <c r="CT32" s="295"/>
      <c r="CU32" s="295"/>
      <c r="CV32" s="295"/>
      <c r="CW32" s="295"/>
      <c r="CX32" s="295"/>
      <c r="CY32" s="295"/>
      <c r="CZ32" s="295"/>
      <c r="DA32" s="295"/>
      <c r="DB32" s="295"/>
      <c r="DC32" s="295"/>
      <c r="DD32" s="295"/>
      <c r="DE32" s="295"/>
      <c r="DF32" s="295"/>
      <c r="DG32" s="295"/>
      <c r="DH32" s="295"/>
      <c r="DI32" s="295"/>
      <c r="DJ32" s="295"/>
      <c r="DK32" s="295"/>
      <c r="DL32" s="295"/>
      <c r="DM32" s="295"/>
      <c r="DN32" s="295"/>
      <c r="DO32" s="295"/>
      <c r="DP32" s="295"/>
      <c r="DQ32" s="295"/>
      <c r="DR32" s="295"/>
      <c r="DS32" s="295"/>
      <c r="DT32" s="295"/>
      <c r="DU32" s="295"/>
      <c r="DV32" s="295"/>
      <c r="DW32" s="295"/>
      <c r="DX32" s="295"/>
      <c r="DY32" s="295"/>
      <c r="DZ32" s="295"/>
      <c r="EA32" s="295"/>
      <c r="EB32" s="295"/>
      <c r="EC32" s="295"/>
      <c r="ED32" s="295"/>
      <c r="EE32" s="295"/>
      <c r="EF32" s="295"/>
      <c r="EG32" s="295"/>
      <c r="EH32" s="295"/>
      <c r="EI32" s="295"/>
      <c r="EJ32" s="295"/>
      <c r="EK32" s="295"/>
      <c r="EL32" s="295"/>
      <c r="EM32" s="295"/>
      <c r="EN32" s="295"/>
      <c r="EO32" s="295"/>
      <c r="EP32" s="295"/>
      <c r="EQ32" s="295"/>
      <c r="ER32" s="295"/>
      <c r="ES32" s="295"/>
      <c r="ET32" s="295"/>
      <c r="EU32" s="295"/>
      <c r="EV32" s="295"/>
      <c r="EW32" s="295"/>
      <c r="EX32" s="295"/>
      <c r="EY32" s="295"/>
      <c r="EZ32" s="295"/>
      <c r="FA32" s="295"/>
      <c r="FB32" s="295"/>
      <c r="FC32" s="295"/>
      <c r="FD32" s="295"/>
      <c r="FE32" s="295"/>
      <c r="FF32" s="295"/>
      <c r="FG32" s="295"/>
      <c r="FH32" s="295"/>
      <c r="FI32" s="295"/>
      <c r="FJ32" s="295"/>
      <c r="FK32" s="295"/>
      <c r="FL32" s="295"/>
      <c r="FM32" s="295"/>
      <c r="FN32" s="295"/>
      <c r="FO32" s="295"/>
      <c r="FP32" s="295"/>
      <c r="FQ32" s="295"/>
      <c r="FR32" s="295"/>
      <c r="FS32" s="295"/>
      <c r="FT32" s="295"/>
      <c r="FU32" s="295"/>
      <c r="FV32" s="295"/>
      <c r="FW32" s="295"/>
      <c r="FX32" s="295"/>
      <c r="FY32" s="295"/>
      <c r="FZ32" s="295"/>
      <c r="GA32" s="295"/>
      <c r="GB32" s="295"/>
      <c r="GC32" s="295"/>
      <c r="GD32" s="295"/>
      <c r="GE32" s="295"/>
      <c r="GF32" s="295"/>
      <c r="GG32" s="295"/>
      <c r="GH32" s="295"/>
      <c r="GI32" s="295"/>
      <c r="GJ32" s="295"/>
      <c r="GK32" s="295"/>
      <c r="GL32" s="295"/>
      <c r="GM32" s="295"/>
      <c r="GN32" s="295"/>
      <c r="GO32" s="295"/>
      <c r="GP32" s="295"/>
      <c r="GQ32" s="295"/>
      <c r="GR32" s="295"/>
      <c r="GS32" s="295"/>
      <c r="GT32" s="295"/>
      <c r="GU32" s="295"/>
      <c r="GV32" s="295"/>
      <c r="GW32" s="295"/>
      <c r="GX32" s="295"/>
      <c r="GY32" s="295"/>
      <c r="GZ32" s="295"/>
      <c r="HA32" s="295"/>
      <c r="HB32" s="295"/>
      <c r="HC32" s="295"/>
      <c r="HD32" s="295"/>
      <c r="HE32" s="295"/>
      <c r="HF32" s="295"/>
      <c r="HG32" s="295"/>
      <c r="HH32" s="295"/>
      <c r="HI32" s="295"/>
      <c r="HJ32" s="295"/>
      <c r="HK32" s="295"/>
      <c r="HL32" s="295"/>
      <c r="HM32" s="295"/>
      <c r="HN32" s="295"/>
      <c r="HO32" s="295"/>
      <c r="HP32" s="295"/>
      <c r="HQ32" s="295"/>
      <c r="HR32" s="295"/>
      <c r="HS32" s="295"/>
      <c r="HT32" s="295"/>
      <c r="HU32" s="295"/>
      <c r="HV32" s="295"/>
      <c r="HW32" s="295"/>
      <c r="HX32" s="295"/>
      <c r="HY32" s="295"/>
      <c r="HZ32" s="295"/>
      <c r="IA32" s="295"/>
      <c r="IB32" s="295"/>
      <c r="IC32" s="295"/>
      <c r="ID32" s="295"/>
      <c r="IE32" s="295"/>
      <c r="IF32" s="295"/>
      <c r="IG32" s="295"/>
      <c r="IH32" s="295"/>
      <c r="II32" s="295"/>
      <c r="IJ32" s="295"/>
      <c r="IK32" s="295"/>
      <c r="IL32" s="295"/>
      <c r="IM32" s="295"/>
      <c r="IN32" s="295"/>
      <c r="IO32" s="295"/>
      <c r="IP32" s="295"/>
      <c r="IQ32" s="295"/>
      <c r="IR32" s="295"/>
    </row>
    <row r="33" spans="1:252" ht="14.25">
      <c r="A33" s="292"/>
      <c r="B33" s="314" t="str">
        <f>'Balance Sheet Ann'!E18</f>
        <v>Asset Finance balance</v>
      </c>
      <c r="C33" s="292"/>
      <c r="D33" s="317">
        <f ca="1">'Balance Sheet Ann'!J18</f>
        <v>251033.18272338025</v>
      </c>
      <c r="E33" s="317">
        <f ca="1">'Balance Sheet Ann'!K18</f>
        <v>719151.09113462572</v>
      </c>
      <c r="F33" s="317">
        <f ca="1">'Balance Sheet Ann'!L18</f>
        <v>1159119.8622425417</v>
      </c>
      <c r="G33" s="317">
        <f ca="1">'Balance Sheet Ann'!M18</f>
        <v>2131015.7449105619</v>
      </c>
      <c r="H33" s="317">
        <f ca="1">'Balance Sheet Ann'!N18</f>
        <v>2958472.5751737203</v>
      </c>
      <c r="I33" s="292"/>
      <c r="J33" s="292"/>
      <c r="K33" s="294"/>
      <c r="L33" s="294"/>
      <c r="M33" s="294"/>
      <c r="N33" s="294"/>
      <c r="O33" s="294"/>
      <c r="P33" s="294"/>
      <c r="Q33" s="294"/>
      <c r="R33" s="294"/>
      <c r="S33" s="294"/>
      <c r="T33" s="294"/>
      <c r="U33" s="294"/>
      <c r="V33" s="294"/>
      <c r="W33" s="294"/>
      <c r="X33" s="294"/>
      <c r="Y33" s="294"/>
      <c r="Z33" s="294"/>
      <c r="AA33" s="294"/>
      <c r="AB33" s="294"/>
      <c r="AC33" s="294"/>
      <c r="AD33" s="294"/>
      <c r="AE33" s="294"/>
      <c r="AF33" s="294"/>
      <c r="AG33" s="294"/>
      <c r="AH33" s="294"/>
      <c r="AI33" s="294"/>
      <c r="AJ33" s="294"/>
      <c r="AK33" s="294"/>
      <c r="AL33" s="294"/>
      <c r="AM33" s="294"/>
      <c r="AN33" s="294"/>
      <c r="AO33" s="294"/>
      <c r="AP33" s="294"/>
      <c r="AQ33" s="294"/>
      <c r="AR33" s="294"/>
      <c r="AS33" s="294"/>
      <c r="AT33" s="294"/>
      <c r="AU33" s="294"/>
      <c r="AV33" s="294"/>
      <c r="AW33" s="294"/>
      <c r="AX33" s="294"/>
      <c r="AY33" s="294"/>
      <c r="AZ33" s="294"/>
      <c r="BA33" s="294"/>
      <c r="BB33" s="294"/>
      <c r="BC33" s="294"/>
      <c r="BD33" s="294"/>
      <c r="BE33" s="294"/>
      <c r="BF33" s="294"/>
      <c r="BG33" s="294"/>
      <c r="BH33" s="294"/>
      <c r="BI33" s="294"/>
      <c r="BJ33" s="294"/>
      <c r="BK33" s="294"/>
      <c r="BL33" s="294"/>
      <c r="BM33" s="294"/>
      <c r="BN33" s="294"/>
      <c r="BO33" s="294"/>
      <c r="BP33" s="294"/>
      <c r="BQ33" s="294"/>
      <c r="BR33" s="294"/>
      <c r="BS33" s="294"/>
      <c r="BT33" s="294"/>
      <c r="BU33" s="294"/>
      <c r="BV33" s="294"/>
      <c r="BW33" s="294"/>
      <c r="BX33" s="294"/>
      <c r="BY33" s="294"/>
      <c r="BZ33" s="294"/>
      <c r="CA33" s="294"/>
      <c r="CB33" s="294"/>
      <c r="CC33" s="294"/>
      <c r="CD33" s="294"/>
      <c r="CE33" s="294"/>
      <c r="CF33" s="294"/>
      <c r="CG33" s="294"/>
      <c r="CH33" s="294"/>
      <c r="CI33" s="294"/>
      <c r="CJ33" s="294"/>
      <c r="CK33" s="294"/>
      <c r="CL33" s="294"/>
      <c r="CM33" s="294"/>
      <c r="CN33" s="294"/>
      <c r="CO33" s="294"/>
      <c r="CP33" s="294"/>
      <c r="CQ33" s="294"/>
      <c r="CR33" s="294"/>
      <c r="CS33" s="294"/>
      <c r="CT33" s="294"/>
      <c r="CU33" s="294"/>
      <c r="CV33" s="294"/>
      <c r="CW33" s="294"/>
      <c r="CX33" s="294"/>
      <c r="CY33" s="294"/>
      <c r="CZ33" s="294"/>
      <c r="DA33" s="294"/>
      <c r="DB33" s="294"/>
      <c r="DC33" s="294"/>
      <c r="DD33" s="294"/>
      <c r="DE33" s="294"/>
      <c r="DF33" s="294"/>
      <c r="DG33" s="294"/>
      <c r="DH33" s="294"/>
      <c r="DI33" s="294"/>
      <c r="DJ33" s="294"/>
      <c r="DK33" s="294"/>
      <c r="DL33" s="294"/>
      <c r="DM33" s="294"/>
      <c r="DN33" s="294"/>
      <c r="DO33" s="294"/>
      <c r="DP33" s="294"/>
      <c r="DQ33" s="294"/>
      <c r="DR33" s="294"/>
      <c r="DS33" s="294"/>
      <c r="DT33" s="294"/>
      <c r="DU33" s="294"/>
      <c r="DV33" s="294"/>
      <c r="DW33" s="294"/>
      <c r="DX33" s="294"/>
      <c r="DY33" s="294"/>
      <c r="DZ33" s="294"/>
      <c r="EA33" s="294"/>
      <c r="EB33" s="294"/>
      <c r="EC33" s="294"/>
      <c r="ED33" s="294"/>
      <c r="EE33" s="294"/>
      <c r="EF33" s="294"/>
      <c r="EG33" s="294"/>
      <c r="EH33" s="294"/>
      <c r="EI33" s="294"/>
      <c r="EJ33" s="294"/>
      <c r="EK33" s="294"/>
      <c r="EL33" s="294"/>
      <c r="EM33" s="294"/>
      <c r="EN33" s="294"/>
      <c r="EO33" s="294"/>
      <c r="EP33" s="294"/>
      <c r="EQ33" s="294"/>
      <c r="ER33" s="294"/>
      <c r="ES33" s="294"/>
      <c r="ET33" s="294"/>
      <c r="EU33" s="294"/>
      <c r="EV33" s="294"/>
      <c r="EW33" s="294"/>
      <c r="EX33" s="294"/>
      <c r="EY33" s="294"/>
      <c r="EZ33" s="294"/>
      <c r="FA33" s="294"/>
      <c r="FB33" s="294"/>
      <c r="FC33" s="294"/>
      <c r="FD33" s="294"/>
      <c r="FE33" s="294"/>
      <c r="FF33" s="294"/>
      <c r="FG33" s="294"/>
      <c r="FH33" s="294"/>
      <c r="FI33" s="294"/>
      <c r="FJ33" s="294"/>
      <c r="FK33" s="294"/>
      <c r="FL33" s="294"/>
      <c r="FM33" s="294"/>
      <c r="FN33" s="294"/>
      <c r="FO33" s="294"/>
      <c r="FP33" s="294"/>
      <c r="FQ33" s="294"/>
      <c r="FR33" s="294"/>
      <c r="FS33" s="294"/>
      <c r="FT33" s="294"/>
      <c r="FU33" s="294"/>
      <c r="FV33" s="294"/>
      <c r="FW33" s="294"/>
      <c r="FX33" s="294"/>
      <c r="FY33" s="294"/>
      <c r="FZ33" s="294"/>
      <c r="GA33" s="294"/>
      <c r="GB33" s="294"/>
      <c r="GC33" s="294"/>
      <c r="GD33" s="294"/>
      <c r="GE33" s="294"/>
      <c r="GF33" s="294"/>
      <c r="GG33" s="294"/>
      <c r="GH33" s="294"/>
      <c r="GI33" s="294"/>
      <c r="GJ33" s="294"/>
      <c r="GK33" s="294"/>
      <c r="GL33" s="294"/>
      <c r="GM33" s="294"/>
      <c r="GN33" s="294"/>
      <c r="GO33" s="294"/>
      <c r="GP33" s="294"/>
      <c r="GQ33" s="294"/>
      <c r="GR33" s="294"/>
      <c r="GS33" s="294"/>
      <c r="GT33" s="294"/>
      <c r="GU33" s="294"/>
      <c r="GV33" s="294"/>
      <c r="GW33" s="294"/>
      <c r="GX33" s="294"/>
      <c r="GY33" s="294"/>
      <c r="GZ33" s="294"/>
      <c r="HA33" s="294"/>
      <c r="HB33" s="294"/>
      <c r="HC33" s="294"/>
      <c r="HD33" s="294"/>
      <c r="HE33" s="294"/>
      <c r="HF33" s="294"/>
      <c r="HG33" s="294"/>
      <c r="HH33" s="294"/>
      <c r="HI33" s="294"/>
      <c r="HJ33" s="294"/>
      <c r="HK33" s="294"/>
      <c r="HL33" s="294"/>
      <c r="HM33" s="294"/>
      <c r="HN33" s="294"/>
      <c r="HO33" s="294"/>
      <c r="HP33" s="294"/>
      <c r="HQ33" s="294"/>
      <c r="HR33" s="294"/>
      <c r="HS33" s="294"/>
      <c r="HT33" s="294"/>
      <c r="HU33" s="294"/>
      <c r="HV33" s="294"/>
      <c r="HW33" s="294"/>
      <c r="HX33" s="294"/>
      <c r="HY33" s="294"/>
      <c r="HZ33" s="294"/>
      <c r="IA33" s="294"/>
      <c r="IB33" s="294"/>
      <c r="IC33" s="294"/>
      <c r="ID33" s="294"/>
      <c r="IE33" s="294"/>
      <c r="IF33" s="294"/>
      <c r="IG33" s="294"/>
      <c r="IH33" s="294"/>
      <c r="II33" s="294"/>
      <c r="IJ33" s="294"/>
      <c r="IK33" s="294"/>
      <c r="IL33" s="294"/>
      <c r="IM33" s="294"/>
      <c r="IN33" s="294"/>
      <c r="IO33" s="294"/>
      <c r="IP33" s="294"/>
      <c r="IQ33" s="294"/>
      <c r="IR33" s="294"/>
    </row>
    <row r="34" spans="1:252" s="315" customFormat="1" ht="14.25">
      <c r="A34" s="314"/>
      <c r="B34" s="314" t="str">
        <f>'Balance Sheet Ann'!E19</f>
        <v>VAT balance</v>
      </c>
      <c r="C34" s="292"/>
      <c r="D34" s="317">
        <f ca="1">'Balance Sheet Ann'!J19</f>
        <v>-6196.7550234558857</v>
      </c>
      <c r="E34" s="317">
        <f ca="1">'Balance Sheet Ann'!K19</f>
        <v>100957.13492645105</v>
      </c>
      <c r="F34" s="317">
        <f ca="1">'Balance Sheet Ann'!L19</f>
        <v>291795.14847907308</v>
      </c>
      <c r="G34" s="317">
        <f ca="1">'Balance Sheet Ann'!M19</f>
        <v>243216.41597105563</v>
      </c>
      <c r="H34" s="317">
        <f ca="1">'Balance Sheet Ann'!N19</f>
        <v>429412.62476073159</v>
      </c>
      <c r="I34" s="314"/>
      <c r="J34" s="314"/>
      <c r="K34" s="314"/>
      <c r="L34" s="295"/>
      <c r="M34" s="295"/>
      <c r="N34" s="295"/>
      <c r="O34" s="295"/>
      <c r="P34" s="295"/>
      <c r="Q34" s="295"/>
      <c r="R34" s="295"/>
      <c r="S34" s="295"/>
      <c r="T34" s="295"/>
      <c r="U34" s="295"/>
      <c r="V34" s="295"/>
      <c r="W34" s="295"/>
      <c r="X34" s="295"/>
      <c r="Y34" s="295"/>
      <c r="Z34" s="295"/>
      <c r="AA34" s="295"/>
      <c r="AB34" s="295"/>
      <c r="AC34" s="295"/>
      <c r="AD34" s="295"/>
      <c r="AE34" s="295"/>
      <c r="AF34" s="295"/>
      <c r="AG34" s="295"/>
      <c r="AH34" s="295"/>
      <c r="AI34" s="295"/>
      <c r="AJ34" s="295"/>
      <c r="AK34" s="295"/>
      <c r="AL34" s="295"/>
      <c r="AM34" s="295"/>
      <c r="AN34" s="295"/>
      <c r="AO34" s="295"/>
      <c r="AP34" s="295"/>
      <c r="AQ34" s="295"/>
      <c r="AR34" s="295"/>
      <c r="AS34" s="295"/>
      <c r="AT34" s="295"/>
      <c r="AU34" s="295"/>
      <c r="AV34" s="295"/>
      <c r="AW34" s="295"/>
      <c r="AX34" s="295"/>
      <c r="AY34" s="295"/>
      <c r="AZ34" s="295"/>
      <c r="BA34" s="295"/>
      <c r="BB34" s="295"/>
      <c r="BC34" s="295"/>
      <c r="BD34" s="295"/>
      <c r="BE34" s="295"/>
      <c r="BF34" s="295"/>
      <c r="BG34" s="295"/>
      <c r="BH34" s="295"/>
      <c r="BI34" s="295"/>
      <c r="BJ34" s="295"/>
      <c r="BK34" s="295"/>
      <c r="BL34" s="295"/>
      <c r="BM34" s="295"/>
      <c r="BN34" s="295"/>
      <c r="BO34" s="295"/>
      <c r="BP34" s="295"/>
      <c r="BQ34" s="295"/>
      <c r="BR34" s="295"/>
      <c r="BS34" s="295"/>
      <c r="BT34" s="295"/>
      <c r="BU34" s="295"/>
      <c r="BV34" s="295"/>
      <c r="BW34" s="295"/>
      <c r="BX34" s="295"/>
      <c r="BY34" s="295"/>
      <c r="BZ34" s="295"/>
      <c r="CA34" s="295"/>
      <c r="CB34" s="295"/>
      <c r="CC34" s="295"/>
      <c r="CD34" s="295"/>
      <c r="CE34" s="295"/>
      <c r="CF34" s="295"/>
      <c r="CG34" s="295"/>
      <c r="CH34" s="295"/>
      <c r="CI34" s="295"/>
      <c r="CJ34" s="295"/>
      <c r="CK34" s="295"/>
      <c r="CL34" s="295"/>
      <c r="CM34" s="295"/>
      <c r="CN34" s="295"/>
      <c r="CO34" s="295"/>
      <c r="CP34" s="295"/>
      <c r="CQ34" s="295"/>
      <c r="CR34" s="295"/>
      <c r="CS34" s="295"/>
      <c r="CT34" s="295"/>
      <c r="CU34" s="295"/>
      <c r="CV34" s="295"/>
      <c r="CW34" s="295"/>
      <c r="CX34" s="295"/>
      <c r="CY34" s="295"/>
      <c r="CZ34" s="295"/>
      <c r="DA34" s="295"/>
      <c r="DB34" s="295"/>
      <c r="DC34" s="295"/>
      <c r="DD34" s="295"/>
      <c r="DE34" s="295"/>
      <c r="DF34" s="295"/>
      <c r="DG34" s="295"/>
      <c r="DH34" s="295"/>
      <c r="DI34" s="295"/>
      <c r="DJ34" s="295"/>
      <c r="DK34" s="295"/>
      <c r="DL34" s="295"/>
      <c r="DM34" s="295"/>
      <c r="DN34" s="295"/>
      <c r="DO34" s="295"/>
      <c r="DP34" s="295"/>
      <c r="DQ34" s="295"/>
      <c r="DR34" s="295"/>
      <c r="DS34" s="295"/>
      <c r="DT34" s="295"/>
      <c r="DU34" s="295"/>
      <c r="DV34" s="295"/>
      <c r="DW34" s="295"/>
      <c r="DX34" s="295"/>
      <c r="DY34" s="295"/>
      <c r="DZ34" s="295"/>
      <c r="EA34" s="295"/>
      <c r="EB34" s="295"/>
      <c r="EC34" s="295"/>
      <c r="ED34" s="295"/>
      <c r="EE34" s="295"/>
      <c r="EF34" s="295"/>
      <c r="EG34" s="295"/>
      <c r="EH34" s="295"/>
      <c r="EI34" s="295"/>
      <c r="EJ34" s="295"/>
      <c r="EK34" s="295"/>
      <c r="EL34" s="295"/>
      <c r="EM34" s="295"/>
      <c r="EN34" s="295"/>
      <c r="EO34" s="295"/>
      <c r="EP34" s="295"/>
      <c r="EQ34" s="295"/>
      <c r="ER34" s="295"/>
      <c r="ES34" s="295"/>
      <c r="ET34" s="295"/>
      <c r="EU34" s="295"/>
      <c r="EV34" s="295"/>
      <c r="EW34" s="295"/>
      <c r="EX34" s="295"/>
      <c r="EY34" s="295"/>
      <c r="EZ34" s="295"/>
      <c r="FA34" s="295"/>
      <c r="FB34" s="295"/>
      <c r="FC34" s="295"/>
      <c r="FD34" s="295"/>
      <c r="FE34" s="295"/>
      <c r="FF34" s="295"/>
      <c r="FG34" s="295"/>
      <c r="FH34" s="295"/>
      <c r="FI34" s="295"/>
      <c r="FJ34" s="295"/>
      <c r="FK34" s="295"/>
      <c r="FL34" s="295"/>
      <c r="FM34" s="295"/>
      <c r="FN34" s="295"/>
      <c r="FO34" s="295"/>
      <c r="FP34" s="295"/>
      <c r="FQ34" s="295"/>
      <c r="FR34" s="295"/>
      <c r="FS34" s="295"/>
      <c r="FT34" s="295"/>
      <c r="FU34" s="295"/>
      <c r="FV34" s="295"/>
      <c r="FW34" s="295"/>
      <c r="FX34" s="295"/>
      <c r="FY34" s="295"/>
      <c r="FZ34" s="295"/>
      <c r="GA34" s="295"/>
      <c r="GB34" s="295"/>
      <c r="GC34" s="295"/>
      <c r="GD34" s="295"/>
      <c r="GE34" s="295"/>
      <c r="GF34" s="295"/>
      <c r="GG34" s="295"/>
      <c r="GH34" s="295"/>
      <c r="GI34" s="295"/>
      <c r="GJ34" s="295"/>
      <c r="GK34" s="295"/>
      <c r="GL34" s="295"/>
      <c r="GM34" s="295"/>
      <c r="GN34" s="295"/>
      <c r="GO34" s="295"/>
      <c r="GP34" s="295"/>
      <c r="GQ34" s="295"/>
      <c r="GR34" s="295"/>
      <c r="GS34" s="295"/>
      <c r="GT34" s="295"/>
      <c r="GU34" s="295"/>
      <c r="GV34" s="295"/>
      <c r="GW34" s="295"/>
      <c r="GX34" s="295"/>
      <c r="GY34" s="295"/>
      <c r="GZ34" s="295"/>
      <c r="HA34" s="295"/>
      <c r="HB34" s="295"/>
      <c r="HC34" s="295"/>
      <c r="HD34" s="295"/>
      <c r="HE34" s="295"/>
      <c r="HF34" s="295"/>
      <c r="HG34" s="295"/>
      <c r="HH34" s="295"/>
      <c r="HI34" s="295"/>
      <c r="HJ34" s="295"/>
      <c r="HK34" s="295"/>
      <c r="HL34" s="295"/>
      <c r="HM34" s="295"/>
      <c r="HN34" s="295"/>
      <c r="HO34" s="295"/>
      <c r="HP34" s="295"/>
      <c r="HQ34" s="295"/>
      <c r="HR34" s="295"/>
      <c r="HS34" s="295"/>
      <c r="HT34" s="295"/>
      <c r="HU34" s="295"/>
      <c r="HV34" s="295"/>
      <c r="HW34" s="295"/>
      <c r="HX34" s="295"/>
      <c r="HY34" s="295"/>
      <c r="HZ34" s="295"/>
      <c r="IA34" s="295"/>
      <c r="IB34" s="295"/>
      <c r="IC34" s="295"/>
      <c r="ID34" s="295"/>
      <c r="IE34" s="295"/>
      <c r="IF34" s="295"/>
      <c r="IG34" s="295"/>
      <c r="IH34" s="295"/>
      <c r="II34" s="295"/>
      <c r="IJ34" s="295"/>
      <c r="IK34" s="295"/>
      <c r="IL34" s="295"/>
      <c r="IM34" s="295"/>
      <c r="IN34" s="295"/>
      <c r="IO34" s="295"/>
      <c r="IP34" s="295"/>
      <c r="IQ34" s="295"/>
      <c r="IR34" s="295"/>
    </row>
    <row r="35" spans="1:252" ht="14.25">
      <c r="A35" s="292"/>
      <c r="B35" s="314" t="str">
        <f>'Balance Sheet Ann'!E20</f>
        <v>Corporation tax creditor</v>
      </c>
      <c r="C35" s="292"/>
      <c r="D35" s="317">
        <f ca="1">'Balance Sheet Ann'!J20</f>
        <v>0</v>
      </c>
      <c r="E35" s="317">
        <f ca="1">'Balance Sheet Ann'!K20</f>
        <v>106978.39281702002</v>
      </c>
      <c r="F35" s="317">
        <f ca="1">'Balance Sheet Ann'!L20</f>
        <v>549993.72394885693</v>
      </c>
      <c r="G35" s="317">
        <f ca="1">'Balance Sheet Ann'!M20</f>
        <v>1290597.9976512392</v>
      </c>
      <c r="H35" s="317">
        <f ca="1">'Balance Sheet Ann'!N20</f>
        <v>2790847.9047092618</v>
      </c>
      <c r="I35" s="292"/>
      <c r="J35" s="292"/>
      <c r="K35" s="294"/>
      <c r="L35" s="294"/>
      <c r="M35" s="294"/>
      <c r="N35" s="294"/>
      <c r="O35" s="294"/>
      <c r="P35" s="294"/>
      <c r="Q35" s="294"/>
      <c r="R35" s="294"/>
      <c r="S35" s="294"/>
      <c r="T35" s="294"/>
      <c r="U35" s="294"/>
      <c r="V35" s="294"/>
      <c r="W35" s="294"/>
      <c r="X35" s="294"/>
      <c r="Y35" s="294"/>
      <c r="Z35" s="294"/>
      <c r="AA35" s="294"/>
      <c r="AB35" s="294"/>
      <c r="AC35" s="294"/>
      <c r="AD35" s="294"/>
      <c r="AE35" s="294"/>
      <c r="AF35" s="294"/>
      <c r="AG35" s="294"/>
      <c r="AH35" s="294"/>
      <c r="AI35" s="294"/>
      <c r="AJ35" s="294"/>
      <c r="AK35" s="294"/>
      <c r="AL35" s="294"/>
      <c r="AM35" s="294"/>
      <c r="AN35" s="294"/>
      <c r="AO35" s="294"/>
      <c r="AP35" s="294"/>
      <c r="AQ35" s="294"/>
      <c r="AR35" s="294"/>
      <c r="AS35" s="294"/>
      <c r="AT35" s="294"/>
      <c r="AU35" s="294"/>
      <c r="AV35" s="294"/>
      <c r="AW35" s="294"/>
      <c r="AX35" s="294"/>
      <c r="AY35" s="294"/>
      <c r="AZ35" s="294"/>
      <c r="BA35" s="294"/>
      <c r="BB35" s="294"/>
      <c r="BC35" s="294"/>
      <c r="BD35" s="294"/>
      <c r="BE35" s="294"/>
      <c r="BF35" s="294"/>
      <c r="BG35" s="294"/>
      <c r="BH35" s="294"/>
      <c r="BI35" s="294"/>
      <c r="BJ35" s="294"/>
      <c r="BK35" s="294"/>
      <c r="BL35" s="294"/>
      <c r="BM35" s="294"/>
      <c r="BN35" s="294"/>
      <c r="BO35" s="294"/>
      <c r="BP35" s="294"/>
      <c r="BQ35" s="294"/>
      <c r="BR35" s="294"/>
      <c r="BS35" s="294"/>
      <c r="BT35" s="294"/>
      <c r="BU35" s="294"/>
      <c r="BV35" s="294"/>
      <c r="BW35" s="294"/>
      <c r="BX35" s="294"/>
      <c r="BY35" s="294"/>
      <c r="BZ35" s="294"/>
      <c r="CA35" s="294"/>
      <c r="CB35" s="294"/>
      <c r="CC35" s="294"/>
      <c r="CD35" s="294"/>
      <c r="CE35" s="294"/>
      <c r="CF35" s="294"/>
      <c r="CG35" s="294"/>
      <c r="CH35" s="294"/>
      <c r="CI35" s="294"/>
      <c r="CJ35" s="294"/>
      <c r="CK35" s="294"/>
      <c r="CL35" s="294"/>
      <c r="CM35" s="294"/>
      <c r="CN35" s="294"/>
      <c r="CO35" s="294"/>
      <c r="CP35" s="294"/>
      <c r="CQ35" s="294"/>
      <c r="CR35" s="294"/>
      <c r="CS35" s="294"/>
      <c r="CT35" s="294"/>
      <c r="CU35" s="294"/>
      <c r="CV35" s="294"/>
      <c r="CW35" s="294"/>
      <c r="CX35" s="294"/>
      <c r="CY35" s="294"/>
      <c r="CZ35" s="294"/>
      <c r="DA35" s="294"/>
      <c r="DB35" s="294"/>
      <c r="DC35" s="294"/>
      <c r="DD35" s="294"/>
      <c r="DE35" s="294"/>
      <c r="DF35" s="294"/>
      <c r="DG35" s="294"/>
      <c r="DH35" s="294"/>
      <c r="DI35" s="294"/>
      <c r="DJ35" s="294"/>
      <c r="DK35" s="294"/>
      <c r="DL35" s="294"/>
      <c r="DM35" s="294"/>
      <c r="DN35" s="294"/>
      <c r="DO35" s="294"/>
      <c r="DP35" s="294"/>
      <c r="DQ35" s="294"/>
      <c r="DR35" s="294"/>
      <c r="DS35" s="294"/>
      <c r="DT35" s="294"/>
      <c r="DU35" s="294"/>
      <c r="DV35" s="294"/>
      <c r="DW35" s="294"/>
      <c r="DX35" s="294"/>
      <c r="DY35" s="294"/>
      <c r="DZ35" s="294"/>
      <c r="EA35" s="294"/>
      <c r="EB35" s="294"/>
      <c r="EC35" s="294"/>
      <c r="ED35" s="294"/>
      <c r="EE35" s="294"/>
      <c r="EF35" s="294"/>
      <c r="EG35" s="294"/>
      <c r="EH35" s="294"/>
      <c r="EI35" s="294"/>
      <c r="EJ35" s="294"/>
      <c r="EK35" s="294"/>
      <c r="EL35" s="294"/>
      <c r="EM35" s="294"/>
      <c r="EN35" s="294"/>
      <c r="EO35" s="294"/>
      <c r="EP35" s="294"/>
      <c r="EQ35" s="294"/>
      <c r="ER35" s="294"/>
      <c r="ES35" s="294"/>
      <c r="ET35" s="294"/>
      <c r="EU35" s="294"/>
      <c r="EV35" s="294"/>
      <c r="EW35" s="294"/>
      <c r="EX35" s="294"/>
      <c r="EY35" s="294"/>
      <c r="EZ35" s="294"/>
      <c r="FA35" s="294"/>
      <c r="FB35" s="294"/>
      <c r="FC35" s="294"/>
      <c r="FD35" s="294"/>
      <c r="FE35" s="294"/>
      <c r="FF35" s="294"/>
      <c r="FG35" s="294"/>
      <c r="FH35" s="294"/>
      <c r="FI35" s="294"/>
      <c r="FJ35" s="294"/>
      <c r="FK35" s="294"/>
      <c r="FL35" s="294"/>
      <c r="FM35" s="294"/>
      <c r="FN35" s="294"/>
      <c r="FO35" s="294"/>
      <c r="FP35" s="294"/>
      <c r="FQ35" s="294"/>
      <c r="FR35" s="294"/>
      <c r="FS35" s="294"/>
      <c r="FT35" s="294"/>
      <c r="FU35" s="294"/>
      <c r="FV35" s="294"/>
      <c r="FW35" s="294"/>
      <c r="FX35" s="294"/>
      <c r="FY35" s="294"/>
      <c r="FZ35" s="294"/>
      <c r="GA35" s="294"/>
      <c r="GB35" s="294"/>
      <c r="GC35" s="294"/>
      <c r="GD35" s="294"/>
      <c r="GE35" s="294"/>
      <c r="GF35" s="294"/>
      <c r="GG35" s="294"/>
      <c r="GH35" s="294"/>
      <c r="GI35" s="294"/>
      <c r="GJ35" s="294"/>
      <c r="GK35" s="294"/>
      <c r="GL35" s="294"/>
      <c r="GM35" s="294"/>
      <c r="GN35" s="294"/>
      <c r="GO35" s="294"/>
      <c r="GP35" s="294"/>
      <c r="GQ35" s="294"/>
      <c r="GR35" s="294"/>
      <c r="GS35" s="294"/>
      <c r="GT35" s="294"/>
      <c r="GU35" s="294"/>
      <c r="GV35" s="294"/>
      <c r="GW35" s="294"/>
      <c r="GX35" s="294"/>
      <c r="GY35" s="294"/>
      <c r="GZ35" s="294"/>
      <c r="HA35" s="294"/>
      <c r="HB35" s="294"/>
      <c r="HC35" s="294"/>
      <c r="HD35" s="294"/>
      <c r="HE35" s="294"/>
      <c r="HF35" s="294"/>
      <c r="HG35" s="294"/>
      <c r="HH35" s="294"/>
      <c r="HI35" s="294"/>
      <c r="HJ35" s="294"/>
      <c r="HK35" s="294"/>
      <c r="HL35" s="294"/>
      <c r="HM35" s="294"/>
      <c r="HN35" s="294"/>
      <c r="HO35" s="294"/>
      <c r="HP35" s="294"/>
      <c r="HQ35" s="294"/>
      <c r="HR35" s="294"/>
      <c r="HS35" s="294"/>
      <c r="HT35" s="294"/>
      <c r="HU35" s="294"/>
      <c r="HV35" s="294"/>
      <c r="HW35" s="294"/>
      <c r="HX35" s="294"/>
      <c r="HY35" s="294"/>
      <c r="HZ35" s="294"/>
      <c r="IA35" s="294"/>
      <c r="IB35" s="294"/>
      <c r="IC35" s="294"/>
      <c r="ID35" s="294"/>
      <c r="IE35" s="294"/>
      <c r="IF35" s="294"/>
      <c r="IG35" s="294"/>
      <c r="IH35" s="294"/>
      <c r="II35" s="294"/>
      <c r="IJ35" s="294"/>
      <c r="IK35" s="294"/>
      <c r="IL35" s="294"/>
      <c r="IM35" s="294"/>
      <c r="IN35" s="294"/>
      <c r="IO35" s="294"/>
      <c r="IP35" s="294"/>
      <c r="IQ35" s="294"/>
      <c r="IR35" s="294"/>
    </row>
    <row r="36" spans="1:252" ht="14.25">
      <c r="A36" s="292"/>
      <c r="B36" s="322" t="str">
        <f>'Balance Sheet Ann'!E21</f>
        <v>Liabilities</v>
      </c>
      <c r="C36" s="321"/>
      <c r="D36" s="316">
        <f ca="1">'Balance Sheet Ann'!J21</f>
        <v>843113.44662275282</v>
      </c>
      <c r="E36" s="316">
        <f ca="1">'Balance Sheet Ann'!K21</f>
        <v>2861281.3978045508</v>
      </c>
      <c r="F36" s="316">
        <f ca="1">'Balance Sheet Ann'!L21</f>
        <v>6862740.3296481175</v>
      </c>
      <c r="G36" s="316">
        <f ca="1">'Balance Sheet Ann'!M21</f>
        <v>13224027.423368616</v>
      </c>
      <c r="H36" s="316">
        <f ca="1">'Balance Sheet Ann'!N21</f>
        <v>24217395.9562007</v>
      </c>
      <c r="I36" s="292"/>
      <c r="J36" s="292"/>
      <c r="K36" s="294"/>
      <c r="L36" s="294"/>
      <c r="M36" s="294"/>
      <c r="N36" s="294"/>
      <c r="O36" s="294"/>
      <c r="P36" s="294"/>
      <c r="Q36" s="294"/>
      <c r="R36" s="294"/>
      <c r="S36" s="294"/>
      <c r="T36" s="294"/>
      <c r="U36" s="294"/>
      <c r="V36" s="294"/>
      <c r="W36" s="294"/>
      <c r="X36" s="294"/>
      <c r="Y36" s="294"/>
      <c r="Z36" s="294"/>
      <c r="AA36" s="294"/>
      <c r="AB36" s="294"/>
      <c r="AC36" s="294"/>
      <c r="AD36" s="294"/>
      <c r="AE36" s="294"/>
      <c r="AF36" s="294"/>
      <c r="AG36" s="294"/>
      <c r="AH36" s="294"/>
      <c r="AI36" s="294"/>
      <c r="AJ36" s="294"/>
      <c r="AK36" s="294"/>
      <c r="AL36" s="294"/>
      <c r="AM36" s="294"/>
      <c r="AN36" s="294"/>
      <c r="AO36" s="294"/>
      <c r="AP36" s="294"/>
      <c r="AQ36" s="294"/>
      <c r="AR36" s="294"/>
      <c r="AS36" s="294"/>
      <c r="AT36" s="294"/>
      <c r="AU36" s="294"/>
      <c r="AV36" s="294"/>
      <c r="AW36" s="294"/>
      <c r="AX36" s="294"/>
      <c r="AY36" s="294"/>
      <c r="AZ36" s="294"/>
      <c r="BA36" s="294"/>
      <c r="BB36" s="294"/>
      <c r="BC36" s="294"/>
      <c r="BD36" s="294"/>
      <c r="BE36" s="294"/>
      <c r="BF36" s="294"/>
      <c r="BG36" s="294"/>
      <c r="BH36" s="294"/>
      <c r="BI36" s="294"/>
      <c r="BJ36" s="294"/>
      <c r="BK36" s="294"/>
      <c r="BL36" s="294"/>
      <c r="BM36" s="294"/>
      <c r="BN36" s="294"/>
      <c r="BO36" s="294"/>
      <c r="BP36" s="294"/>
      <c r="BQ36" s="294"/>
      <c r="BR36" s="294"/>
      <c r="BS36" s="294"/>
      <c r="BT36" s="294"/>
      <c r="BU36" s="294"/>
      <c r="BV36" s="294"/>
      <c r="BW36" s="294"/>
      <c r="BX36" s="294"/>
      <c r="BY36" s="294"/>
      <c r="BZ36" s="294"/>
      <c r="CA36" s="294"/>
      <c r="CB36" s="294"/>
      <c r="CC36" s="294"/>
      <c r="CD36" s="294"/>
      <c r="CE36" s="294"/>
      <c r="CF36" s="294"/>
      <c r="CG36" s="294"/>
      <c r="CH36" s="294"/>
      <c r="CI36" s="294"/>
      <c r="CJ36" s="294"/>
      <c r="CK36" s="294"/>
      <c r="CL36" s="294"/>
      <c r="CM36" s="294"/>
      <c r="CN36" s="294"/>
      <c r="CO36" s="294"/>
      <c r="CP36" s="294"/>
      <c r="CQ36" s="294"/>
      <c r="CR36" s="294"/>
      <c r="CS36" s="294"/>
      <c r="CT36" s="294"/>
      <c r="CU36" s="294"/>
      <c r="CV36" s="294"/>
      <c r="CW36" s="294"/>
      <c r="CX36" s="294"/>
      <c r="CY36" s="294"/>
      <c r="CZ36" s="294"/>
      <c r="DA36" s="294"/>
      <c r="DB36" s="294"/>
      <c r="DC36" s="294"/>
      <c r="DD36" s="294"/>
      <c r="DE36" s="294"/>
      <c r="DF36" s="294"/>
      <c r="DG36" s="294"/>
      <c r="DH36" s="294"/>
      <c r="DI36" s="294"/>
      <c r="DJ36" s="294"/>
      <c r="DK36" s="294"/>
      <c r="DL36" s="294"/>
      <c r="DM36" s="294"/>
      <c r="DN36" s="294"/>
      <c r="DO36" s="294"/>
      <c r="DP36" s="294"/>
      <c r="DQ36" s="294"/>
      <c r="DR36" s="294"/>
      <c r="DS36" s="294"/>
      <c r="DT36" s="294"/>
      <c r="DU36" s="294"/>
      <c r="DV36" s="294"/>
      <c r="DW36" s="294"/>
      <c r="DX36" s="294"/>
      <c r="DY36" s="294"/>
      <c r="DZ36" s="294"/>
      <c r="EA36" s="294"/>
      <c r="EB36" s="294"/>
      <c r="EC36" s="294"/>
      <c r="ED36" s="294"/>
      <c r="EE36" s="294"/>
      <c r="EF36" s="294"/>
      <c r="EG36" s="294"/>
      <c r="EH36" s="294"/>
      <c r="EI36" s="294"/>
      <c r="EJ36" s="294"/>
      <c r="EK36" s="294"/>
      <c r="EL36" s="294"/>
      <c r="EM36" s="294"/>
      <c r="EN36" s="294"/>
      <c r="EO36" s="294"/>
      <c r="EP36" s="294"/>
      <c r="EQ36" s="294"/>
      <c r="ER36" s="294"/>
      <c r="ES36" s="294"/>
      <c r="ET36" s="294"/>
      <c r="EU36" s="294"/>
      <c r="EV36" s="294"/>
      <c r="EW36" s="294"/>
      <c r="EX36" s="294"/>
      <c r="EY36" s="294"/>
      <c r="EZ36" s="294"/>
      <c r="FA36" s="294"/>
      <c r="FB36" s="294"/>
      <c r="FC36" s="294"/>
      <c r="FD36" s="294"/>
      <c r="FE36" s="294"/>
      <c r="FF36" s="294"/>
      <c r="FG36" s="294"/>
      <c r="FH36" s="294"/>
      <c r="FI36" s="294"/>
      <c r="FJ36" s="294"/>
      <c r="FK36" s="294"/>
      <c r="FL36" s="294"/>
      <c r="FM36" s="294"/>
      <c r="FN36" s="294"/>
      <c r="FO36" s="294"/>
      <c r="FP36" s="294"/>
      <c r="FQ36" s="294"/>
      <c r="FR36" s="294"/>
      <c r="FS36" s="294"/>
      <c r="FT36" s="294"/>
      <c r="FU36" s="294"/>
      <c r="FV36" s="294"/>
      <c r="FW36" s="294"/>
      <c r="FX36" s="294"/>
      <c r="FY36" s="294"/>
      <c r="FZ36" s="294"/>
      <c r="GA36" s="294"/>
      <c r="GB36" s="294"/>
      <c r="GC36" s="294"/>
      <c r="GD36" s="294"/>
      <c r="GE36" s="294"/>
      <c r="GF36" s="294"/>
      <c r="GG36" s="294"/>
      <c r="GH36" s="294"/>
      <c r="GI36" s="294"/>
      <c r="GJ36" s="294"/>
      <c r="GK36" s="294"/>
      <c r="GL36" s="294"/>
      <c r="GM36" s="294"/>
      <c r="GN36" s="294"/>
      <c r="GO36" s="294"/>
      <c r="GP36" s="294"/>
      <c r="GQ36" s="294"/>
      <c r="GR36" s="294"/>
      <c r="GS36" s="294"/>
      <c r="GT36" s="294"/>
      <c r="GU36" s="294"/>
      <c r="GV36" s="294"/>
      <c r="GW36" s="294"/>
      <c r="GX36" s="294"/>
      <c r="GY36" s="294"/>
      <c r="GZ36" s="294"/>
      <c r="HA36" s="294"/>
      <c r="HB36" s="294"/>
      <c r="HC36" s="294"/>
      <c r="HD36" s="294"/>
      <c r="HE36" s="294"/>
      <c r="HF36" s="294"/>
      <c r="HG36" s="294"/>
      <c r="HH36" s="294"/>
      <c r="HI36" s="294"/>
      <c r="HJ36" s="294"/>
      <c r="HK36" s="294"/>
      <c r="HL36" s="294"/>
      <c r="HM36" s="294"/>
      <c r="HN36" s="294"/>
      <c r="HO36" s="294"/>
      <c r="HP36" s="294"/>
      <c r="HQ36" s="294"/>
      <c r="HR36" s="294"/>
      <c r="HS36" s="294"/>
      <c r="HT36" s="294"/>
      <c r="HU36" s="294"/>
      <c r="HV36" s="294"/>
      <c r="HW36" s="294"/>
      <c r="HX36" s="294"/>
      <c r="HY36" s="294"/>
      <c r="HZ36" s="294"/>
      <c r="IA36" s="294"/>
      <c r="IB36" s="294"/>
      <c r="IC36" s="294"/>
      <c r="ID36" s="294"/>
      <c r="IE36" s="294"/>
      <c r="IF36" s="294"/>
      <c r="IG36" s="294"/>
      <c r="IH36" s="294"/>
      <c r="II36" s="294"/>
      <c r="IJ36" s="294"/>
      <c r="IK36" s="294"/>
      <c r="IL36" s="294"/>
      <c r="IM36" s="294"/>
      <c r="IN36" s="294"/>
      <c r="IO36" s="294"/>
      <c r="IP36" s="294"/>
      <c r="IQ36" s="294"/>
      <c r="IR36" s="294"/>
    </row>
    <row r="37" spans="1:252" ht="14.25">
      <c r="A37" s="292"/>
      <c r="C37" s="292"/>
      <c r="D37" s="317"/>
      <c r="E37" s="317"/>
      <c r="F37" s="317"/>
      <c r="G37" s="317"/>
      <c r="H37" s="317"/>
      <c r="I37" s="292"/>
      <c r="J37" s="292"/>
      <c r="K37" s="294"/>
      <c r="L37" s="294"/>
      <c r="M37" s="294"/>
      <c r="N37" s="294"/>
      <c r="O37" s="294"/>
      <c r="P37" s="294"/>
      <c r="Q37" s="294"/>
      <c r="R37" s="294"/>
      <c r="S37" s="294"/>
      <c r="T37" s="294"/>
      <c r="U37" s="294"/>
      <c r="V37" s="294"/>
      <c r="W37" s="294"/>
      <c r="X37" s="294"/>
      <c r="Y37" s="294"/>
      <c r="Z37" s="294"/>
      <c r="AA37" s="294"/>
      <c r="AB37" s="294"/>
      <c r="AC37" s="294"/>
      <c r="AD37" s="294"/>
      <c r="AE37" s="294"/>
      <c r="AF37" s="294"/>
      <c r="AG37" s="294"/>
      <c r="AH37" s="294"/>
      <c r="AI37" s="294"/>
      <c r="AJ37" s="294"/>
      <c r="AK37" s="294"/>
      <c r="AL37" s="294"/>
      <c r="AM37" s="294"/>
      <c r="AN37" s="294"/>
      <c r="AO37" s="294"/>
      <c r="AP37" s="294"/>
      <c r="AQ37" s="294"/>
      <c r="AR37" s="294"/>
      <c r="AS37" s="294"/>
      <c r="AT37" s="294"/>
      <c r="AU37" s="294"/>
      <c r="AV37" s="294"/>
      <c r="AW37" s="294"/>
      <c r="AX37" s="294"/>
      <c r="AY37" s="294"/>
      <c r="AZ37" s="294"/>
      <c r="BA37" s="294"/>
      <c r="BB37" s="294"/>
      <c r="BC37" s="294"/>
      <c r="BD37" s="294"/>
      <c r="BE37" s="294"/>
      <c r="BF37" s="294"/>
      <c r="BG37" s="294"/>
      <c r="BH37" s="294"/>
      <c r="BI37" s="294"/>
      <c r="BJ37" s="294"/>
      <c r="BK37" s="294"/>
      <c r="BL37" s="294"/>
      <c r="BM37" s="294"/>
      <c r="BN37" s="294"/>
      <c r="BO37" s="294"/>
      <c r="BP37" s="294"/>
      <c r="BQ37" s="294"/>
      <c r="BR37" s="294"/>
      <c r="BS37" s="294"/>
      <c r="BT37" s="294"/>
      <c r="BU37" s="294"/>
      <c r="BV37" s="294"/>
      <c r="BW37" s="294"/>
      <c r="BX37" s="294"/>
      <c r="BY37" s="294"/>
      <c r="BZ37" s="294"/>
      <c r="CA37" s="294"/>
      <c r="CB37" s="294"/>
      <c r="CC37" s="294"/>
      <c r="CD37" s="294"/>
      <c r="CE37" s="294"/>
      <c r="CF37" s="294"/>
      <c r="CG37" s="294"/>
      <c r="CH37" s="294"/>
      <c r="CI37" s="294"/>
      <c r="CJ37" s="294"/>
      <c r="CK37" s="294"/>
      <c r="CL37" s="294"/>
      <c r="CM37" s="294"/>
      <c r="CN37" s="294"/>
      <c r="CO37" s="294"/>
      <c r="CP37" s="294"/>
      <c r="CQ37" s="294"/>
      <c r="CR37" s="294"/>
      <c r="CS37" s="294"/>
      <c r="CT37" s="294"/>
      <c r="CU37" s="294"/>
      <c r="CV37" s="294"/>
      <c r="CW37" s="294"/>
      <c r="CX37" s="294"/>
      <c r="CY37" s="294"/>
      <c r="CZ37" s="294"/>
      <c r="DA37" s="294"/>
      <c r="DB37" s="294"/>
      <c r="DC37" s="294"/>
      <c r="DD37" s="294"/>
      <c r="DE37" s="294"/>
      <c r="DF37" s="294"/>
      <c r="DG37" s="294"/>
      <c r="DH37" s="294"/>
      <c r="DI37" s="294"/>
      <c r="DJ37" s="294"/>
      <c r="DK37" s="294"/>
      <c r="DL37" s="294"/>
      <c r="DM37" s="294"/>
      <c r="DN37" s="294"/>
      <c r="DO37" s="294"/>
      <c r="DP37" s="294"/>
      <c r="DQ37" s="294"/>
      <c r="DR37" s="294"/>
      <c r="DS37" s="294"/>
      <c r="DT37" s="294"/>
      <c r="DU37" s="294"/>
      <c r="DV37" s="294"/>
      <c r="DW37" s="294"/>
      <c r="DX37" s="294"/>
      <c r="DY37" s="294"/>
      <c r="DZ37" s="294"/>
      <c r="EA37" s="294"/>
      <c r="EB37" s="294"/>
      <c r="EC37" s="294"/>
      <c r="ED37" s="294"/>
      <c r="EE37" s="294"/>
      <c r="EF37" s="294"/>
      <c r="EG37" s="294"/>
      <c r="EH37" s="294"/>
      <c r="EI37" s="294"/>
      <c r="EJ37" s="294"/>
      <c r="EK37" s="294"/>
      <c r="EL37" s="294"/>
      <c r="EM37" s="294"/>
      <c r="EN37" s="294"/>
      <c r="EO37" s="294"/>
      <c r="EP37" s="294"/>
      <c r="EQ37" s="294"/>
      <c r="ER37" s="294"/>
      <c r="ES37" s="294"/>
      <c r="ET37" s="294"/>
      <c r="EU37" s="294"/>
      <c r="EV37" s="294"/>
      <c r="EW37" s="294"/>
      <c r="EX37" s="294"/>
      <c r="EY37" s="294"/>
      <c r="EZ37" s="294"/>
      <c r="FA37" s="294"/>
      <c r="FB37" s="294"/>
      <c r="FC37" s="294"/>
      <c r="FD37" s="294"/>
      <c r="FE37" s="294"/>
      <c r="FF37" s="294"/>
      <c r="FG37" s="294"/>
      <c r="FH37" s="294"/>
      <c r="FI37" s="294"/>
      <c r="FJ37" s="294"/>
      <c r="FK37" s="294"/>
      <c r="FL37" s="294"/>
      <c r="FM37" s="294"/>
      <c r="FN37" s="294"/>
      <c r="FO37" s="294"/>
      <c r="FP37" s="294"/>
      <c r="FQ37" s="294"/>
      <c r="FR37" s="294"/>
      <c r="FS37" s="294"/>
      <c r="FT37" s="294"/>
      <c r="FU37" s="294"/>
      <c r="FV37" s="294"/>
      <c r="FW37" s="294"/>
      <c r="FX37" s="294"/>
      <c r="FY37" s="294"/>
      <c r="FZ37" s="294"/>
      <c r="GA37" s="294"/>
      <c r="GB37" s="294"/>
      <c r="GC37" s="294"/>
      <c r="GD37" s="294"/>
      <c r="GE37" s="294"/>
      <c r="GF37" s="294"/>
      <c r="GG37" s="294"/>
      <c r="GH37" s="294"/>
      <c r="GI37" s="294"/>
      <c r="GJ37" s="294"/>
      <c r="GK37" s="294"/>
      <c r="GL37" s="294"/>
      <c r="GM37" s="294"/>
      <c r="GN37" s="294"/>
      <c r="GO37" s="294"/>
      <c r="GP37" s="294"/>
      <c r="GQ37" s="294"/>
      <c r="GR37" s="294"/>
      <c r="GS37" s="294"/>
      <c r="GT37" s="294"/>
      <c r="GU37" s="294"/>
      <c r="GV37" s="294"/>
      <c r="GW37" s="294"/>
      <c r="GX37" s="294"/>
      <c r="GY37" s="294"/>
      <c r="GZ37" s="294"/>
      <c r="HA37" s="294"/>
      <c r="HB37" s="294"/>
      <c r="HC37" s="294"/>
      <c r="HD37" s="294"/>
      <c r="HE37" s="294"/>
      <c r="HF37" s="294"/>
      <c r="HG37" s="294"/>
      <c r="HH37" s="294"/>
      <c r="HI37" s="294"/>
      <c r="HJ37" s="294"/>
      <c r="HK37" s="294"/>
      <c r="HL37" s="294"/>
      <c r="HM37" s="294"/>
      <c r="HN37" s="294"/>
      <c r="HO37" s="294"/>
      <c r="HP37" s="294"/>
      <c r="HQ37" s="294"/>
      <c r="HR37" s="294"/>
      <c r="HS37" s="294"/>
      <c r="HT37" s="294"/>
      <c r="HU37" s="294"/>
      <c r="HV37" s="294"/>
      <c r="HW37" s="294"/>
      <c r="HX37" s="294"/>
      <c r="HY37" s="294"/>
      <c r="HZ37" s="294"/>
      <c r="IA37" s="294"/>
      <c r="IB37" s="294"/>
      <c r="IC37" s="294"/>
      <c r="ID37" s="294"/>
      <c r="IE37" s="294"/>
      <c r="IF37" s="294"/>
      <c r="IG37" s="294"/>
      <c r="IH37" s="294"/>
      <c r="II37" s="294"/>
      <c r="IJ37" s="294"/>
      <c r="IK37" s="294"/>
      <c r="IL37" s="294"/>
      <c r="IM37" s="294"/>
      <c r="IN37" s="294"/>
      <c r="IO37" s="294"/>
      <c r="IP37" s="294"/>
      <c r="IQ37" s="294"/>
      <c r="IR37" s="294"/>
    </row>
    <row r="38" spans="1:252" s="315" customFormat="1" ht="14.25">
      <c r="A38" s="314"/>
      <c r="B38" s="322" t="str">
        <f>'Balance Sheet Ann'!E23</f>
        <v>Net Assets</v>
      </c>
      <c r="C38" s="321"/>
      <c r="D38" s="316">
        <f ca="1">'Balance Sheet Ann'!J23</f>
        <v>-524092.80616935919</v>
      </c>
      <c r="E38" s="316">
        <f ca="1">'Balance Sheet Ann'!K23</f>
        <v>-122013.92081704643</v>
      </c>
      <c r="F38" s="316">
        <f ca="1">'Balance Sheet Ann'!L23</f>
        <v>1729637.4415939068</v>
      </c>
      <c r="G38" s="316">
        <f ca="1">'Balance Sheet Ann'!M23</f>
        <v>6831417.5458162744</v>
      </c>
      <c r="H38" s="316">
        <f ca="1">'Balance Sheet Ann'!N23</f>
        <v>18716388.842557337</v>
      </c>
      <c r="I38" s="314"/>
      <c r="J38" s="314"/>
      <c r="K38" s="314"/>
      <c r="L38" s="295"/>
      <c r="M38" s="295"/>
      <c r="N38" s="295"/>
      <c r="O38" s="295"/>
      <c r="P38" s="295"/>
      <c r="Q38" s="295"/>
      <c r="R38" s="295"/>
      <c r="S38" s="295"/>
      <c r="T38" s="295"/>
      <c r="U38" s="295"/>
      <c r="V38" s="295"/>
      <c r="W38" s="295"/>
      <c r="X38" s="295"/>
      <c r="Y38" s="295"/>
      <c r="Z38" s="295"/>
      <c r="AA38" s="295"/>
      <c r="AB38" s="295"/>
      <c r="AC38" s="295"/>
      <c r="AD38" s="295"/>
      <c r="AE38" s="295"/>
      <c r="AF38" s="295"/>
      <c r="AG38" s="295"/>
      <c r="AH38" s="295"/>
      <c r="AI38" s="295"/>
      <c r="AJ38" s="295"/>
      <c r="AK38" s="295"/>
      <c r="AL38" s="295"/>
      <c r="AM38" s="295"/>
      <c r="AN38" s="295"/>
      <c r="AO38" s="295"/>
      <c r="AP38" s="295"/>
      <c r="AQ38" s="295"/>
      <c r="AR38" s="295"/>
      <c r="AS38" s="295"/>
      <c r="AT38" s="295"/>
      <c r="AU38" s="295"/>
      <c r="AV38" s="295"/>
      <c r="AW38" s="295"/>
      <c r="AX38" s="295"/>
      <c r="AY38" s="295"/>
      <c r="AZ38" s="295"/>
      <c r="BA38" s="295"/>
      <c r="BB38" s="295"/>
      <c r="BC38" s="295"/>
      <c r="BD38" s="295"/>
      <c r="BE38" s="295"/>
      <c r="BF38" s="295"/>
      <c r="BG38" s="295"/>
      <c r="BH38" s="295"/>
      <c r="BI38" s="295"/>
      <c r="BJ38" s="295"/>
      <c r="BK38" s="295"/>
      <c r="BL38" s="295"/>
      <c r="BM38" s="295"/>
      <c r="BN38" s="295"/>
      <c r="BO38" s="295"/>
      <c r="BP38" s="295"/>
      <c r="BQ38" s="295"/>
      <c r="BR38" s="295"/>
      <c r="BS38" s="295"/>
      <c r="BT38" s="295"/>
      <c r="BU38" s="295"/>
      <c r="BV38" s="295"/>
      <c r="BW38" s="295"/>
      <c r="BX38" s="295"/>
      <c r="BY38" s="295"/>
      <c r="BZ38" s="295"/>
      <c r="CA38" s="295"/>
      <c r="CB38" s="295"/>
      <c r="CC38" s="295"/>
      <c r="CD38" s="295"/>
      <c r="CE38" s="295"/>
      <c r="CF38" s="295"/>
      <c r="CG38" s="295"/>
      <c r="CH38" s="295"/>
      <c r="CI38" s="295"/>
      <c r="CJ38" s="295"/>
      <c r="CK38" s="295"/>
      <c r="CL38" s="295"/>
      <c r="CM38" s="295"/>
      <c r="CN38" s="295"/>
      <c r="CO38" s="295"/>
      <c r="CP38" s="295"/>
      <c r="CQ38" s="295"/>
      <c r="CR38" s="295"/>
      <c r="CS38" s="295"/>
      <c r="CT38" s="295"/>
      <c r="CU38" s="295"/>
      <c r="CV38" s="295"/>
      <c r="CW38" s="295"/>
      <c r="CX38" s="295"/>
      <c r="CY38" s="295"/>
      <c r="CZ38" s="295"/>
      <c r="DA38" s="295"/>
      <c r="DB38" s="295"/>
      <c r="DC38" s="295"/>
      <c r="DD38" s="295"/>
      <c r="DE38" s="295"/>
      <c r="DF38" s="295"/>
      <c r="DG38" s="295"/>
      <c r="DH38" s="295"/>
      <c r="DI38" s="295"/>
      <c r="DJ38" s="295"/>
      <c r="DK38" s="295"/>
      <c r="DL38" s="295"/>
      <c r="DM38" s="295"/>
      <c r="DN38" s="295"/>
      <c r="DO38" s="295"/>
      <c r="DP38" s="295"/>
      <c r="DQ38" s="295"/>
      <c r="DR38" s="295"/>
      <c r="DS38" s="295"/>
      <c r="DT38" s="295"/>
      <c r="DU38" s="295"/>
      <c r="DV38" s="295"/>
      <c r="DW38" s="295"/>
      <c r="DX38" s="295"/>
      <c r="DY38" s="295"/>
      <c r="DZ38" s="295"/>
      <c r="EA38" s="295"/>
      <c r="EB38" s="295"/>
      <c r="EC38" s="295"/>
      <c r="ED38" s="295"/>
      <c r="EE38" s="295"/>
      <c r="EF38" s="295"/>
      <c r="EG38" s="295"/>
      <c r="EH38" s="295"/>
      <c r="EI38" s="295"/>
      <c r="EJ38" s="295"/>
      <c r="EK38" s="295"/>
      <c r="EL38" s="295"/>
      <c r="EM38" s="295"/>
      <c r="EN38" s="295"/>
      <c r="EO38" s="295"/>
      <c r="EP38" s="295"/>
      <c r="EQ38" s="295"/>
      <c r="ER38" s="295"/>
      <c r="ES38" s="295"/>
      <c r="ET38" s="295"/>
      <c r="EU38" s="295"/>
      <c r="EV38" s="295"/>
      <c r="EW38" s="295"/>
      <c r="EX38" s="295"/>
      <c r="EY38" s="295"/>
      <c r="EZ38" s="295"/>
      <c r="FA38" s="295"/>
      <c r="FB38" s="295"/>
      <c r="FC38" s="295"/>
      <c r="FD38" s="295"/>
      <c r="FE38" s="295"/>
      <c r="FF38" s="295"/>
      <c r="FG38" s="295"/>
      <c r="FH38" s="295"/>
      <c r="FI38" s="295"/>
      <c r="FJ38" s="295"/>
      <c r="FK38" s="295"/>
      <c r="FL38" s="295"/>
      <c r="FM38" s="295"/>
      <c r="FN38" s="295"/>
      <c r="FO38" s="295"/>
      <c r="FP38" s="295"/>
      <c r="FQ38" s="295"/>
      <c r="FR38" s="295"/>
      <c r="FS38" s="295"/>
      <c r="FT38" s="295"/>
      <c r="FU38" s="295"/>
      <c r="FV38" s="295"/>
      <c r="FW38" s="295"/>
      <c r="FX38" s="295"/>
      <c r="FY38" s="295"/>
      <c r="FZ38" s="295"/>
      <c r="GA38" s="295"/>
      <c r="GB38" s="295"/>
      <c r="GC38" s="295"/>
      <c r="GD38" s="295"/>
      <c r="GE38" s="295"/>
      <c r="GF38" s="295"/>
      <c r="GG38" s="295"/>
      <c r="GH38" s="295"/>
      <c r="GI38" s="295"/>
      <c r="GJ38" s="295"/>
      <c r="GK38" s="295"/>
      <c r="GL38" s="295"/>
      <c r="GM38" s="295"/>
      <c r="GN38" s="295"/>
      <c r="GO38" s="295"/>
      <c r="GP38" s="295"/>
      <c r="GQ38" s="295"/>
      <c r="GR38" s="295"/>
      <c r="GS38" s="295"/>
      <c r="GT38" s="295"/>
      <c r="GU38" s="295"/>
      <c r="GV38" s="295"/>
      <c r="GW38" s="295"/>
      <c r="GX38" s="295"/>
      <c r="GY38" s="295"/>
      <c r="GZ38" s="295"/>
      <c r="HA38" s="295"/>
      <c r="HB38" s="295"/>
      <c r="HC38" s="295"/>
      <c r="HD38" s="295"/>
      <c r="HE38" s="295"/>
      <c r="HF38" s="295"/>
      <c r="HG38" s="295"/>
      <c r="HH38" s="295"/>
      <c r="HI38" s="295"/>
      <c r="HJ38" s="295"/>
      <c r="HK38" s="295"/>
      <c r="HL38" s="295"/>
      <c r="HM38" s="295"/>
      <c r="HN38" s="295"/>
      <c r="HO38" s="295"/>
      <c r="HP38" s="295"/>
      <c r="HQ38" s="295"/>
      <c r="HR38" s="295"/>
      <c r="HS38" s="295"/>
      <c r="HT38" s="295"/>
      <c r="HU38" s="295"/>
      <c r="HV38" s="295"/>
      <c r="HW38" s="295"/>
      <c r="HX38" s="295"/>
      <c r="HY38" s="295"/>
      <c r="HZ38" s="295"/>
      <c r="IA38" s="295"/>
      <c r="IB38" s="295"/>
      <c r="IC38" s="295"/>
      <c r="ID38" s="295"/>
      <c r="IE38" s="295"/>
      <c r="IF38" s="295"/>
      <c r="IG38" s="295"/>
      <c r="IH38" s="295"/>
      <c r="II38" s="295"/>
      <c r="IJ38" s="295"/>
      <c r="IK38" s="295"/>
      <c r="IL38" s="295"/>
      <c r="IM38" s="295"/>
      <c r="IN38" s="295"/>
      <c r="IO38" s="295"/>
      <c r="IP38" s="295"/>
      <c r="IQ38" s="295"/>
      <c r="IR38" s="295"/>
    </row>
    <row r="39" spans="1:252" ht="14.25">
      <c r="A39" s="292"/>
      <c r="C39" s="292"/>
      <c r="D39" s="317"/>
      <c r="E39" s="317"/>
      <c r="F39" s="317"/>
      <c r="G39" s="317"/>
      <c r="H39" s="317"/>
      <c r="I39" s="292"/>
      <c r="J39" s="292"/>
      <c r="K39" s="294"/>
      <c r="L39" s="294"/>
      <c r="M39" s="294"/>
      <c r="N39" s="294"/>
      <c r="O39" s="294"/>
      <c r="P39" s="294"/>
      <c r="Q39" s="294"/>
      <c r="R39" s="294"/>
      <c r="S39" s="294"/>
      <c r="T39" s="294"/>
      <c r="U39" s="294"/>
      <c r="V39" s="294"/>
      <c r="W39" s="294"/>
      <c r="X39" s="294"/>
      <c r="Y39" s="294"/>
      <c r="Z39" s="294"/>
      <c r="AA39" s="294"/>
      <c r="AB39" s="294"/>
      <c r="AC39" s="294"/>
      <c r="AD39" s="294"/>
      <c r="AE39" s="294"/>
      <c r="AF39" s="294"/>
      <c r="AG39" s="294"/>
      <c r="AH39" s="294"/>
      <c r="AI39" s="294"/>
      <c r="AJ39" s="294"/>
      <c r="AK39" s="294"/>
      <c r="AL39" s="294"/>
      <c r="AM39" s="294"/>
      <c r="AN39" s="294"/>
      <c r="AO39" s="294"/>
      <c r="AP39" s="294"/>
      <c r="AQ39" s="294"/>
      <c r="AR39" s="294"/>
      <c r="AS39" s="294"/>
      <c r="AT39" s="294"/>
      <c r="AU39" s="294"/>
      <c r="AV39" s="294"/>
      <c r="AW39" s="294"/>
      <c r="AX39" s="294"/>
      <c r="AY39" s="294"/>
      <c r="AZ39" s="294"/>
      <c r="BA39" s="294"/>
      <c r="BB39" s="294"/>
      <c r="BC39" s="294"/>
      <c r="BD39" s="294"/>
      <c r="BE39" s="294"/>
      <c r="BF39" s="294"/>
      <c r="BG39" s="294"/>
      <c r="BH39" s="294"/>
      <c r="BI39" s="294"/>
      <c r="BJ39" s="294"/>
      <c r="BK39" s="294"/>
      <c r="BL39" s="294"/>
      <c r="BM39" s="294"/>
      <c r="BN39" s="294"/>
      <c r="BO39" s="294"/>
      <c r="BP39" s="294"/>
      <c r="BQ39" s="294"/>
      <c r="BR39" s="294"/>
      <c r="BS39" s="294"/>
      <c r="BT39" s="294"/>
      <c r="BU39" s="294"/>
      <c r="BV39" s="294"/>
      <c r="BW39" s="294"/>
      <c r="BX39" s="294"/>
      <c r="BY39" s="294"/>
      <c r="BZ39" s="294"/>
      <c r="CA39" s="294"/>
      <c r="CB39" s="294"/>
      <c r="CC39" s="294"/>
      <c r="CD39" s="294"/>
      <c r="CE39" s="294"/>
      <c r="CF39" s="294"/>
      <c r="CG39" s="294"/>
      <c r="CH39" s="294"/>
      <c r="CI39" s="294"/>
      <c r="CJ39" s="294"/>
      <c r="CK39" s="294"/>
      <c r="CL39" s="294"/>
      <c r="CM39" s="294"/>
      <c r="CN39" s="294"/>
      <c r="CO39" s="294"/>
      <c r="CP39" s="294"/>
      <c r="CQ39" s="294"/>
      <c r="CR39" s="294"/>
      <c r="CS39" s="294"/>
      <c r="CT39" s="294"/>
      <c r="CU39" s="294"/>
      <c r="CV39" s="294"/>
      <c r="CW39" s="294"/>
      <c r="CX39" s="294"/>
      <c r="CY39" s="294"/>
      <c r="CZ39" s="294"/>
      <c r="DA39" s="294"/>
      <c r="DB39" s="294"/>
      <c r="DC39" s="294"/>
      <c r="DD39" s="294"/>
      <c r="DE39" s="294"/>
      <c r="DF39" s="294"/>
      <c r="DG39" s="294"/>
      <c r="DH39" s="294"/>
      <c r="DI39" s="294"/>
      <c r="DJ39" s="294"/>
      <c r="DK39" s="294"/>
      <c r="DL39" s="294"/>
      <c r="DM39" s="294"/>
      <c r="DN39" s="294"/>
      <c r="DO39" s="294"/>
      <c r="DP39" s="294"/>
      <c r="DQ39" s="294"/>
      <c r="DR39" s="294"/>
      <c r="DS39" s="294"/>
      <c r="DT39" s="294"/>
      <c r="DU39" s="294"/>
      <c r="DV39" s="294"/>
      <c r="DW39" s="294"/>
      <c r="DX39" s="294"/>
      <c r="DY39" s="294"/>
      <c r="DZ39" s="294"/>
      <c r="EA39" s="294"/>
      <c r="EB39" s="294"/>
      <c r="EC39" s="294"/>
      <c r="ED39" s="294"/>
      <c r="EE39" s="294"/>
      <c r="EF39" s="294"/>
      <c r="EG39" s="294"/>
      <c r="EH39" s="294"/>
      <c r="EI39" s="294"/>
      <c r="EJ39" s="294"/>
      <c r="EK39" s="294"/>
      <c r="EL39" s="294"/>
      <c r="EM39" s="294"/>
      <c r="EN39" s="294"/>
      <c r="EO39" s="294"/>
      <c r="EP39" s="294"/>
      <c r="EQ39" s="294"/>
      <c r="ER39" s="294"/>
      <c r="ES39" s="294"/>
      <c r="ET39" s="294"/>
      <c r="EU39" s="294"/>
      <c r="EV39" s="294"/>
      <c r="EW39" s="294"/>
      <c r="EX39" s="294"/>
      <c r="EY39" s="294"/>
      <c r="EZ39" s="294"/>
      <c r="FA39" s="294"/>
      <c r="FB39" s="294"/>
      <c r="FC39" s="294"/>
      <c r="FD39" s="294"/>
      <c r="FE39" s="294"/>
      <c r="FF39" s="294"/>
      <c r="FG39" s="294"/>
      <c r="FH39" s="294"/>
      <c r="FI39" s="294"/>
      <c r="FJ39" s="294"/>
      <c r="FK39" s="294"/>
      <c r="FL39" s="294"/>
      <c r="FM39" s="294"/>
      <c r="FN39" s="294"/>
      <c r="FO39" s="294"/>
      <c r="FP39" s="294"/>
      <c r="FQ39" s="294"/>
      <c r="FR39" s="294"/>
      <c r="FS39" s="294"/>
      <c r="FT39" s="294"/>
      <c r="FU39" s="294"/>
      <c r="FV39" s="294"/>
      <c r="FW39" s="294"/>
      <c r="FX39" s="294"/>
      <c r="FY39" s="294"/>
      <c r="FZ39" s="294"/>
      <c r="GA39" s="294"/>
      <c r="GB39" s="294"/>
      <c r="GC39" s="294"/>
      <c r="GD39" s="294"/>
      <c r="GE39" s="294"/>
      <c r="GF39" s="294"/>
      <c r="GG39" s="294"/>
      <c r="GH39" s="294"/>
      <c r="GI39" s="294"/>
      <c r="GJ39" s="294"/>
      <c r="GK39" s="294"/>
      <c r="GL39" s="294"/>
      <c r="GM39" s="294"/>
      <c r="GN39" s="294"/>
      <c r="GO39" s="294"/>
      <c r="GP39" s="294"/>
      <c r="GQ39" s="294"/>
      <c r="GR39" s="294"/>
      <c r="GS39" s="294"/>
      <c r="GT39" s="294"/>
      <c r="GU39" s="294"/>
      <c r="GV39" s="294"/>
      <c r="GW39" s="294"/>
      <c r="GX39" s="294"/>
      <c r="GY39" s="294"/>
      <c r="GZ39" s="294"/>
      <c r="HA39" s="294"/>
      <c r="HB39" s="294"/>
      <c r="HC39" s="294"/>
      <c r="HD39" s="294"/>
      <c r="HE39" s="294"/>
      <c r="HF39" s="294"/>
      <c r="HG39" s="294"/>
      <c r="HH39" s="294"/>
      <c r="HI39" s="294"/>
      <c r="HJ39" s="294"/>
      <c r="HK39" s="294"/>
      <c r="HL39" s="294"/>
      <c r="HM39" s="294"/>
      <c r="HN39" s="294"/>
      <c r="HO39" s="294"/>
      <c r="HP39" s="294"/>
      <c r="HQ39" s="294"/>
      <c r="HR39" s="294"/>
      <c r="HS39" s="294"/>
      <c r="HT39" s="294"/>
      <c r="HU39" s="294"/>
      <c r="HV39" s="294"/>
      <c r="HW39" s="294"/>
      <c r="HX39" s="294"/>
      <c r="HY39" s="294"/>
      <c r="HZ39" s="294"/>
      <c r="IA39" s="294"/>
      <c r="IB39" s="294"/>
      <c r="IC39" s="294"/>
      <c r="ID39" s="294"/>
      <c r="IE39" s="294"/>
      <c r="IF39" s="294"/>
      <c r="IG39" s="294"/>
      <c r="IH39" s="294"/>
      <c r="II39" s="294"/>
      <c r="IJ39" s="294"/>
      <c r="IK39" s="294"/>
      <c r="IL39" s="294"/>
      <c r="IM39" s="294"/>
      <c r="IN39" s="294"/>
      <c r="IO39" s="294"/>
      <c r="IP39" s="294"/>
      <c r="IQ39" s="294"/>
      <c r="IR39" s="294"/>
    </row>
    <row r="40" spans="1:252" ht="14.25">
      <c r="A40" s="292"/>
      <c r="B40" s="314" t="str">
        <f>'Balance Sheet Ann'!E25</f>
        <v>Retained Earnings</v>
      </c>
      <c r="C40" s="292"/>
      <c r="D40" s="317">
        <f ca="1">'Balance Sheet Ann'!J25</f>
        <v>-524092.80616935901</v>
      </c>
      <c r="E40" s="317">
        <f ca="1">'Balance Sheet Ann'!K25</f>
        <v>-122013.92081704651</v>
      </c>
      <c r="F40" s="317">
        <f ca="1">'Balance Sheet Ann'!L25</f>
        <v>1729637.4415939085</v>
      </c>
      <c r="G40" s="317">
        <f ca="1">'Balance Sheet Ann'!M25</f>
        <v>6831417.5458162762</v>
      </c>
      <c r="H40" s="317">
        <f ca="1">'Balance Sheet Ann'!N25</f>
        <v>18716388.84255733</v>
      </c>
      <c r="I40" s="292"/>
      <c r="J40" s="292"/>
      <c r="K40" s="294"/>
      <c r="L40" s="294"/>
      <c r="M40" s="294"/>
      <c r="N40" s="294"/>
      <c r="O40" s="294"/>
      <c r="P40" s="294"/>
      <c r="Q40" s="294"/>
      <c r="R40" s="294"/>
      <c r="S40" s="294"/>
      <c r="T40" s="294"/>
      <c r="U40" s="294"/>
      <c r="V40" s="294"/>
      <c r="W40" s="294"/>
      <c r="X40" s="294"/>
      <c r="Y40" s="294"/>
      <c r="Z40" s="294"/>
      <c r="AA40" s="294"/>
      <c r="AB40" s="294"/>
      <c r="AC40" s="294"/>
      <c r="AD40" s="294"/>
      <c r="AE40" s="294"/>
      <c r="AF40" s="294"/>
      <c r="AG40" s="294"/>
      <c r="AH40" s="294"/>
      <c r="AI40" s="294"/>
      <c r="AJ40" s="294"/>
      <c r="AK40" s="294"/>
      <c r="AL40" s="294"/>
      <c r="AM40" s="294"/>
      <c r="AN40" s="294"/>
      <c r="AO40" s="294"/>
      <c r="AP40" s="294"/>
      <c r="AQ40" s="294"/>
      <c r="AR40" s="294"/>
      <c r="AS40" s="294"/>
      <c r="AT40" s="294"/>
      <c r="AU40" s="294"/>
      <c r="AV40" s="294"/>
      <c r="AW40" s="294"/>
      <c r="AX40" s="294"/>
      <c r="AY40" s="294"/>
      <c r="AZ40" s="294"/>
      <c r="BA40" s="294"/>
      <c r="BB40" s="294"/>
      <c r="BC40" s="294"/>
      <c r="BD40" s="294"/>
      <c r="BE40" s="294"/>
      <c r="BF40" s="294"/>
      <c r="BG40" s="294"/>
      <c r="BH40" s="294"/>
      <c r="BI40" s="294"/>
      <c r="BJ40" s="294"/>
      <c r="BK40" s="294"/>
      <c r="BL40" s="294"/>
      <c r="BM40" s="294"/>
      <c r="BN40" s="294"/>
      <c r="BO40" s="294"/>
      <c r="BP40" s="294"/>
      <c r="BQ40" s="294"/>
      <c r="BR40" s="294"/>
      <c r="BS40" s="294"/>
      <c r="BT40" s="294"/>
      <c r="BU40" s="294"/>
      <c r="BV40" s="294"/>
      <c r="BW40" s="294"/>
      <c r="BX40" s="294"/>
      <c r="BY40" s="294"/>
      <c r="BZ40" s="294"/>
      <c r="CA40" s="294"/>
      <c r="CB40" s="294"/>
      <c r="CC40" s="294"/>
      <c r="CD40" s="294"/>
      <c r="CE40" s="294"/>
      <c r="CF40" s="294"/>
      <c r="CG40" s="294"/>
      <c r="CH40" s="294"/>
      <c r="CI40" s="294"/>
      <c r="CJ40" s="294"/>
      <c r="CK40" s="294"/>
      <c r="CL40" s="294"/>
      <c r="CM40" s="294"/>
      <c r="CN40" s="294"/>
      <c r="CO40" s="294"/>
      <c r="CP40" s="294"/>
      <c r="CQ40" s="294"/>
      <c r="CR40" s="294"/>
      <c r="CS40" s="294"/>
      <c r="CT40" s="294"/>
      <c r="CU40" s="294"/>
      <c r="CV40" s="294"/>
      <c r="CW40" s="294"/>
      <c r="CX40" s="294"/>
      <c r="CY40" s="294"/>
      <c r="CZ40" s="294"/>
      <c r="DA40" s="294"/>
      <c r="DB40" s="294"/>
      <c r="DC40" s="294"/>
      <c r="DD40" s="294"/>
      <c r="DE40" s="294"/>
      <c r="DF40" s="294"/>
      <c r="DG40" s="294"/>
      <c r="DH40" s="294"/>
      <c r="DI40" s="294"/>
      <c r="DJ40" s="294"/>
      <c r="DK40" s="294"/>
      <c r="DL40" s="294"/>
      <c r="DM40" s="294"/>
      <c r="DN40" s="294"/>
      <c r="DO40" s="294"/>
      <c r="DP40" s="294"/>
      <c r="DQ40" s="294"/>
      <c r="DR40" s="294"/>
      <c r="DS40" s="294"/>
      <c r="DT40" s="294"/>
      <c r="DU40" s="294"/>
      <c r="DV40" s="294"/>
      <c r="DW40" s="294"/>
      <c r="DX40" s="294"/>
      <c r="DY40" s="294"/>
      <c r="DZ40" s="294"/>
      <c r="EA40" s="294"/>
      <c r="EB40" s="294"/>
      <c r="EC40" s="294"/>
      <c r="ED40" s="294"/>
      <c r="EE40" s="294"/>
      <c r="EF40" s="294"/>
      <c r="EG40" s="294"/>
      <c r="EH40" s="294"/>
      <c r="EI40" s="294"/>
      <c r="EJ40" s="294"/>
      <c r="EK40" s="294"/>
      <c r="EL40" s="294"/>
      <c r="EM40" s="294"/>
      <c r="EN40" s="294"/>
      <c r="EO40" s="294"/>
      <c r="EP40" s="294"/>
      <c r="EQ40" s="294"/>
      <c r="ER40" s="294"/>
      <c r="ES40" s="294"/>
      <c r="ET40" s="294"/>
      <c r="EU40" s="294"/>
      <c r="EV40" s="294"/>
      <c r="EW40" s="294"/>
      <c r="EX40" s="294"/>
      <c r="EY40" s="294"/>
      <c r="EZ40" s="294"/>
      <c r="FA40" s="294"/>
      <c r="FB40" s="294"/>
      <c r="FC40" s="294"/>
      <c r="FD40" s="294"/>
      <c r="FE40" s="294"/>
      <c r="FF40" s="294"/>
      <c r="FG40" s="294"/>
      <c r="FH40" s="294"/>
      <c r="FI40" s="294"/>
      <c r="FJ40" s="294"/>
      <c r="FK40" s="294"/>
      <c r="FL40" s="294"/>
      <c r="FM40" s="294"/>
      <c r="FN40" s="294"/>
      <c r="FO40" s="294"/>
      <c r="FP40" s="294"/>
      <c r="FQ40" s="294"/>
      <c r="FR40" s="294"/>
      <c r="FS40" s="294"/>
      <c r="FT40" s="294"/>
      <c r="FU40" s="294"/>
      <c r="FV40" s="294"/>
      <c r="FW40" s="294"/>
      <c r="FX40" s="294"/>
      <c r="FY40" s="294"/>
      <c r="FZ40" s="294"/>
      <c r="GA40" s="294"/>
      <c r="GB40" s="294"/>
      <c r="GC40" s="294"/>
      <c r="GD40" s="294"/>
      <c r="GE40" s="294"/>
      <c r="GF40" s="294"/>
      <c r="GG40" s="294"/>
      <c r="GH40" s="294"/>
      <c r="GI40" s="294"/>
      <c r="GJ40" s="294"/>
      <c r="GK40" s="294"/>
      <c r="GL40" s="294"/>
      <c r="GM40" s="294"/>
      <c r="GN40" s="294"/>
      <c r="GO40" s="294"/>
      <c r="GP40" s="294"/>
      <c r="GQ40" s="294"/>
      <c r="GR40" s="294"/>
      <c r="GS40" s="294"/>
      <c r="GT40" s="294"/>
      <c r="GU40" s="294"/>
      <c r="GV40" s="294"/>
      <c r="GW40" s="294"/>
      <c r="GX40" s="294"/>
      <c r="GY40" s="294"/>
      <c r="GZ40" s="294"/>
      <c r="HA40" s="294"/>
      <c r="HB40" s="294"/>
      <c r="HC40" s="294"/>
      <c r="HD40" s="294"/>
      <c r="HE40" s="294"/>
      <c r="HF40" s="294"/>
      <c r="HG40" s="294"/>
      <c r="HH40" s="294"/>
      <c r="HI40" s="294"/>
      <c r="HJ40" s="294"/>
      <c r="HK40" s="294"/>
      <c r="HL40" s="294"/>
      <c r="HM40" s="294"/>
      <c r="HN40" s="294"/>
      <c r="HO40" s="294"/>
      <c r="HP40" s="294"/>
      <c r="HQ40" s="294"/>
      <c r="HR40" s="294"/>
      <c r="HS40" s="294"/>
      <c r="HT40" s="294"/>
      <c r="HU40" s="294"/>
      <c r="HV40" s="294"/>
      <c r="HW40" s="294"/>
      <c r="HX40" s="294"/>
      <c r="HY40" s="294"/>
      <c r="HZ40" s="294"/>
      <c r="IA40" s="294"/>
      <c r="IB40" s="294"/>
      <c r="IC40" s="294"/>
      <c r="ID40" s="294"/>
      <c r="IE40" s="294"/>
      <c r="IF40" s="294"/>
      <c r="IG40" s="294"/>
      <c r="IH40" s="294"/>
      <c r="II40" s="294"/>
      <c r="IJ40" s="294"/>
      <c r="IK40" s="294"/>
      <c r="IL40" s="294"/>
      <c r="IM40" s="294"/>
      <c r="IN40" s="294"/>
      <c r="IO40" s="294"/>
      <c r="IP40" s="294"/>
      <c r="IQ40" s="294"/>
      <c r="IR40" s="294"/>
    </row>
    <row r="41" spans="1:252" ht="14.25">
      <c r="A41" s="292"/>
      <c r="B41" s="314" t="str">
        <f>'Balance Sheet Ann'!E26</f>
        <v>Share Capital</v>
      </c>
      <c r="C41" s="292"/>
      <c r="D41" s="317">
        <f>'Balance Sheet Ann'!J26</f>
        <v>0</v>
      </c>
      <c r="E41" s="317">
        <f>'Balance Sheet Ann'!K26</f>
        <v>0</v>
      </c>
      <c r="F41" s="317">
        <f>'Balance Sheet Ann'!L26</f>
        <v>0</v>
      </c>
      <c r="G41" s="317">
        <f>'Balance Sheet Ann'!M26</f>
        <v>0</v>
      </c>
      <c r="H41" s="317">
        <f>'Balance Sheet Ann'!N26</f>
        <v>0</v>
      </c>
      <c r="I41" s="292"/>
      <c r="J41" s="292"/>
      <c r="K41" s="294"/>
      <c r="L41" s="294"/>
      <c r="M41" s="294"/>
      <c r="N41" s="294"/>
      <c r="O41" s="294"/>
      <c r="P41" s="294"/>
      <c r="Q41" s="294"/>
      <c r="R41" s="294"/>
      <c r="S41" s="294"/>
      <c r="T41" s="294"/>
      <c r="U41" s="294"/>
      <c r="V41" s="294"/>
      <c r="W41" s="294"/>
      <c r="X41" s="294"/>
      <c r="Y41" s="294"/>
      <c r="Z41" s="294"/>
      <c r="AA41" s="294"/>
      <c r="AB41" s="294"/>
      <c r="AC41" s="294"/>
      <c r="AD41" s="294"/>
      <c r="AE41" s="294"/>
      <c r="AF41" s="294"/>
      <c r="AG41" s="294"/>
      <c r="AH41" s="294"/>
      <c r="AI41" s="294"/>
      <c r="AJ41" s="294"/>
      <c r="AK41" s="294"/>
      <c r="AL41" s="294"/>
      <c r="AM41" s="294"/>
      <c r="AN41" s="294"/>
      <c r="AO41" s="294"/>
      <c r="AP41" s="294"/>
      <c r="AQ41" s="294"/>
      <c r="AR41" s="294"/>
      <c r="AS41" s="294"/>
      <c r="AT41" s="294"/>
      <c r="AU41" s="294"/>
      <c r="AV41" s="294"/>
      <c r="AW41" s="294"/>
      <c r="AX41" s="294"/>
      <c r="AY41" s="294"/>
      <c r="AZ41" s="294"/>
      <c r="BA41" s="294"/>
      <c r="BB41" s="294"/>
      <c r="BC41" s="294"/>
      <c r="BD41" s="294"/>
      <c r="BE41" s="294"/>
      <c r="BF41" s="294"/>
      <c r="BG41" s="294"/>
      <c r="BH41" s="294"/>
      <c r="BI41" s="294"/>
      <c r="BJ41" s="294"/>
      <c r="BK41" s="294"/>
      <c r="BL41" s="294"/>
      <c r="BM41" s="294"/>
      <c r="BN41" s="294"/>
      <c r="BO41" s="294"/>
      <c r="BP41" s="294"/>
      <c r="BQ41" s="294"/>
      <c r="BR41" s="294"/>
      <c r="BS41" s="294"/>
      <c r="BT41" s="294"/>
      <c r="BU41" s="294"/>
      <c r="BV41" s="294"/>
      <c r="BW41" s="294"/>
      <c r="BX41" s="294"/>
      <c r="BY41" s="294"/>
      <c r="BZ41" s="294"/>
      <c r="CA41" s="294"/>
      <c r="CB41" s="294"/>
      <c r="CC41" s="294"/>
      <c r="CD41" s="294"/>
      <c r="CE41" s="294"/>
      <c r="CF41" s="294"/>
      <c r="CG41" s="294"/>
      <c r="CH41" s="294"/>
      <c r="CI41" s="294"/>
      <c r="CJ41" s="294"/>
      <c r="CK41" s="294"/>
      <c r="CL41" s="294"/>
      <c r="CM41" s="294"/>
      <c r="CN41" s="294"/>
      <c r="CO41" s="294"/>
      <c r="CP41" s="294"/>
      <c r="CQ41" s="294"/>
      <c r="CR41" s="294"/>
      <c r="CS41" s="294"/>
      <c r="CT41" s="294"/>
      <c r="CU41" s="294"/>
      <c r="CV41" s="294"/>
      <c r="CW41" s="294"/>
      <c r="CX41" s="294"/>
      <c r="CY41" s="294"/>
      <c r="CZ41" s="294"/>
      <c r="DA41" s="294"/>
      <c r="DB41" s="294"/>
      <c r="DC41" s="294"/>
      <c r="DD41" s="294"/>
      <c r="DE41" s="294"/>
      <c r="DF41" s="294"/>
      <c r="DG41" s="294"/>
      <c r="DH41" s="294"/>
      <c r="DI41" s="294"/>
      <c r="DJ41" s="294"/>
      <c r="DK41" s="294"/>
      <c r="DL41" s="294"/>
      <c r="DM41" s="294"/>
      <c r="DN41" s="294"/>
      <c r="DO41" s="294"/>
      <c r="DP41" s="294"/>
      <c r="DQ41" s="294"/>
      <c r="DR41" s="294"/>
      <c r="DS41" s="294"/>
      <c r="DT41" s="294"/>
      <c r="DU41" s="294"/>
      <c r="DV41" s="294"/>
      <c r="DW41" s="294"/>
      <c r="DX41" s="294"/>
      <c r="DY41" s="294"/>
      <c r="DZ41" s="294"/>
      <c r="EA41" s="294"/>
      <c r="EB41" s="294"/>
      <c r="EC41" s="294"/>
      <c r="ED41" s="294"/>
      <c r="EE41" s="294"/>
      <c r="EF41" s="294"/>
      <c r="EG41" s="294"/>
      <c r="EH41" s="294"/>
      <c r="EI41" s="294"/>
      <c r="EJ41" s="294"/>
      <c r="EK41" s="294"/>
      <c r="EL41" s="294"/>
      <c r="EM41" s="294"/>
      <c r="EN41" s="294"/>
      <c r="EO41" s="294"/>
      <c r="EP41" s="294"/>
      <c r="EQ41" s="294"/>
      <c r="ER41" s="294"/>
      <c r="ES41" s="294"/>
      <c r="ET41" s="294"/>
      <c r="EU41" s="294"/>
      <c r="EV41" s="294"/>
      <c r="EW41" s="294"/>
      <c r="EX41" s="294"/>
      <c r="EY41" s="294"/>
      <c r="EZ41" s="294"/>
      <c r="FA41" s="294"/>
      <c r="FB41" s="294"/>
      <c r="FC41" s="294"/>
      <c r="FD41" s="294"/>
      <c r="FE41" s="294"/>
      <c r="FF41" s="294"/>
      <c r="FG41" s="294"/>
      <c r="FH41" s="294"/>
      <c r="FI41" s="294"/>
      <c r="FJ41" s="294"/>
      <c r="FK41" s="294"/>
      <c r="FL41" s="294"/>
      <c r="FM41" s="294"/>
      <c r="FN41" s="294"/>
      <c r="FO41" s="294"/>
      <c r="FP41" s="294"/>
      <c r="FQ41" s="294"/>
      <c r="FR41" s="294"/>
      <c r="FS41" s="294"/>
      <c r="FT41" s="294"/>
      <c r="FU41" s="294"/>
      <c r="FV41" s="294"/>
      <c r="FW41" s="294"/>
      <c r="FX41" s="294"/>
      <c r="FY41" s="294"/>
      <c r="FZ41" s="294"/>
      <c r="GA41" s="294"/>
      <c r="GB41" s="294"/>
      <c r="GC41" s="294"/>
      <c r="GD41" s="294"/>
      <c r="GE41" s="294"/>
      <c r="GF41" s="294"/>
      <c r="GG41" s="294"/>
      <c r="GH41" s="294"/>
      <c r="GI41" s="294"/>
      <c r="GJ41" s="294"/>
      <c r="GK41" s="294"/>
      <c r="GL41" s="294"/>
      <c r="GM41" s="294"/>
      <c r="GN41" s="294"/>
      <c r="GO41" s="294"/>
      <c r="GP41" s="294"/>
      <c r="GQ41" s="294"/>
      <c r="GR41" s="294"/>
      <c r="GS41" s="294"/>
      <c r="GT41" s="294"/>
      <c r="GU41" s="294"/>
      <c r="GV41" s="294"/>
      <c r="GW41" s="294"/>
      <c r="GX41" s="294"/>
      <c r="GY41" s="294"/>
      <c r="GZ41" s="294"/>
      <c r="HA41" s="294"/>
      <c r="HB41" s="294"/>
      <c r="HC41" s="294"/>
      <c r="HD41" s="294"/>
      <c r="HE41" s="294"/>
      <c r="HF41" s="294"/>
      <c r="HG41" s="294"/>
      <c r="HH41" s="294"/>
      <c r="HI41" s="294"/>
      <c r="HJ41" s="294"/>
      <c r="HK41" s="294"/>
      <c r="HL41" s="294"/>
      <c r="HM41" s="294"/>
      <c r="HN41" s="294"/>
      <c r="HO41" s="294"/>
      <c r="HP41" s="294"/>
      <c r="HQ41" s="294"/>
      <c r="HR41" s="294"/>
      <c r="HS41" s="294"/>
      <c r="HT41" s="294"/>
      <c r="HU41" s="294"/>
      <c r="HV41" s="294"/>
      <c r="HW41" s="294"/>
      <c r="HX41" s="294"/>
      <c r="HY41" s="294"/>
      <c r="HZ41" s="294"/>
      <c r="IA41" s="294"/>
      <c r="IB41" s="294"/>
      <c r="IC41" s="294"/>
      <c r="ID41" s="294"/>
      <c r="IE41" s="294"/>
      <c r="IF41" s="294"/>
      <c r="IG41" s="294"/>
      <c r="IH41" s="294"/>
      <c r="II41" s="294"/>
      <c r="IJ41" s="294"/>
      <c r="IK41" s="294"/>
      <c r="IL41" s="294"/>
      <c r="IM41" s="294"/>
      <c r="IN41" s="294"/>
      <c r="IO41" s="294"/>
      <c r="IP41" s="294"/>
      <c r="IQ41" s="294"/>
      <c r="IR41" s="294"/>
    </row>
    <row r="42" spans="1:252" ht="14.25">
      <c r="A42" s="292"/>
      <c r="B42" s="322" t="str">
        <f>'Balance Sheet Ann'!E27</f>
        <v>Shareholder Equity</v>
      </c>
      <c r="C42" s="321"/>
      <c r="D42" s="316">
        <f ca="1">'Balance Sheet Ann'!J27</f>
        <v>-524092.80616935901</v>
      </c>
      <c r="E42" s="316">
        <f ca="1">'Balance Sheet Ann'!K27</f>
        <v>-122013.92081704651</v>
      </c>
      <c r="F42" s="316">
        <f ca="1">'Balance Sheet Ann'!L27</f>
        <v>1729637.4415939085</v>
      </c>
      <c r="G42" s="316">
        <f ca="1">'Balance Sheet Ann'!M27</f>
        <v>6831417.5458162762</v>
      </c>
      <c r="H42" s="316">
        <f ca="1">'Balance Sheet Ann'!N27</f>
        <v>18716388.84255733</v>
      </c>
      <c r="I42" s="292"/>
      <c r="J42" s="292"/>
      <c r="K42" s="294"/>
      <c r="L42" s="294"/>
      <c r="M42" s="294"/>
      <c r="N42" s="294"/>
      <c r="O42" s="294"/>
      <c r="P42" s="294"/>
      <c r="Q42" s="294"/>
      <c r="R42" s="294"/>
      <c r="S42" s="294"/>
      <c r="T42" s="294"/>
      <c r="U42" s="294"/>
      <c r="V42" s="294"/>
      <c r="W42" s="294"/>
      <c r="X42" s="294"/>
      <c r="Y42" s="294"/>
      <c r="Z42" s="294"/>
      <c r="AA42" s="294"/>
      <c r="AB42" s="294"/>
      <c r="AC42" s="294"/>
      <c r="AD42" s="294"/>
      <c r="AE42" s="294"/>
      <c r="AF42" s="294"/>
      <c r="AG42" s="294"/>
      <c r="AH42" s="294"/>
      <c r="AI42" s="294"/>
      <c r="AJ42" s="294"/>
      <c r="AK42" s="294"/>
      <c r="AL42" s="294"/>
      <c r="AM42" s="294"/>
      <c r="AN42" s="294"/>
      <c r="AO42" s="294"/>
      <c r="AP42" s="294"/>
      <c r="AQ42" s="294"/>
      <c r="AR42" s="294"/>
      <c r="AS42" s="294"/>
      <c r="AT42" s="294"/>
      <c r="AU42" s="294"/>
      <c r="AV42" s="294"/>
      <c r="AW42" s="294"/>
      <c r="AX42" s="294"/>
      <c r="AY42" s="294"/>
      <c r="AZ42" s="294"/>
      <c r="BA42" s="294"/>
      <c r="BB42" s="294"/>
      <c r="BC42" s="294"/>
      <c r="BD42" s="294"/>
      <c r="BE42" s="294"/>
      <c r="BF42" s="294"/>
      <c r="BG42" s="294"/>
      <c r="BH42" s="294"/>
      <c r="BI42" s="294"/>
      <c r="BJ42" s="294"/>
      <c r="BK42" s="294"/>
      <c r="BL42" s="294"/>
      <c r="BM42" s="294"/>
      <c r="BN42" s="294"/>
      <c r="BO42" s="294"/>
      <c r="BP42" s="294"/>
      <c r="BQ42" s="294"/>
      <c r="BR42" s="294"/>
      <c r="BS42" s="294"/>
      <c r="BT42" s="294"/>
      <c r="BU42" s="294"/>
      <c r="BV42" s="294"/>
      <c r="BW42" s="294"/>
      <c r="BX42" s="294"/>
      <c r="BY42" s="294"/>
      <c r="BZ42" s="294"/>
      <c r="CA42" s="294"/>
      <c r="CB42" s="294"/>
      <c r="CC42" s="294"/>
      <c r="CD42" s="294"/>
      <c r="CE42" s="294"/>
      <c r="CF42" s="294"/>
      <c r="CG42" s="294"/>
      <c r="CH42" s="294"/>
      <c r="CI42" s="294"/>
      <c r="CJ42" s="294"/>
      <c r="CK42" s="294"/>
      <c r="CL42" s="294"/>
      <c r="CM42" s="294"/>
      <c r="CN42" s="294"/>
      <c r="CO42" s="294"/>
      <c r="CP42" s="294"/>
      <c r="CQ42" s="294"/>
      <c r="CR42" s="294"/>
      <c r="CS42" s="294"/>
      <c r="CT42" s="294"/>
      <c r="CU42" s="294"/>
      <c r="CV42" s="294"/>
      <c r="CW42" s="294"/>
      <c r="CX42" s="294"/>
      <c r="CY42" s="294"/>
      <c r="CZ42" s="294"/>
      <c r="DA42" s="294"/>
      <c r="DB42" s="294"/>
      <c r="DC42" s="294"/>
      <c r="DD42" s="294"/>
      <c r="DE42" s="294"/>
      <c r="DF42" s="294"/>
      <c r="DG42" s="294"/>
      <c r="DH42" s="294"/>
      <c r="DI42" s="294"/>
      <c r="DJ42" s="294"/>
      <c r="DK42" s="294"/>
      <c r="DL42" s="294"/>
      <c r="DM42" s="294"/>
      <c r="DN42" s="294"/>
      <c r="DO42" s="294"/>
      <c r="DP42" s="294"/>
      <c r="DQ42" s="294"/>
      <c r="DR42" s="294"/>
      <c r="DS42" s="294"/>
      <c r="DT42" s="294"/>
      <c r="DU42" s="294"/>
      <c r="DV42" s="294"/>
      <c r="DW42" s="294"/>
      <c r="DX42" s="294"/>
      <c r="DY42" s="294"/>
      <c r="DZ42" s="294"/>
      <c r="EA42" s="294"/>
      <c r="EB42" s="294"/>
      <c r="EC42" s="294"/>
      <c r="ED42" s="294"/>
      <c r="EE42" s="294"/>
      <c r="EF42" s="294"/>
      <c r="EG42" s="294"/>
      <c r="EH42" s="294"/>
      <c r="EI42" s="294"/>
      <c r="EJ42" s="294"/>
      <c r="EK42" s="294"/>
      <c r="EL42" s="294"/>
      <c r="EM42" s="294"/>
      <c r="EN42" s="294"/>
      <c r="EO42" s="294"/>
      <c r="EP42" s="294"/>
      <c r="EQ42" s="294"/>
      <c r="ER42" s="294"/>
      <c r="ES42" s="294"/>
      <c r="ET42" s="294"/>
      <c r="EU42" s="294"/>
      <c r="EV42" s="294"/>
      <c r="EW42" s="294"/>
      <c r="EX42" s="294"/>
      <c r="EY42" s="294"/>
      <c r="EZ42" s="294"/>
      <c r="FA42" s="294"/>
      <c r="FB42" s="294"/>
      <c r="FC42" s="294"/>
      <c r="FD42" s="294"/>
      <c r="FE42" s="294"/>
      <c r="FF42" s="294"/>
      <c r="FG42" s="294"/>
      <c r="FH42" s="294"/>
      <c r="FI42" s="294"/>
      <c r="FJ42" s="294"/>
      <c r="FK42" s="294"/>
      <c r="FL42" s="294"/>
      <c r="FM42" s="294"/>
      <c r="FN42" s="294"/>
      <c r="FO42" s="294"/>
      <c r="FP42" s="294"/>
      <c r="FQ42" s="294"/>
      <c r="FR42" s="294"/>
      <c r="FS42" s="294"/>
      <c r="FT42" s="294"/>
      <c r="FU42" s="294"/>
      <c r="FV42" s="294"/>
      <c r="FW42" s="294"/>
      <c r="FX42" s="294"/>
      <c r="FY42" s="294"/>
      <c r="FZ42" s="294"/>
      <c r="GA42" s="294"/>
      <c r="GB42" s="294"/>
      <c r="GC42" s="294"/>
      <c r="GD42" s="294"/>
      <c r="GE42" s="294"/>
      <c r="GF42" s="294"/>
      <c r="GG42" s="294"/>
      <c r="GH42" s="294"/>
      <c r="GI42" s="294"/>
      <c r="GJ42" s="294"/>
      <c r="GK42" s="294"/>
      <c r="GL42" s="294"/>
      <c r="GM42" s="294"/>
      <c r="GN42" s="294"/>
      <c r="GO42" s="294"/>
      <c r="GP42" s="294"/>
      <c r="GQ42" s="294"/>
      <c r="GR42" s="294"/>
      <c r="GS42" s="294"/>
      <c r="GT42" s="294"/>
      <c r="GU42" s="294"/>
      <c r="GV42" s="294"/>
      <c r="GW42" s="294"/>
      <c r="GX42" s="294"/>
      <c r="GY42" s="294"/>
      <c r="GZ42" s="294"/>
      <c r="HA42" s="294"/>
      <c r="HB42" s="294"/>
      <c r="HC42" s="294"/>
      <c r="HD42" s="294"/>
      <c r="HE42" s="294"/>
      <c r="HF42" s="294"/>
      <c r="HG42" s="294"/>
      <c r="HH42" s="294"/>
      <c r="HI42" s="294"/>
      <c r="HJ42" s="294"/>
      <c r="HK42" s="294"/>
      <c r="HL42" s="294"/>
      <c r="HM42" s="294"/>
      <c r="HN42" s="294"/>
      <c r="HO42" s="294"/>
      <c r="HP42" s="294"/>
      <c r="HQ42" s="294"/>
      <c r="HR42" s="294"/>
      <c r="HS42" s="294"/>
      <c r="HT42" s="294"/>
      <c r="HU42" s="294"/>
      <c r="HV42" s="294"/>
      <c r="HW42" s="294"/>
      <c r="HX42" s="294"/>
      <c r="HY42" s="294"/>
      <c r="HZ42" s="294"/>
      <c r="IA42" s="294"/>
      <c r="IB42" s="294"/>
      <c r="IC42" s="294"/>
      <c r="ID42" s="294"/>
      <c r="IE42" s="294"/>
      <c r="IF42" s="294"/>
      <c r="IG42" s="294"/>
      <c r="IH42" s="294"/>
      <c r="II42" s="294"/>
      <c r="IJ42" s="294"/>
      <c r="IK42" s="294"/>
      <c r="IL42" s="294"/>
      <c r="IM42" s="294"/>
      <c r="IN42" s="294"/>
      <c r="IO42" s="294"/>
      <c r="IP42" s="294"/>
      <c r="IQ42" s="294"/>
      <c r="IR42" s="294"/>
    </row>
    <row r="43" spans="1:252" ht="14.25">
      <c r="A43" s="292"/>
      <c r="C43" s="292"/>
      <c r="D43" s="317"/>
      <c r="E43" s="317"/>
      <c r="F43" s="317"/>
      <c r="G43" s="317"/>
      <c r="H43" s="317"/>
      <c r="I43" s="292"/>
      <c r="J43" s="292"/>
      <c r="K43" s="294"/>
      <c r="L43" s="294"/>
      <c r="M43" s="294"/>
      <c r="N43" s="294"/>
      <c r="O43" s="294"/>
      <c r="P43" s="294"/>
      <c r="Q43" s="294"/>
      <c r="R43" s="294"/>
      <c r="S43" s="294"/>
      <c r="T43" s="294"/>
      <c r="U43" s="294"/>
      <c r="V43" s="294"/>
      <c r="W43" s="294"/>
      <c r="X43" s="294"/>
      <c r="Y43" s="294"/>
      <c r="Z43" s="294"/>
      <c r="AA43" s="294"/>
      <c r="AB43" s="294"/>
      <c r="AC43" s="294"/>
      <c r="AD43" s="294"/>
      <c r="AE43" s="294"/>
      <c r="AF43" s="294"/>
      <c r="AG43" s="294"/>
      <c r="AH43" s="294"/>
      <c r="AI43" s="294"/>
      <c r="AJ43" s="294"/>
      <c r="AK43" s="294"/>
      <c r="AL43" s="294"/>
      <c r="AM43" s="294"/>
      <c r="AN43" s="294"/>
      <c r="AO43" s="294"/>
      <c r="AP43" s="294"/>
      <c r="AQ43" s="294"/>
      <c r="AR43" s="294"/>
      <c r="AS43" s="294"/>
      <c r="AT43" s="294"/>
      <c r="AU43" s="294"/>
      <c r="AV43" s="294"/>
      <c r="AW43" s="294"/>
      <c r="AX43" s="294"/>
      <c r="AY43" s="294"/>
      <c r="AZ43" s="294"/>
      <c r="BA43" s="294"/>
      <c r="BB43" s="294"/>
      <c r="BC43" s="294"/>
      <c r="BD43" s="294"/>
      <c r="BE43" s="294"/>
      <c r="BF43" s="294"/>
      <c r="BG43" s="294"/>
      <c r="BH43" s="294"/>
      <c r="BI43" s="294"/>
      <c r="BJ43" s="294"/>
      <c r="BK43" s="294"/>
      <c r="BL43" s="294"/>
      <c r="BM43" s="294"/>
      <c r="BN43" s="294"/>
      <c r="BO43" s="294"/>
      <c r="BP43" s="294"/>
      <c r="BQ43" s="294"/>
      <c r="BR43" s="294"/>
      <c r="BS43" s="294"/>
      <c r="BT43" s="294"/>
      <c r="BU43" s="294"/>
      <c r="BV43" s="294"/>
      <c r="BW43" s="294"/>
      <c r="BX43" s="294"/>
      <c r="BY43" s="294"/>
      <c r="BZ43" s="294"/>
      <c r="CA43" s="294"/>
      <c r="CB43" s="294"/>
      <c r="CC43" s="294"/>
      <c r="CD43" s="294"/>
      <c r="CE43" s="294"/>
      <c r="CF43" s="294"/>
      <c r="CG43" s="294"/>
      <c r="CH43" s="294"/>
      <c r="CI43" s="294"/>
      <c r="CJ43" s="294"/>
      <c r="CK43" s="294"/>
      <c r="CL43" s="294"/>
      <c r="CM43" s="294"/>
      <c r="CN43" s="294"/>
      <c r="CO43" s="294"/>
      <c r="CP43" s="294"/>
      <c r="CQ43" s="294"/>
      <c r="CR43" s="294"/>
      <c r="CS43" s="294"/>
      <c r="CT43" s="294"/>
      <c r="CU43" s="294"/>
      <c r="CV43" s="294"/>
      <c r="CW43" s="294"/>
      <c r="CX43" s="294"/>
      <c r="CY43" s="294"/>
      <c r="CZ43" s="294"/>
      <c r="DA43" s="294"/>
      <c r="DB43" s="294"/>
      <c r="DC43" s="294"/>
      <c r="DD43" s="294"/>
      <c r="DE43" s="294"/>
      <c r="DF43" s="294"/>
      <c r="DG43" s="294"/>
      <c r="DH43" s="294"/>
      <c r="DI43" s="294"/>
      <c r="DJ43" s="294"/>
      <c r="DK43" s="294"/>
      <c r="DL43" s="294"/>
      <c r="DM43" s="294"/>
      <c r="DN43" s="294"/>
      <c r="DO43" s="294"/>
      <c r="DP43" s="294"/>
      <c r="DQ43" s="294"/>
      <c r="DR43" s="294"/>
      <c r="DS43" s="294"/>
      <c r="DT43" s="294"/>
      <c r="DU43" s="294"/>
      <c r="DV43" s="294"/>
      <c r="DW43" s="294"/>
      <c r="DX43" s="294"/>
      <c r="DY43" s="294"/>
      <c r="DZ43" s="294"/>
      <c r="EA43" s="294"/>
      <c r="EB43" s="294"/>
      <c r="EC43" s="294"/>
      <c r="ED43" s="294"/>
      <c r="EE43" s="294"/>
      <c r="EF43" s="294"/>
      <c r="EG43" s="294"/>
      <c r="EH43" s="294"/>
      <c r="EI43" s="294"/>
      <c r="EJ43" s="294"/>
      <c r="EK43" s="294"/>
      <c r="EL43" s="294"/>
      <c r="EM43" s="294"/>
      <c r="EN43" s="294"/>
      <c r="EO43" s="294"/>
      <c r="EP43" s="294"/>
      <c r="EQ43" s="294"/>
      <c r="ER43" s="294"/>
      <c r="ES43" s="294"/>
      <c r="ET43" s="294"/>
      <c r="EU43" s="294"/>
      <c r="EV43" s="294"/>
      <c r="EW43" s="294"/>
      <c r="EX43" s="294"/>
      <c r="EY43" s="294"/>
      <c r="EZ43" s="294"/>
      <c r="FA43" s="294"/>
      <c r="FB43" s="294"/>
      <c r="FC43" s="294"/>
      <c r="FD43" s="294"/>
      <c r="FE43" s="294"/>
      <c r="FF43" s="294"/>
      <c r="FG43" s="294"/>
      <c r="FH43" s="294"/>
      <c r="FI43" s="294"/>
      <c r="FJ43" s="294"/>
      <c r="FK43" s="294"/>
      <c r="FL43" s="294"/>
      <c r="FM43" s="294"/>
      <c r="FN43" s="294"/>
      <c r="FO43" s="294"/>
      <c r="FP43" s="294"/>
      <c r="FQ43" s="294"/>
      <c r="FR43" s="294"/>
      <c r="FS43" s="294"/>
      <c r="FT43" s="294"/>
      <c r="FU43" s="294"/>
      <c r="FV43" s="294"/>
      <c r="FW43" s="294"/>
      <c r="FX43" s="294"/>
      <c r="FY43" s="294"/>
      <c r="FZ43" s="294"/>
      <c r="GA43" s="294"/>
      <c r="GB43" s="294"/>
      <c r="GC43" s="294"/>
      <c r="GD43" s="294"/>
      <c r="GE43" s="294"/>
      <c r="GF43" s="294"/>
      <c r="GG43" s="294"/>
      <c r="GH43" s="294"/>
      <c r="GI43" s="294"/>
      <c r="GJ43" s="294"/>
      <c r="GK43" s="294"/>
      <c r="GL43" s="294"/>
      <c r="GM43" s="294"/>
      <c r="GN43" s="294"/>
      <c r="GO43" s="294"/>
      <c r="GP43" s="294"/>
      <c r="GQ43" s="294"/>
      <c r="GR43" s="294"/>
      <c r="GS43" s="294"/>
      <c r="GT43" s="294"/>
      <c r="GU43" s="294"/>
      <c r="GV43" s="294"/>
      <c r="GW43" s="294"/>
      <c r="GX43" s="294"/>
      <c r="GY43" s="294"/>
      <c r="GZ43" s="294"/>
      <c r="HA43" s="294"/>
      <c r="HB43" s="294"/>
      <c r="HC43" s="294"/>
      <c r="HD43" s="294"/>
      <c r="HE43" s="294"/>
      <c r="HF43" s="294"/>
      <c r="HG43" s="294"/>
      <c r="HH43" s="294"/>
      <c r="HI43" s="294"/>
      <c r="HJ43" s="294"/>
      <c r="HK43" s="294"/>
      <c r="HL43" s="294"/>
      <c r="HM43" s="294"/>
      <c r="HN43" s="294"/>
      <c r="HO43" s="294"/>
      <c r="HP43" s="294"/>
      <c r="HQ43" s="294"/>
      <c r="HR43" s="294"/>
      <c r="HS43" s="294"/>
      <c r="HT43" s="294"/>
      <c r="HU43" s="294"/>
      <c r="HV43" s="294"/>
      <c r="HW43" s="294"/>
      <c r="HX43" s="294"/>
      <c r="HY43" s="294"/>
      <c r="HZ43" s="294"/>
      <c r="IA43" s="294"/>
      <c r="IB43" s="294"/>
      <c r="IC43" s="294"/>
      <c r="ID43" s="294"/>
      <c r="IE43" s="294"/>
      <c r="IF43" s="294"/>
      <c r="IG43" s="294"/>
      <c r="IH43" s="294"/>
      <c r="II43" s="294"/>
      <c r="IJ43" s="294"/>
      <c r="IK43" s="294"/>
      <c r="IL43" s="294"/>
      <c r="IM43" s="294"/>
      <c r="IN43" s="294"/>
      <c r="IO43" s="294"/>
      <c r="IP43" s="294"/>
      <c r="IQ43" s="294"/>
      <c r="IR43" s="294"/>
    </row>
    <row r="44" spans="1:252" ht="14.25">
      <c r="A44" s="292"/>
      <c r="B44" s="292"/>
      <c r="C44" s="292"/>
      <c r="D44" s="318"/>
      <c r="E44" s="318"/>
      <c r="F44" s="318"/>
      <c r="G44" s="318"/>
      <c r="H44" s="318"/>
      <c r="I44" s="292"/>
      <c r="J44" s="292"/>
      <c r="K44" s="294"/>
      <c r="L44" s="294"/>
      <c r="M44" s="294"/>
      <c r="N44" s="294"/>
      <c r="O44" s="294"/>
      <c r="P44" s="294"/>
      <c r="Q44" s="294"/>
      <c r="R44" s="294"/>
      <c r="S44" s="294"/>
      <c r="T44" s="294"/>
      <c r="U44" s="294"/>
      <c r="V44" s="294"/>
      <c r="W44" s="294"/>
      <c r="X44" s="294"/>
      <c r="Y44" s="294"/>
      <c r="Z44" s="294"/>
      <c r="AA44" s="294"/>
      <c r="AB44" s="294"/>
      <c r="AC44" s="294"/>
      <c r="AD44" s="294"/>
      <c r="AE44" s="294"/>
      <c r="AF44" s="294"/>
      <c r="AG44" s="294"/>
      <c r="AH44" s="294"/>
      <c r="AI44" s="294"/>
      <c r="AJ44" s="294"/>
      <c r="AK44" s="294"/>
      <c r="AL44" s="294"/>
      <c r="AM44" s="294"/>
      <c r="AN44" s="294"/>
      <c r="AO44" s="294"/>
      <c r="AP44" s="294"/>
      <c r="AQ44" s="294"/>
      <c r="AR44" s="294"/>
      <c r="AS44" s="294"/>
      <c r="AT44" s="294"/>
      <c r="AU44" s="294"/>
      <c r="AV44" s="294"/>
      <c r="AW44" s="294"/>
      <c r="AX44" s="294"/>
      <c r="AY44" s="294"/>
      <c r="AZ44" s="294"/>
      <c r="BA44" s="294"/>
      <c r="BB44" s="294"/>
      <c r="BC44" s="294"/>
      <c r="BD44" s="294"/>
      <c r="BE44" s="294"/>
      <c r="BF44" s="294"/>
      <c r="BG44" s="294"/>
      <c r="BH44" s="294"/>
      <c r="BI44" s="294"/>
      <c r="BJ44" s="294"/>
      <c r="BK44" s="294"/>
      <c r="BL44" s="294"/>
      <c r="BM44" s="294"/>
      <c r="BN44" s="294"/>
      <c r="BO44" s="294"/>
      <c r="BP44" s="294"/>
      <c r="BQ44" s="294"/>
      <c r="BR44" s="294"/>
      <c r="BS44" s="294"/>
      <c r="BT44" s="294"/>
      <c r="BU44" s="294"/>
      <c r="BV44" s="294"/>
      <c r="BW44" s="294"/>
      <c r="BX44" s="294"/>
      <c r="BY44" s="294"/>
      <c r="BZ44" s="294"/>
      <c r="CA44" s="294"/>
      <c r="CB44" s="294"/>
      <c r="CC44" s="294"/>
      <c r="CD44" s="294"/>
      <c r="CE44" s="294"/>
      <c r="CF44" s="294"/>
      <c r="CG44" s="294"/>
      <c r="CH44" s="294"/>
      <c r="CI44" s="294"/>
      <c r="CJ44" s="294"/>
      <c r="CK44" s="294"/>
      <c r="CL44" s="294"/>
      <c r="CM44" s="294"/>
      <c r="CN44" s="294"/>
      <c r="CO44" s="294"/>
      <c r="CP44" s="294"/>
      <c r="CQ44" s="294"/>
      <c r="CR44" s="294"/>
      <c r="CS44" s="294"/>
      <c r="CT44" s="294"/>
      <c r="CU44" s="294"/>
      <c r="CV44" s="294"/>
      <c r="CW44" s="294"/>
      <c r="CX44" s="294"/>
      <c r="CY44" s="294"/>
      <c r="CZ44" s="294"/>
      <c r="DA44" s="294"/>
      <c r="DB44" s="294"/>
      <c r="DC44" s="294"/>
      <c r="DD44" s="294"/>
      <c r="DE44" s="294"/>
      <c r="DF44" s="294"/>
      <c r="DG44" s="294"/>
      <c r="DH44" s="294"/>
      <c r="DI44" s="294"/>
      <c r="DJ44" s="294"/>
      <c r="DK44" s="294"/>
      <c r="DL44" s="294"/>
      <c r="DM44" s="294"/>
      <c r="DN44" s="294"/>
      <c r="DO44" s="294"/>
      <c r="DP44" s="294"/>
      <c r="DQ44" s="294"/>
      <c r="DR44" s="294"/>
      <c r="DS44" s="294"/>
      <c r="DT44" s="294"/>
      <c r="DU44" s="294"/>
      <c r="DV44" s="294"/>
      <c r="DW44" s="294"/>
      <c r="DX44" s="294"/>
      <c r="DY44" s="294"/>
      <c r="DZ44" s="294"/>
      <c r="EA44" s="294"/>
      <c r="EB44" s="294"/>
      <c r="EC44" s="294"/>
      <c r="ED44" s="294"/>
      <c r="EE44" s="294"/>
      <c r="EF44" s="294"/>
      <c r="EG44" s="294"/>
      <c r="EH44" s="294"/>
      <c r="EI44" s="294"/>
      <c r="EJ44" s="294"/>
      <c r="EK44" s="294"/>
      <c r="EL44" s="294"/>
      <c r="EM44" s="294"/>
      <c r="EN44" s="294"/>
      <c r="EO44" s="294"/>
      <c r="EP44" s="294"/>
      <c r="EQ44" s="294"/>
      <c r="ER44" s="294"/>
      <c r="ES44" s="294"/>
      <c r="ET44" s="294"/>
      <c r="EU44" s="294"/>
      <c r="EV44" s="294"/>
      <c r="EW44" s="294"/>
      <c r="EX44" s="294"/>
      <c r="EY44" s="294"/>
      <c r="EZ44" s="294"/>
      <c r="FA44" s="294"/>
      <c r="FB44" s="294"/>
      <c r="FC44" s="294"/>
      <c r="FD44" s="294"/>
      <c r="FE44" s="294"/>
      <c r="FF44" s="294"/>
      <c r="FG44" s="294"/>
      <c r="FH44" s="294"/>
      <c r="FI44" s="294"/>
      <c r="FJ44" s="294"/>
      <c r="FK44" s="294"/>
      <c r="FL44" s="294"/>
      <c r="FM44" s="294"/>
      <c r="FN44" s="294"/>
      <c r="FO44" s="294"/>
      <c r="FP44" s="294"/>
      <c r="FQ44" s="294"/>
      <c r="FR44" s="294"/>
      <c r="FS44" s="294"/>
      <c r="FT44" s="294"/>
      <c r="FU44" s="294"/>
      <c r="FV44" s="294"/>
      <c r="FW44" s="294"/>
      <c r="FX44" s="294"/>
      <c r="FY44" s="294"/>
      <c r="FZ44" s="294"/>
      <c r="GA44" s="294"/>
      <c r="GB44" s="294"/>
      <c r="GC44" s="294"/>
      <c r="GD44" s="294"/>
      <c r="GE44" s="294"/>
      <c r="GF44" s="294"/>
      <c r="GG44" s="294"/>
      <c r="GH44" s="294"/>
      <c r="GI44" s="294"/>
      <c r="GJ44" s="294"/>
      <c r="GK44" s="294"/>
      <c r="GL44" s="294"/>
      <c r="GM44" s="294"/>
      <c r="GN44" s="294"/>
      <c r="GO44" s="294"/>
      <c r="GP44" s="294"/>
      <c r="GQ44" s="294"/>
      <c r="GR44" s="294"/>
      <c r="GS44" s="294"/>
      <c r="GT44" s="294"/>
      <c r="GU44" s="294"/>
      <c r="GV44" s="294"/>
      <c r="GW44" s="294"/>
      <c r="GX44" s="294"/>
      <c r="GY44" s="294"/>
      <c r="GZ44" s="294"/>
      <c r="HA44" s="294"/>
      <c r="HB44" s="294"/>
      <c r="HC44" s="294"/>
      <c r="HD44" s="294"/>
      <c r="HE44" s="294"/>
      <c r="HF44" s="294"/>
      <c r="HG44" s="294"/>
      <c r="HH44" s="294"/>
      <c r="HI44" s="294"/>
      <c r="HJ44" s="294"/>
      <c r="HK44" s="294"/>
      <c r="HL44" s="294"/>
      <c r="HM44" s="294"/>
      <c r="HN44" s="294"/>
      <c r="HO44" s="294"/>
      <c r="HP44" s="294"/>
      <c r="HQ44" s="294"/>
      <c r="HR44" s="294"/>
      <c r="HS44" s="294"/>
      <c r="HT44" s="294"/>
      <c r="HU44" s="294"/>
      <c r="HV44" s="294"/>
      <c r="HW44" s="294"/>
      <c r="HX44" s="294"/>
      <c r="HY44" s="294"/>
      <c r="HZ44" s="294"/>
      <c r="IA44" s="294"/>
      <c r="IB44" s="294"/>
      <c r="IC44" s="294"/>
      <c r="ID44" s="294"/>
      <c r="IE44" s="294"/>
      <c r="IF44" s="294"/>
      <c r="IG44" s="294"/>
      <c r="IH44" s="294"/>
      <c r="II44" s="294"/>
      <c r="IJ44" s="294"/>
      <c r="IK44" s="294"/>
      <c r="IL44" s="294"/>
      <c r="IM44" s="294"/>
      <c r="IN44" s="294"/>
      <c r="IO44" s="294"/>
      <c r="IP44" s="294"/>
      <c r="IQ44" s="294"/>
      <c r="IR44" s="294"/>
    </row>
    <row r="45" spans="1:252" s="315" customFormat="1" ht="14.25">
      <c r="A45" s="295"/>
      <c r="B45" s="336" t="s">
        <v>344</v>
      </c>
      <c r="C45" s="335"/>
      <c r="D45" s="337">
        <f>'Cashflow Ann'!J2</f>
        <v>45412</v>
      </c>
      <c r="E45" s="337">
        <f>'Cashflow Ann'!K2</f>
        <v>45777</v>
      </c>
      <c r="F45" s="337">
        <f>'Cashflow Ann'!L2</f>
        <v>46142</v>
      </c>
      <c r="G45" s="337">
        <f>'Cashflow Ann'!M2</f>
        <v>46507</v>
      </c>
      <c r="H45" s="337">
        <f>'Cashflow Ann'!N2</f>
        <v>46873</v>
      </c>
      <c r="I45" s="295"/>
      <c r="J45" s="295"/>
      <c r="K45" s="295"/>
      <c r="L45" s="295"/>
      <c r="M45" s="295"/>
      <c r="N45" s="295"/>
      <c r="O45" s="295"/>
      <c r="P45" s="295"/>
      <c r="Q45" s="295"/>
      <c r="R45" s="295"/>
      <c r="S45" s="295"/>
      <c r="T45" s="295"/>
      <c r="U45" s="295"/>
      <c r="V45" s="295"/>
      <c r="W45" s="295"/>
      <c r="X45" s="295"/>
      <c r="Y45" s="295"/>
      <c r="Z45" s="295"/>
      <c r="AA45" s="295"/>
      <c r="AB45" s="295"/>
      <c r="AC45" s="295"/>
      <c r="AD45" s="295"/>
      <c r="AE45" s="295"/>
      <c r="AF45" s="295"/>
      <c r="AG45" s="295"/>
      <c r="AH45" s="295"/>
      <c r="AI45" s="295"/>
      <c r="AJ45" s="295"/>
      <c r="AK45" s="295"/>
      <c r="AL45" s="295"/>
      <c r="AM45" s="295"/>
      <c r="AN45" s="295"/>
      <c r="AO45" s="295"/>
      <c r="AP45" s="295"/>
      <c r="AQ45" s="295"/>
      <c r="AR45" s="295"/>
      <c r="AS45" s="295"/>
      <c r="AT45" s="295"/>
      <c r="AU45" s="295"/>
      <c r="AV45" s="295"/>
      <c r="AW45" s="295"/>
      <c r="AX45" s="295"/>
      <c r="AY45" s="295"/>
      <c r="AZ45" s="295"/>
      <c r="BA45" s="295"/>
      <c r="BB45" s="295"/>
      <c r="BC45" s="295"/>
      <c r="BD45" s="295"/>
      <c r="BE45" s="295"/>
      <c r="BF45" s="295"/>
      <c r="BG45" s="295"/>
      <c r="BH45" s="295"/>
      <c r="BI45" s="295"/>
      <c r="BJ45" s="295"/>
      <c r="BK45" s="295"/>
      <c r="BL45" s="295"/>
      <c r="BM45" s="295"/>
      <c r="BN45" s="295"/>
      <c r="BO45" s="295"/>
      <c r="BP45" s="295"/>
      <c r="BQ45" s="295"/>
      <c r="BR45" s="295"/>
      <c r="BS45" s="295"/>
      <c r="BT45" s="295"/>
      <c r="BU45" s="295"/>
      <c r="BV45" s="295"/>
      <c r="BW45" s="295"/>
      <c r="BX45" s="295"/>
      <c r="BY45" s="295"/>
      <c r="BZ45" s="295"/>
      <c r="CA45" s="295"/>
      <c r="CB45" s="295"/>
      <c r="CC45" s="295"/>
      <c r="CD45" s="295"/>
      <c r="CE45" s="295"/>
      <c r="CF45" s="295"/>
      <c r="CG45" s="295"/>
      <c r="CH45" s="295"/>
      <c r="CI45" s="295"/>
      <c r="CJ45" s="295"/>
      <c r="CK45" s="295"/>
      <c r="CL45" s="295"/>
      <c r="CM45" s="295"/>
      <c r="CN45" s="295"/>
      <c r="CO45" s="295"/>
      <c r="CP45" s="295"/>
      <c r="CQ45" s="295"/>
      <c r="CR45" s="295"/>
      <c r="CS45" s="295"/>
      <c r="CT45" s="295"/>
      <c r="CU45" s="295"/>
      <c r="CV45" s="295"/>
      <c r="CW45" s="295"/>
      <c r="CX45" s="295"/>
      <c r="CY45" s="295"/>
      <c r="CZ45" s="295"/>
      <c r="DA45" s="295"/>
      <c r="DB45" s="295"/>
      <c r="DC45" s="295"/>
      <c r="DD45" s="295"/>
      <c r="DE45" s="295"/>
      <c r="DF45" s="295"/>
      <c r="DG45" s="295"/>
      <c r="DH45" s="295"/>
      <c r="DI45" s="295"/>
      <c r="DJ45" s="295"/>
      <c r="DK45" s="295"/>
      <c r="DL45" s="295"/>
      <c r="DM45" s="295"/>
      <c r="DN45" s="295"/>
      <c r="DO45" s="295"/>
      <c r="DP45" s="295"/>
      <c r="DQ45" s="295"/>
      <c r="DR45" s="295"/>
      <c r="DS45" s="295"/>
      <c r="DT45" s="295"/>
      <c r="DU45" s="295"/>
      <c r="DV45" s="295"/>
      <c r="DW45" s="295"/>
      <c r="DX45" s="295"/>
      <c r="DY45" s="295"/>
      <c r="DZ45" s="295"/>
      <c r="EA45" s="295"/>
      <c r="EB45" s="295"/>
      <c r="EC45" s="295"/>
      <c r="ED45" s="295"/>
      <c r="EE45" s="295"/>
      <c r="EF45" s="295"/>
      <c r="EG45" s="295"/>
      <c r="EH45" s="295"/>
      <c r="EI45" s="295"/>
      <c r="EJ45" s="295"/>
      <c r="EK45" s="295"/>
      <c r="EL45" s="295"/>
      <c r="EM45" s="295"/>
      <c r="EN45" s="295"/>
      <c r="EO45" s="295"/>
      <c r="EP45" s="295"/>
      <c r="EQ45" s="295"/>
      <c r="ER45" s="295"/>
      <c r="ES45" s="295"/>
      <c r="ET45" s="295"/>
      <c r="EU45" s="295"/>
      <c r="EV45" s="295"/>
      <c r="EW45" s="295"/>
      <c r="EX45" s="295"/>
      <c r="EY45" s="295"/>
      <c r="EZ45" s="295"/>
      <c r="FA45" s="295"/>
      <c r="FB45" s="295"/>
      <c r="FC45" s="295"/>
      <c r="FD45" s="295"/>
      <c r="FE45" s="295"/>
      <c r="FF45" s="295"/>
      <c r="FG45" s="295"/>
      <c r="FH45" s="295"/>
      <c r="FI45" s="295"/>
      <c r="FJ45" s="295"/>
      <c r="FK45" s="295"/>
      <c r="FL45" s="295"/>
      <c r="FM45" s="295"/>
      <c r="FN45" s="295"/>
      <c r="FO45" s="295"/>
      <c r="FP45" s="295"/>
      <c r="FQ45" s="295"/>
      <c r="FR45" s="295"/>
      <c r="FS45" s="295"/>
      <c r="FT45" s="295"/>
      <c r="FU45" s="295"/>
      <c r="FV45" s="295"/>
      <c r="FW45" s="295"/>
      <c r="FX45" s="295"/>
      <c r="FY45" s="295"/>
      <c r="FZ45" s="295"/>
      <c r="GA45" s="295"/>
      <c r="GB45" s="295"/>
      <c r="GC45" s="295"/>
      <c r="GD45" s="295"/>
      <c r="GE45" s="295"/>
      <c r="GF45" s="295"/>
      <c r="GG45" s="295"/>
      <c r="GH45" s="295"/>
      <c r="GI45" s="295"/>
      <c r="GJ45" s="295"/>
      <c r="GK45" s="295"/>
      <c r="GL45" s="295"/>
      <c r="GM45" s="295"/>
      <c r="GN45" s="295"/>
      <c r="GO45" s="295"/>
      <c r="GP45" s="295"/>
      <c r="GQ45" s="295"/>
      <c r="GR45" s="295"/>
      <c r="GS45" s="295"/>
      <c r="GT45" s="295"/>
      <c r="GU45" s="295"/>
      <c r="GV45" s="295"/>
      <c r="GW45" s="295"/>
      <c r="GX45" s="295"/>
      <c r="GY45" s="295"/>
      <c r="GZ45" s="295"/>
      <c r="HA45" s="295"/>
      <c r="HB45" s="295"/>
      <c r="HC45" s="295"/>
      <c r="HD45" s="295"/>
      <c r="HE45" s="295"/>
      <c r="HF45" s="295"/>
      <c r="HG45" s="295"/>
      <c r="HH45" s="295"/>
      <c r="HI45" s="295"/>
      <c r="HJ45" s="295"/>
      <c r="HK45" s="295"/>
      <c r="HL45" s="295"/>
      <c r="HM45" s="295"/>
      <c r="HN45" s="295"/>
      <c r="HO45" s="295"/>
      <c r="HP45" s="295"/>
      <c r="HQ45" s="295"/>
      <c r="HR45" s="295"/>
      <c r="HS45" s="295"/>
      <c r="HT45" s="295"/>
      <c r="HU45" s="295"/>
      <c r="HV45" s="295"/>
      <c r="HW45" s="295"/>
      <c r="HX45" s="295"/>
      <c r="HY45" s="295"/>
      <c r="HZ45" s="295"/>
      <c r="IA45" s="295"/>
      <c r="IB45" s="295"/>
      <c r="IC45" s="295"/>
      <c r="ID45" s="295"/>
      <c r="IE45" s="295"/>
      <c r="IF45" s="295"/>
      <c r="IG45" s="295"/>
      <c r="IH45" s="295"/>
      <c r="II45" s="295"/>
      <c r="IJ45" s="295"/>
      <c r="IK45" s="295"/>
      <c r="IL45" s="295"/>
      <c r="IM45" s="295"/>
      <c r="IN45" s="295"/>
      <c r="IO45" s="295"/>
      <c r="IP45" s="295"/>
      <c r="IQ45" s="295"/>
      <c r="IR45" s="295"/>
    </row>
    <row r="46" spans="1:252" ht="14.25">
      <c r="A46" s="292"/>
      <c r="B46" s="292"/>
      <c r="C46" s="292"/>
      <c r="D46" s="318"/>
      <c r="E46" s="318"/>
      <c r="F46" s="318"/>
      <c r="G46" s="318"/>
      <c r="H46" s="318"/>
      <c r="I46" s="292"/>
      <c r="J46" s="292"/>
      <c r="K46" s="294"/>
      <c r="L46" s="294"/>
      <c r="M46" s="294"/>
      <c r="N46" s="294"/>
      <c r="O46" s="294"/>
      <c r="P46" s="294"/>
      <c r="Q46" s="294"/>
      <c r="R46" s="294"/>
      <c r="S46" s="294"/>
      <c r="T46" s="294"/>
      <c r="U46" s="294"/>
      <c r="V46" s="294"/>
      <c r="W46" s="294"/>
      <c r="X46" s="294"/>
      <c r="Y46" s="294"/>
      <c r="Z46" s="294"/>
      <c r="AA46" s="294"/>
      <c r="AB46" s="294"/>
      <c r="AC46" s="294"/>
      <c r="AD46" s="294"/>
      <c r="AE46" s="294"/>
      <c r="AF46" s="294"/>
      <c r="AG46" s="294"/>
      <c r="AH46" s="294"/>
      <c r="AI46" s="294"/>
      <c r="AJ46" s="294"/>
      <c r="AK46" s="294"/>
      <c r="AL46" s="294"/>
      <c r="AM46" s="294"/>
      <c r="AN46" s="294"/>
      <c r="AO46" s="294"/>
      <c r="AP46" s="294"/>
      <c r="AQ46" s="294"/>
      <c r="AR46" s="294"/>
      <c r="AS46" s="294"/>
      <c r="AT46" s="294"/>
      <c r="AU46" s="294"/>
      <c r="AV46" s="294"/>
      <c r="AW46" s="294"/>
      <c r="AX46" s="294"/>
      <c r="AY46" s="294"/>
      <c r="AZ46" s="294"/>
      <c r="BA46" s="294"/>
      <c r="BB46" s="294"/>
      <c r="BC46" s="294"/>
      <c r="BD46" s="294"/>
      <c r="BE46" s="294"/>
      <c r="BF46" s="294"/>
      <c r="BG46" s="294"/>
      <c r="BH46" s="294"/>
      <c r="BI46" s="294"/>
      <c r="BJ46" s="294"/>
      <c r="BK46" s="294"/>
      <c r="BL46" s="294"/>
      <c r="BM46" s="294"/>
      <c r="BN46" s="294"/>
      <c r="BO46" s="294"/>
      <c r="BP46" s="294"/>
      <c r="BQ46" s="294"/>
      <c r="BR46" s="294"/>
      <c r="BS46" s="294"/>
      <c r="BT46" s="294"/>
      <c r="BU46" s="294"/>
      <c r="BV46" s="294"/>
      <c r="BW46" s="294"/>
      <c r="BX46" s="294"/>
      <c r="BY46" s="294"/>
      <c r="BZ46" s="294"/>
      <c r="CA46" s="294"/>
      <c r="CB46" s="294"/>
      <c r="CC46" s="294"/>
      <c r="CD46" s="294"/>
      <c r="CE46" s="294"/>
      <c r="CF46" s="294"/>
      <c r="CG46" s="294"/>
      <c r="CH46" s="294"/>
      <c r="CI46" s="294"/>
      <c r="CJ46" s="294"/>
      <c r="CK46" s="294"/>
      <c r="CL46" s="294"/>
      <c r="CM46" s="294"/>
      <c r="CN46" s="294"/>
      <c r="CO46" s="294"/>
      <c r="CP46" s="294"/>
      <c r="CQ46" s="294"/>
      <c r="CR46" s="294"/>
      <c r="CS46" s="294"/>
      <c r="CT46" s="294"/>
      <c r="CU46" s="294"/>
      <c r="CV46" s="294"/>
      <c r="CW46" s="294"/>
      <c r="CX46" s="294"/>
      <c r="CY46" s="294"/>
      <c r="CZ46" s="294"/>
      <c r="DA46" s="294"/>
      <c r="DB46" s="294"/>
      <c r="DC46" s="294"/>
      <c r="DD46" s="294"/>
      <c r="DE46" s="294"/>
      <c r="DF46" s="294"/>
      <c r="DG46" s="294"/>
      <c r="DH46" s="294"/>
      <c r="DI46" s="294"/>
      <c r="DJ46" s="294"/>
      <c r="DK46" s="294"/>
      <c r="DL46" s="294"/>
      <c r="DM46" s="294"/>
      <c r="DN46" s="294"/>
      <c r="DO46" s="294"/>
      <c r="DP46" s="294"/>
      <c r="DQ46" s="294"/>
      <c r="DR46" s="294"/>
      <c r="DS46" s="294"/>
      <c r="DT46" s="294"/>
      <c r="DU46" s="294"/>
      <c r="DV46" s="294"/>
      <c r="DW46" s="294"/>
      <c r="DX46" s="294"/>
      <c r="DY46" s="294"/>
      <c r="DZ46" s="294"/>
      <c r="EA46" s="294"/>
      <c r="EB46" s="294"/>
      <c r="EC46" s="294"/>
      <c r="ED46" s="294"/>
      <c r="EE46" s="294"/>
      <c r="EF46" s="294"/>
      <c r="EG46" s="294"/>
      <c r="EH46" s="294"/>
      <c r="EI46" s="294"/>
      <c r="EJ46" s="294"/>
      <c r="EK46" s="294"/>
      <c r="EL46" s="294"/>
      <c r="EM46" s="294"/>
      <c r="EN46" s="294"/>
      <c r="EO46" s="294"/>
      <c r="EP46" s="294"/>
      <c r="EQ46" s="294"/>
      <c r="ER46" s="294"/>
      <c r="ES46" s="294"/>
      <c r="ET46" s="294"/>
      <c r="EU46" s="294"/>
      <c r="EV46" s="294"/>
      <c r="EW46" s="294"/>
      <c r="EX46" s="294"/>
      <c r="EY46" s="294"/>
      <c r="EZ46" s="294"/>
      <c r="FA46" s="294"/>
      <c r="FB46" s="294"/>
      <c r="FC46" s="294"/>
      <c r="FD46" s="294"/>
      <c r="FE46" s="294"/>
      <c r="FF46" s="294"/>
      <c r="FG46" s="294"/>
      <c r="FH46" s="294"/>
      <c r="FI46" s="294"/>
      <c r="FJ46" s="294"/>
      <c r="FK46" s="294"/>
      <c r="FL46" s="294"/>
      <c r="FM46" s="294"/>
      <c r="FN46" s="294"/>
      <c r="FO46" s="294"/>
      <c r="FP46" s="294"/>
      <c r="FQ46" s="294"/>
      <c r="FR46" s="294"/>
      <c r="FS46" s="294"/>
      <c r="FT46" s="294"/>
      <c r="FU46" s="294"/>
      <c r="FV46" s="294"/>
      <c r="FW46" s="294"/>
      <c r="FX46" s="294"/>
      <c r="FY46" s="294"/>
      <c r="FZ46" s="294"/>
      <c r="GA46" s="294"/>
      <c r="GB46" s="294"/>
      <c r="GC46" s="294"/>
      <c r="GD46" s="294"/>
      <c r="GE46" s="294"/>
      <c r="GF46" s="294"/>
      <c r="GG46" s="294"/>
      <c r="GH46" s="294"/>
      <c r="GI46" s="294"/>
      <c r="GJ46" s="294"/>
      <c r="GK46" s="294"/>
      <c r="GL46" s="294"/>
      <c r="GM46" s="294"/>
      <c r="GN46" s="294"/>
      <c r="GO46" s="294"/>
      <c r="GP46" s="294"/>
      <c r="GQ46" s="294"/>
      <c r="GR46" s="294"/>
      <c r="GS46" s="294"/>
      <c r="GT46" s="294"/>
      <c r="GU46" s="294"/>
      <c r="GV46" s="294"/>
      <c r="GW46" s="294"/>
      <c r="GX46" s="294"/>
      <c r="GY46" s="294"/>
      <c r="GZ46" s="294"/>
      <c r="HA46" s="294"/>
      <c r="HB46" s="294"/>
      <c r="HC46" s="294"/>
      <c r="HD46" s="294"/>
      <c r="HE46" s="294"/>
      <c r="HF46" s="294"/>
      <c r="HG46" s="294"/>
      <c r="HH46" s="294"/>
      <c r="HI46" s="294"/>
      <c r="HJ46" s="294"/>
      <c r="HK46" s="294"/>
      <c r="HL46" s="294"/>
      <c r="HM46" s="294"/>
      <c r="HN46" s="294"/>
      <c r="HO46" s="294"/>
      <c r="HP46" s="294"/>
      <c r="HQ46" s="294"/>
      <c r="HR46" s="294"/>
      <c r="HS46" s="294"/>
      <c r="HT46" s="294"/>
      <c r="HU46" s="294"/>
      <c r="HV46" s="294"/>
      <c r="HW46" s="294"/>
      <c r="HX46" s="294"/>
      <c r="HY46" s="294"/>
      <c r="HZ46" s="294"/>
      <c r="IA46" s="294"/>
      <c r="IB46" s="294"/>
      <c r="IC46" s="294"/>
      <c r="ID46" s="294"/>
      <c r="IE46" s="294"/>
      <c r="IF46" s="294"/>
      <c r="IG46" s="294"/>
      <c r="IH46" s="294"/>
      <c r="II46" s="294"/>
      <c r="IJ46" s="294"/>
      <c r="IK46" s="294"/>
      <c r="IL46" s="294"/>
      <c r="IM46" s="294"/>
      <c r="IN46" s="294"/>
      <c r="IO46" s="294"/>
      <c r="IP46" s="294"/>
      <c r="IQ46" s="294"/>
      <c r="IR46" s="294"/>
    </row>
    <row r="47" spans="1:252" ht="14.25">
      <c r="A47" s="292"/>
      <c r="B47" s="314" t="str">
        <f>'Cashflow Ann'!E8</f>
        <v>Cash in from Sales</v>
      </c>
      <c r="C47" s="292"/>
      <c r="D47" s="317">
        <f ca="1">'Cashflow Ann'!J8</f>
        <v>864000</v>
      </c>
      <c r="E47" s="317">
        <f ca="1">'Cashflow Ann'!K8</f>
        <v>2592000</v>
      </c>
      <c r="F47" s="317">
        <f ca="1">'Cashflow Ann'!L8</f>
        <v>7168903.7175587183</v>
      </c>
      <c r="G47" s="317">
        <f ca="1">'Cashflow Ann'!M8</f>
        <v>15523318.620531706</v>
      </c>
      <c r="H47" s="317">
        <f ca="1">'Cashflow Ann'!N8</f>
        <v>31169676.042890649</v>
      </c>
      <c r="I47" s="292"/>
      <c r="J47" s="292"/>
      <c r="K47" s="294"/>
      <c r="L47" s="294"/>
      <c r="M47" s="294"/>
      <c r="N47" s="294"/>
      <c r="O47" s="294"/>
      <c r="P47" s="294"/>
      <c r="Q47" s="294"/>
      <c r="R47" s="294"/>
      <c r="S47" s="294"/>
      <c r="T47" s="294"/>
      <c r="U47" s="294"/>
      <c r="V47" s="294"/>
      <c r="W47" s="294"/>
      <c r="X47" s="294"/>
      <c r="Y47" s="294"/>
      <c r="Z47" s="294"/>
      <c r="AA47" s="294"/>
      <c r="AB47" s="294"/>
      <c r="AC47" s="294"/>
      <c r="AD47" s="294"/>
      <c r="AE47" s="294"/>
      <c r="AF47" s="294"/>
      <c r="AG47" s="294"/>
      <c r="AH47" s="294"/>
      <c r="AI47" s="294"/>
      <c r="AJ47" s="294"/>
      <c r="AK47" s="294"/>
      <c r="AL47" s="294"/>
      <c r="AM47" s="294"/>
      <c r="AN47" s="294"/>
      <c r="AO47" s="294"/>
      <c r="AP47" s="294"/>
      <c r="AQ47" s="294"/>
      <c r="AR47" s="294"/>
      <c r="AS47" s="294"/>
      <c r="AT47" s="294"/>
      <c r="AU47" s="294"/>
      <c r="AV47" s="294"/>
      <c r="AW47" s="294"/>
      <c r="AX47" s="294"/>
      <c r="AY47" s="294"/>
      <c r="AZ47" s="294"/>
      <c r="BA47" s="294"/>
      <c r="BB47" s="294"/>
      <c r="BC47" s="294"/>
      <c r="BD47" s="294"/>
      <c r="BE47" s="294"/>
      <c r="BF47" s="294"/>
      <c r="BG47" s="294"/>
      <c r="BH47" s="294"/>
      <c r="BI47" s="294"/>
      <c r="BJ47" s="294"/>
      <c r="BK47" s="294"/>
      <c r="BL47" s="294"/>
      <c r="BM47" s="294"/>
      <c r="BN47" s="294"/>
      <c r="BO47" s="294"/>
      <c r="BP47" s="294"/>
      <c r="BQ47" s="294"/>
      <c r="BR47" s="294"/>
      <c r="BS47" s="294"/>
      <c r="BT47" s="294"/>
      <c r="BU47" s="294"/>
      <c r="BV47" s="294"/>
      <c r="BW47" s="294"/>
      <c r="BX47" s="294"/>
      <c r="BY47" s="294"/>
      <c r="BZ47" s="294"/>
      <c r="CA47" s="294"/>
      <c r="CB47" s="294"/>
      <c r="CC47" s="294"/>
      <c r="CD47" s="294"/>
      <c r="CE47" s="294"/>
      <c r="CF47" s="294"/>
      <c r="CG47" s="294"/>
      <c r="CH47" s="294"/>
      <c r="CI47" s="294"/>
      <c r="CJ47" s="294"/>
      <c r="CK47" s="294"/>
      <c r="CL47" s="294"/>
      <c r="CM47" s="294"/>
      <c r="CN47" s="294"/>
      <c r="CO47" s="294"/>
      <c r="CP47" s="294"/>
      <c r="CQ47" s="294"/>
      <c r="CR47" s="294"/>
      <c r="CS47" s="294"/>
      <c r="CT47" s="294"/>
      <c r="CU47" s="294"/>
      <c r="CV47" s="294"/>
      <c r="CW47" s="294"/>
      <c r="CX47" s="294"/>
      <c r="CY47" s="294"/>
      <c r="CZ47" s="294"/>
      <c r="DA47" s="294"/>
      <c r="DB47" s="294"/>
      <c r="DC47" s="294"/>
      <c r="DD47" s="294"/>
      <c r="DE47" s="294"/>
      <c r="DF47" s="294"/>
      <c r="DG47" s="294"/>
      <c r="DH47" s="294"/>
      <c r="DI47" s="294"/>
      <c r="DJ47" s="294"/>
      <c r="DK47" s="294"/>
      <c r="DL47" s="294"/>
      <c r="DM47" s="294"/>
      <c r="DN47" s="294"/>
      <c r="DO47" s="294"/>
      <c r="DP47" s="294"/>
      <c r="DQ47" s="294"/>
      <c r="DR47" s="294"/>
      <c r="DS47" s="294"/>
      <c r="DT47" s="294"/>
      <c r="DU47" s="294"/>
      <c r="DV47" s="294"/>
      <c r="DW47" s="294"/>
      <c r="DX47" s="294"/>
      <c r="DY47" s="294"/>
      <c r="DZ47" s="294"/>
      <c r="EA47" s="294"/>
      <c r="EB47" s="294"/>
      <c r="EC47" s="294"/>
      <c r="ED47" s="294"/>
      <c r="EE47" s="294"/>
      <c r="EF47" s="294"/>
      <c r="EG47" s="294"/>
      <c r="EH47" s="294"/>
      <c r="EI47" s="294"/>
      <c r="EJ47" s="294"/>
      <c r="EK47" s="294"/>
      <c r="EL47" s="294"/>
      <c r="EM47" s="294"/>
      <c r="EN47" s="294"/>
      <c r="EO47" s="294"/>
      <c r="EP47" s="294"/>
      <c r="EQ47" s="294"/>
      <c r="ER47" s="294"/>
      <c r="ES47" s="294"/>
      <c r="ET47" s="294"/>
      <c r="EU47" s="294"/>
      <c r="EV47" s="294"/>
      <c r="EW47" s="294"/>
      <c r="EX47" s="294"/>
      <c r="EY47" s="294"/>
      <c r="EZ47" s="294"/>
      <c r="FA47" s="294"/>
      <c r="FB47" s="294"/>
      <c r="FC47" s="294"/>
      <c r="FD47" s="294"/>
      <c r="FE47" s="294"/>
      <c r="FF47" s="294"/>
      <c r="FG47" s="294"/>
      <c r="FH47" s="294"/>
      <c r="FI47" s="294"/>
      <c r="FJ47" s="294"/>
      <c r="FK47" s="294"/>
      <c r="FL47" s="294"/>
      <c r="FM47" s="294"/>
      <c r="FN47" s="294"/>
      <c r="FO47" s="294"/>
      <c r="FP47" s="294"/>
      <c r="FQ47" s="294"/>
      <c r="FR47" s="294"/>
      <c r="FS47" s="294"/>
      <c r="FT47" s="294"/>
      <c r="FU47" s="294"/>
      <c r="FV47" s="294"/>
      <c r="FW47" s="294"/>
      <c r="FX47" s="294"/>
      <c r="FY47" s="294"/>
      <c r="FZ47" s="294"/>
      <c r="GA47" s="294"/>
      <c r="GB47" s="294"/>
      <c r="GC47" s="294"/>
      <c r="GD47" s="294"/>
      <c r="GE47" s="294"/>
      <c r="GF47" s="294"/>
      <c r="GG47" s="294"/>
      <c r="GH47" s="294"/>
      <c r="GI47" s="294"/>
      <c r="GJ47" s="294"/>
      <c r="GK47" s="294"/>
      <c r="GL47" s="294"/>
      <c r="GM47" s="294"/>
      <c r="GN47" s="294"/>
      <c r="GO47" s="294"/>
      <c r="GP47" s="294"/>
      <c r="GQ47" s="294"/>
      <c r="GR47" s="294"/>
      <c r="GS47" s="294"/>
      <c r="GT47" s="294"/>
      <c r="GU47" s="294"/>
      <c r="GV47" s="294"/>
      <c r="GW47" s="294"/>
      <c r="GX47" s="294"/>
      <c r="GY47" s="294"/>
      <c r="GZ47" s="294"/>
      <c r="HA47" s="294"/>
      <c r="HB47" s="294"/>
      <c r="HC47" s="294"/>
      <c r="HD47" s="294"/>
      <c r="HE47" s="294"/>
      <c r="HF47" s="294"/>
      <c r="HG47" s="294"/>
      <c r="HH47" s="294"/>
      <c r="HI47" s="294"/>
      <c r="HJ47" s="294"/>
      <c r="HK47" s="294"/>
      <c r="HL47" s="294"/>
      <c r="HM47" s="294"/>
      <c r="HN47" s="294"/>
      <c r="HO47" s="294"/>
      <c r="HP47" s="294"/>
      <c r="HQ47" s="294"/>
      <c r="HR47" s="294"/>
      <c r="HS47" s="294"/>
      <c r="HT47" s="294"/>
      <c r="HU47" s="294"/>
      <c r="HV47" s="294"/>
      <c r="HW47" s="294"/>
      <c r="HX47" s="294"/>
      <c r="HY47" s="294"/>
      <c r="HZ47" s="294"/>
      <c r="IA47" s="294"/>
      <c r="IB47" s="294"/>
      <c r="IC47" s="294"/>
      <c r="ID47" s="294"/>
      <c r="IE47" s="294"/>
      <c r="IF47" s="294"/>
      <c r="IG47" s="294"/>
      <c r="IH47" s="294"/>
      <c r="II47" s="294"/>
      <c r="IJ47" s="294"/>
      <c r="IK47" s="294"/>
      <c r="IL47" s="294"/>
      <c r="IM47" s="294"/>
      <c r="IN47" s="294"/>
      <c r="IO47" s="294"/>
      <c r="IP47" s="294"/>
      <c r="IQ47" s="294"/>
      <c r="IR47" s="294"/>
    </row>
    <row r="48" spans="1:252" ht="14.25">
      <c r="A48" s="292"/>
      <c r="B48" s="314" t="str">
        <f>'Cashflow Ann'!E9</f>
        <v xml:space="preserve">Cash out on Operating Expense </v>
      </c>
      <c r="C48" s="292"/>
      <c r="D48" s="317">
        <f ca="1">'Cashflow Ann'!J9</f>
        <v>-749445.87279716518</v>
      </c>
      <c r="E48" s="317">
        <f ca="1">'Cashflow Ann'!K9</f>
        <v>-944678.70989012497</v>
      </c>
      <c r="F48" s="317">
        <f ca="1">'Cashflow Ann'!L9</f>
        <v>-1399465.4597640429</v>
      </c>
      <c r="G48" s="317">
        <f ca="1">'Cashflow Ann'!M9</f>
        <v>-2128051.4909187597</v>
      </c>
      <c r="H48" s="317">
        <f ca="1">'Cashflow Ann'!N9</f>
        <v>-3517405.9149610312</v>
      </c>
      <c r="I48" s="292"/>
      <c r="J48" s="292"/>
      <c r="K48" s="294"/>
      <c r="L48" s="294"/>
      <c r="M48" s="294"/>
      <c r="N48" s="294"/>
      <c r="O48" s="294"/>
      <c r="P48" s="294"/>
      <c r="Q48" s="294"/>
      <c r="R48" s="294"/>
      <c r="S48" s="294"/>
      <c r="T48" s="294"/>
      <c r="U48" s="294"/>
      <c r="V48" s="294"/>
      <c r="W48" s="294"/>
      <c r="X48" s="294"/>
      <c r="Y48" s="294"/>
      <c r="Z48" s="294"/>
      <c r="AA48" s="294"/>
      <c r="AB48" s="294"/>
      <c r="AC48" s="294"/>
      <c r="AD48" s="294"/>
      <c r="AE48" s="294"/>
      <c r="AF48" s="294"/>
      <c r="AG48" s="294"/>
      <c r="AH48" s="294"/>
      <c r="AI48" s="294"/>
      <c r="AJ48" s="294"/>
      <c r="AK48" s="294"/>
      <c r="AL48" s="294"/>
      <c r="AM48" s="294"/>
      <c r="AN48" s="294"/>
      <c r="AO48" s="294"/>
      <c r="AP48" s="294"/>
      <c r="AQ48" s="294"/>
      <c r="AR48" s="294"/>
      <c r="AS48" s="294"/>
      <c r="AT48" s="294"/>
      <c r="AU48" s="294"/>
      <c r="AV48" s="294"/>
      <c r="AW48" s="294"/>
      <c r="AX48" s="294"/>
      <c r="AY48" s="294"/>
      <c r="AZ48" s="294"/>
      <c r="BA48" s="294"/>
      <c r="BB48" s="294"/>
      <c r="BC48" s="294"/>
      <c r="BD48" s="294"/>
      <c r="BE48" s="294"/>
      <c r="BF48" s="294"/>
      <c r="BG48" s="294"/>
      <c r="BH48" s="294"/>
      <c r="BI48" s="294"/>
      <c r="BJ48" s="294"/>
      <c r="BK48" s="294"/>
      <c r="BL48" s="294"/>
      <c r="BM48" s="294"/>
      <c r="BN48" s="294"/>
      <c r="BO48" s="294"/>
      <c r="BP48" s="294"/>
      <c r="BQ48" s="294"/>
      <c r="BR48" s="294"/>
      <c r="BS48" s="294"/>
      <c r="BT48" s="294"/>
      <c r="BU48" s="294"/>
      <c r="BV48" s="294"/>
      <c r="BW48" s="294"/>
      <c r="BX48" s="294"/>
      <c r="BY48" s="294"/>
      <c r="BZ48" s="294"/>
      <c r="CA48" s="294"/>
      <c r="CB48" s="294"/>
      <c r="CC48" s="294"/>
      <c r="CD48" s="294"/>
      <c r="CE48" s="294"/>
      <c r="CF48" s="294"/>
      <c r="CG48" s="294"/>
      <c r="CH48" s="294"/>
      <c r="CI48" s="294"/>
      <c r="CJ48" s="294"/>
      <c r="CK48" s="294"/>
      <c r="CL48" s="294"/>
      <c r="CM48" s="294"/>
      <c r="CN48" s="294"/>
      <c r="CO48" s="294"/>
      <c r="CP48" s="294"/>
      <c r="CQ48" s="294"/>
      <c r="CR48" s="294"/>
      <c r="CS48" s="294"/>
      <c r="CT48" s="294"/>
      <c r="CU48" s="294"/>
      <c r="CV48" s="294"/>
      <c r="CW48" s="294"/>
      <c r="CX48" s="294"/>
      <c r="CY48" s="294"/>
      <c r="CZ48" s="294"/>
      <c r="DA48" s="294"/>
      <c r="DB48" s="294"/>
      <c r="DC48" s="294"/>
      <c r="DD48" s="294"/>
      <c r="DE48" s="294"/>
      <c r="DF48" s="294"/>
      <c r="DG48" s="294"/>
      <c r="DH48" s="294"/>
      <c r="DI48" s="294"/>
      <c r="DJ48" s="294"/>
      <c r="DK48" s="294"/>
      <c r="DL48" s="294"/>
      <c r="DM48" s="294"/>
      <c r="DN48" s="294"/>
      <c r="DO48" s="294"/>
      <c r="DP48" s="294"/>
      <c r="DQ48" s="294"/>
      <c r="DR48" s="294"/>
      <c r="DS48" s="294"/>
      <c r="DT48" s="294"/>
      <c r="DU48" s="294"/>
      <c r="DV48" s="294"/>
      <c r="DW48" s="294"/>
      <c r="DX48" s="294"/>
      <c r="DY48" s="294"/>
      <c r="DZ48" s="294"/>
      <c r="EA48" s="294"/>
      <c r="EB48" s="294"/>
      <c r="EC48" s="294"/>
      <c r="ED48" s="294"/>
      <c r="EE48" s="294"/>
      <c r="EF48" s="294"/>
      <c r="EG48" s="294"/>
      <c r="EH48" s="294"/>
      <c r="EI48" s="294"/>
      <c r="EJ48" s="294"/>
      <c r="EK48" s="294"/>
      <c r="EL48" s="294"/>
      <c r="EM48" s="294"/>
      <c r="EN48" s="294"/>
      <c r="EO48" s="294"/>
      <c r="EP48" s="294"/>
      <c r="EQ48" s="294"/>
      <c r="ER48" s="294"/>
      <c r="ES48" s="294"/>
      <c r="ET48" s="294"/>
      <c r="EU48" s="294"/>
      <c r="EV48" s="294"/>
      <c r="EW48" s="294"/>
      <c r="EX48" s="294"/>
      <c r="EY48" s="294"/>
      <c r="EZ48" s="294"/>
      <c r="FA48" s="294"/>
      <c r="FB48" s="294"/>
      <c r="FC48" s="294"/>
      <c r="FD48" s="294"/>
      <c r="FE48" s="294"/>
      <c r="FF48" s="294"/>
      <c r="FG48" s="294"/>
      <c r="FH48" s="294"/>
      <c r="FI48" s="294"/>
      <c r="FJ48" s="294"/>
      <c r="FK48" s="294"/>
      <c r="FL48" s="294"/>
      <c r="FM48" s="294"/>
      <c r="FN48" s="294"/>
      <c r="FO48" s="294"/>
      <c r="FP48" s="294"/>
      <c r="FQ48" s="294"/>
      <c r="FR48" s="294"/>
      <c r="FS48" s="294"/>
      <c r="FT48" s="294"/>
      <c r="FU48" s="294"/>
      <c r="FV48" s="294"/>
      <c r="FW48" s="294"/>
      <c r="FX48" s="294"/>
      <c r="FY48" s="294"/>
      <c r="FZ48" s="294"/>
      <c r="GA48" s="294"/>
      <c r="GB48" s="294"/>
      <c r="GC48" s="294"/>
      <c r="GD48" s="294"/>
      <c r="GE48" s="294"/>
      <c r="GF48" s="294"/>
      <c r="GG48" s="294"/>
      <c r="GH48" s="294"/>
      <c r="GI48" s="294"/>
      <c r="GJ48" s="294"/>
      <c r="GK48" s="294"/>
      <c r="GL48" s="294"/>
      <c r="GM48" s="294"/>
      <c r="GN48" s="294"/>
      <c r="GO48" s="294"/>
      <c r="GP48" s="294"/>
      <c r="GQ48" s="294"/>
      <c r="GR48" s="294"/>
      <c r="GS48" s="294"/>
      <c r="GT48" s="294"/>
      <c r="GU48" s="294"/>
      <c r="GV48" s="294"/>
      <c r="GW48" s="294"/>
      <c r="GX48" s="294"/>
      <c r="GY48" s="294"/>
      <c r="GZ48" s="294"/>
      <c r="HA48" s="294"/>
      <c r="HB48" s="294"/>
      <c r="HC48" s="294"/>
      <c r="HD48" s="294"/>
      <c r="HE48" s="294"/>
      <c r="HF48" s="294"/>
      <c r="HG48" s="294"/>
      <c r="HH48" s="294"/>
      <c r="HI48" s="294"/>
      <c r="HJ48" s="294"/>
      <c r="HK48" s="294"/>
      <c r="HL48" s="294"/>
      <c r="HM48" s="294"/>
      <c r="HN48" s="294"/>
      <c r="HO48" s="294"/>
      <c r="HP48" s="294"/>
      <c r="HQ48" s="294"/>
      <c r="HR48" s="294"/>
      <c r="HS48" s="294"/>
      <c r="HT48" s="294"/>
      <c r="HU48" s="294"/>
      <c r="HV48" s="294"/>
      <c r="HW48" s="294"/>
      <c r="HX48" s="294"/>
      <c r="HY48" s="294"/>
      <c r="HZ48" s="294"/>
      <c r="IA48" s="294"/>
      <c r="IB48" s="294"/>
      <c r="IC48" s="294"/>
      <c r="ID48" s="294"/>
      <c r="IE48" s="294"/>
      <c r="IF48" s="294"/>
      <c r="IG48" s="294"/>
      <c r="IH48" s="294"/>
      <c r="II48" s="294"/>
      <c r="IJ48" s="294"/>
      <c r="IK48" s="294"/>
      <c r="IL48" s="294"/>
      <c r="IM48" s="294"/>
      <c r="IN48" s="294"/>
      <c r="IO48" s="294"/>
      <c r="IP48" s="294"/>
      <c r="IQ48" s="294"/>
      <c r="IR48" s="294"/>
    </row>
    <row r="49" spans="1:252" s="315" customFormat="1" ht="14.25">
      <c r="A49" s="314"/>
      <c r="B49" s="314" t="str">
        <f>'Cashflow Ann'!E10</f>
        <v xml:space="preserve">VAT paid </v>
      </c>
      <c r="C49" s="292"/>
      <c r="D49" s="317">
        <f ca="1">'Cashflow Ann'!J10</f>
        <v>-12065.312041895391</v>
      </c>
      <c r="E49" s="317">
        <f ca="1">'Cashflow Ann'!K10</f>
        <v>-242966.22733280898</v>
      </c>
      <c r="F49" s="317">
        <f ca="1">'Cashflow Ann'!L10</f>
        <v>-945713.93945069634</v>
      </c>
      <c r="G49" s="317">
        <f ca="1">'Cashflow Ann'!M10</f>
        <v>-2292376.7154711601</v>
      </c>
      <c r="H49" s="317">
        <f ca="1">'Cashflow Ann'!N10</f>
        <v>-4802988.4939625757</v>
      </c>
      <c r="I49" s="314"/>
      <c r="J49" s="314"/>
      <c r="K49" s="295"/>
      <c r="L49" s="295"/>
      <c r="M49" s="295"/>
      <c r="N49" s="295"/>
      <c r="O49" s="295"/>
      <c r="P49" s="295"/>
      <c r="Q49" s="295"/>
      <c r="R49" s="295"/>
      <c r="S49" s="295"/>
      <c r="T49" s="295"/>
      <c r="U49" s="295"/>
      <c r="V49" s="295"/>
      <c r="W49" s="295"/>
      <c r="X49" s="295"/>
      <c r="Y49" s="295"/>
      <c r="Z49" s="295"/>
      <c r="AA49" s="295"/>
      <c r="AB49" s="295"/>
      <c r="AC49" s="295"/>
      <c r="AD49" s="295"/>
      <c r="AE49" s="295"/>
      <c r="AF49" s="295"/>
      <c r="AG49" s="295"/>
      <c r="AH49" s="295"/>
      <c r="AI49" s="295"/>
      <c r="AJ49" s="295"/>
      <c r="AK49" s="295"/>
      <c r="AL49" s="295"/>
      <c r="AM49" s="295"/>
      <c r="AN49" s="295"/>
      <c r="AO49" s="295"/>
      <c r="AP49" s="295"/>
      <c r="AQ49" s="295"/>
      <c r="AR49" s="295"/>
      <c r="AS49" s="295"/>
      <c r="AT49" s="295"/>
      <c r="AU49" s="295"/>
      <c r="AV49" s="295"/>
      <c r="AW49" s="295"/>
      <c r="AX49" s="295"/>
      <c r="AY49" s="295"/>
      <c r="AZ49" s="295"/>
      <c r="BA49" s="295"/>
      <c r="BB49" s="295"/>
      <c r="BC49" s="295"/>
      <c r="BD49" s="295"/>
      <c r="BE49" s="295"/>
      <c r="BF49" s="295"/>
      <c r="BG49" s="295"/>
      <c r="BH49" s="295"/>
      <c r="BI49" s="295"/>
      <c r="BJ49" s="295"/>
      <c r="BK49" s="295"/>
      <c r="BL49" s="295"/>
      <c r="BM49" s="295"/>
      <c r="BN49" s="295"/>
      <c r="BO49" s="295"/>
      <c r="BP49" s="295"/>
      <c r="BQ49" s="295"/>
      <c r="BR49" s="295"/>
      <c r="BS49" s="295"/>
      <c r="BT49" s="295"/>
      <c r="BU49" s="295"/>
      <c r="BV49" s="295"/>
      <c r="BW49" s="295"/>
      <c r="BX49" s="295"/>
      <c r="BY49" s="295"/>
      <c r="BZ49" s="295"/>
      <c r="CA49" s="295"/>
      <c r="CB49" s="295"/>
      <c r="CC49" s="295"/>
      <c r="CD49" s="295"/>
      <c r="CE49" s="295"/>
      <c r="CF49" s="295"/>
      <c r="CG49" s="295"/>
      <c r="CH49" s="295"/>
      <c r="CI49" s="295"/>
      <c r="CJ49" s="295"/>
      <c r="CK49" s="295"/>
      <c r="CL49" s="295"/>
      <c r="CM49" s="295"/>
      <c r="CN49" s="295"/>
      <c r="CO49" s="295"/>
      <c r="CP49" s="295"/>
      <c r="CQ49" s="295"/>
      <c r="CR49" s="295"/>
      <c r="CS49" s="295"/>
      <c r="CT49" s="295"/>
      <c r="CU49" s="295"/>
      <c r="CV49" s="295"/>
      <c r="CW49" s="295"/>
      <c r="CX49" s="295"/>
      <c r="CY49" s="295"/>
      <c r="CZ49" s="295"/>
      <c r="DA49" s="295"/>
      <c r="DB49" s="295"/>
      <c r="DC49" s="295"/>
      <c r="DD49" s="295"/>
      <c r="DE49" s="295"/>
      <c r="DF49" s="295"/>
      <c r="DG49" s="295"/>
      <c r="DH49" s="295"/>
      <c r="DI49" s="295"/>
      <c r="DJ49" s="295"/>
      <c r="DK49" s="295"/>
      <c r="DL49" s="295"/>
      <c r="DM49" s="295"/>
      <c r="DN49" s="295"/>
      <c r="DO49" s="295"/>
      <c r="DP49" s="295"/>
      <c r="DQ49" s="295"/>
      <c r="DR49" s="295"/>
      <c r="DS49" s="295"/>
      <c r="DT49" s="295"/>
      <c r="DU49" s="295"/>
      <c r="DV49" s="295"/>
      <c r="DW49" s="295"/>
      <c r="DX49" s="295"/>
      <c r="DY49" s="295"/>
      <c r="DZ49" s="295"/>
      <c r="EA49" s="295"/>
      <c r="EB49" s="295"/>
      <c r="EC49" s="295"/>
      <c r="ED49" s="295"/>
      <c r="EE49" s="295"/>
      <c r="EF49" s="295"/>
      <c r="EG49" s="295"/>
      <c r="EH49" s="295"/>
      <c r="EI49" s="295"/>
      <c r="EJ49" s="295"/>
      <c r="EK49" s="295"/>
      <c r="EL49" s="295"/>
      <c r="EM49" s="295"/>
      <c r="EN49" s="295"/>
      <c r="EO49" s="295"/>
      <c r="EP49" s="295"/>
      <c r="EQ49" s="295"/>
      <c r="ER49" s="295"/>
      <c r="ES49" s="295"/>
      <c r="ET49" s="295"/>
      <c r="EU49" s="295"/>
      <c r="EV49" s="295"/>
      <c r="EW49" s="295"/>
      <c r="EX49" s="295"/>
      <c r="EY49" s="295"/>
      <c r="EZ49" s="295"/>
      <c r="FA49" s="295"/>
      <c r="FB49" s="295"/>
      <c r="FC49" s="295"/>
      <c r="FD49" s="295"/>
      <c r="FE49" s="295"/>
      <c r="FF49" s="295"/>
      <c r="FG49" s="295"/>
      <c r="FH49" s="295"/>
      <c r="FI49" s="295"/>
      <c r="FJ49" s="295"/>
      <c r="FK49" s="295"/>
      <c r="FL49" s="295"/>
      <c r="FM49" s="295"/>
      <c r="FN49" s="295"/>
      <c r="FO49" s="295"/>
      <c r="FP49" s="295"/>
      <c r="FQ49" s="295"/>
      <c r="FR49" s="295"/>
      <c r="FS49" s="295"/>
      <c r="FT49" s="295"/>
      <c r="FU49" s="295"/>
      <c r="FV49" s="295"/>
      <c r="FW49" s="295"/>
      <c r="FX49" s="295"/>
      <c r="FY49" s="295"/>
      <c r="FZ49" s="295"/>
      <c r="GA49" s="295"/>
      <c r="GB49" s="295"/>
      <c r="GC49" s="295"/>
      <c r="GD49" s="295"/>
      <c r="GE49" s="295"/>
      <c r="GF49" s="295"/>
      <c r="GG49" s="295"/>
      <c r="GH49" s="295"/>
      <c r="GI49" s="295"/>
      <c r="GJ49" s="295"/>
      <c r="GK49" s="295"/>
      <c r="GL49" s="295"/>
      <c r="GM49" s="295"/>
      <c r="GN49" s="295"/>
      <c r="GO49" s="295"/>
      <c r="GP49" s="295"/>
      <c r="GQ49" s="295"/>
      <c r="GR49" s="295"/>
      <c r="GS49" s="295"/>
      <c r="GT49" s="295"/>
      <c r="GU49" s="295"/>
      <c r="GV49" s="295"/>
      <c r="GW49" s="295"/>
      <c r="GX49" s="295"/>
      <c r="GY49" s="295"/>
      <c r="GZ49" s="295"/>
      <c r="HA49" s="295"/>
      <c r="HB49" s="295"/>
      <c r="HC49" s="295"/>
      <c r="HD49" s="295"/>
      <c r="HE49" s="295"/>
      <c r="HF49" s="295"/>
      <c r="HG49" s="295"/>
      <c r="HH49" s="295"/>
      <c r="HI49" s="295"/>
      <c r="HJ49" s="295"/>
      <c r="HK49" s="295"/>
      <c r="HL49" s="295"/>
      <c r="HM49" s="295"/>
      <c r="HN49" s="295"/>
      <c r="HO49" s="295"/>
      <c r="HP49" s="295"/>
      <c r="HQ49" s="295"/>
      <c r="HR49" s="295"/>
      <c r="HS49" s="295"/>
      <c r="HT49" s="295"/>
      <c r="HU49" s="295"/>
      <c r="HV49" s="295"/>
      <c r="HW49" s="295"/>
      <c r="HX49" s="295"/>
      <c r="HY49" s="295"/>
      <c r="HZ49" s="295"/>
      <c r="IA49" s="295"/>
      <c r="IB49" s="295"/>
      <c r="IC49" s="295"/>
      <c r="ID49" s="295"/>
      <c r="IE49" s="295"/>
      <c r="IF49" s="295"/>
      <c r="IG49" s="295"/>
      <c r="IH49" s="295"/>
      <c r="II49" s="295"/>
      <c r="IJ49" s="295"/>
      <c r="IK49" s="295"/>
      <c r="IL49" s="295"/>
      <c r="IM49" s="295"/>
      <c r="IN49" s="295"/>
      <c r="IO49" s="295"/>
      <c r="IP49" s="295"/>
      <c r="IQ49" s="295"/>
      <c r="IR49" s="295"/>
    </row>
    <row r="50" spans="1:252" ht="14.25">
      <c r="A50" s="292"/>
      <c r="B50" s="314" t="str">
        <f>'Cashflow Ann'!E11</f>
        <v xml:space="preserve">Corporation tax paid </v>
      </c>
      <c r="C50" s="292"/>
      <c r="D50" s="317">
        <f ca="1">'Cashflow Ann'!J11</f>
        <v>0</v>
      </c>
      <c r="E50" s="317">
        <f ca="1">'Cashflow Ann'!K11</f>
        <v>0</v>
      </c>
      <c r="F50" s="317">
        <f ca="1">'Cashflow Ann'!L11</f>
        <v>-195685.12595542119</v>
      </c>
      <c r="G50" s="317">
        <f ca="1">'Cashflow Ann'!M11</f>
        <v>-829461.348841978</v>
      </c>
      <c r="H50" s="317">
        <f ca="1">'Cashflow Ann'!N11</f>
        <v>-1918477.5042626159</v>
      </c>
      <c r="I50" s="292"/>
      <c r="J50" s="292"/>
      <c r="K50" s="294"/>
      <c r="L50" s="294"/>
      <c r="M50" s="294"/>
      <c r="N50" s="294"/>
      <c r="O50" s="294"/>
      <c r="P50" s="294"/>
      <c r="Q50" s="294"/>
      <c r="R50" s="294"/>
      <c r="S50" s="294"/>
      <c r="T50" s="294"/>
      <c r="U50" s="294"/>
      <c r="V50" s="294"/>
      <c r="W50" s="294"/>
      <c r="X50" s="294"/>
      <c r="Y50" s="294"/>
      <c r="Z50" s="294"/>
      <c r="AA50" s="294"/>
      <c r="AB50" s="294"/>
      <c r="AC50" s="294"/>
      <c r="AD50" s="294"/>
      <c r="AE50" s="294"/>
      <c r="AF50" s="294"/>
      <c r="AG50" s="294"/>
      <c r="AH50" s="294"/>
      <c r="AI50" s="294"/>
      <c r="AJ50" s="294"/>
      <c r="AK50" s="294"/>
      <c r="AL50" s="294"/>
      <c r="AM50" s="294"/>
      <c r="AN50" s="294"/>
      <c r="AO50" s="294"/>
      <c r="AP50" s="294"/>
      <c r="AQ50" s="294"/>
      <c r="AR50" s="294"/>
      <c r="AS50" s="294"/>
      <c r="AT50" s="294"/>
      <c r="AU50" s="294"/>
      <c r="AV50" s="294"/>
      <c r="AW50" s="294"/>
      <c r="AX50" s="294"/>
      <c r="AY50" s="294"/>
      <c r="AZ50" s="294"/>
      <c r="BA50" s="294"/>
      <c r="BB50" s="294"/>
      <c r="BC50" s="294"/>
      <c r="BD50" s="294"/>
      <c r="BE50" s="294"/>
      <c r="BF50" s="294"/>
      <c r="BG50" s="294"/>
      <c r="BH50" s="294"/>
      <c r="BI50" s="294"/>
      <c r="BJ50" s="294"/>
      <c r="BK50" s="294"/>
      <c r="BL50" s="294"/>
      <c r="BM50" s="294"/>
      <c r="BN50" s="294"/>
      <c r="BO50" s="294"/>
      <c r="BP50" s="294"/>
      <c r="BQ50" s="294"/>
      <c r="BR50" s="294"/>
      <c r="BS50" s="294"/>
      <c r="BT50" s="294"/>
      <c r="BU50" s="294"/>
      <c r="BV50" s="294"/>
      <c r="BW50" s="294"/>
      <c r="BX50" s="294"/>
      <c r="BY50" s="294"/>
      <c r="BZ50" s="294"/>
      <c r="CA50" s="294"/>
      <c r="CB50" s="294"/>
      <c r="CC50" s="294"/>
      <c r="CD50" s="294"/>
      <c r="CE50" s="294"/>
      <c r="CF50" s="294"/>
      <c r="CG50" s="294"/>
      <c r="CH50" s="294"/>
      <c r="CI50" s="294"/>
      <c r="CJ50" s="294"/>
      <c r="CK50" s="294"/>
      <c r="CL50" s="294"/>
      <c r="CM50" s="294"/>
      <c r="CN50" s="294"/>
      <c r="CO50" s="294"/>
      <c r="CP50" s="294"/>
      <c r="CQ50" s="294"/>
      <c r="CR50" s="294"/>
      <c r="CS50" s="294"/>
      <c r="CT50" s="294"/>
      <c r="CU50" s="294"/>
      <c r="CV50" s="294"/>
      <c r="CW50" s="294"/>
      <c r="CX50" s="294"/>
      <c r="CY50" s="294"/>
      <c r="CZ50" s="294"/>
      <c r="DA50" s="294"/>
      <c r="DB50" s="294"/>
      <c r="DC50" s="294"/>
      <c r="DD50" s="294"/>
      <c r="DE50" s="294"/>
      <c r="DF50" s="294"/>
      <c r="DG50" s="294"/>
      <c r="DH50" s="294"/>
      <c r="DI50" s="294"/>
      <c r="DJ50" s="294"/>
      <c r="DK50" s="294"/>
      <c r="DL50" s="294"/>
      <c r="DM50" s="294"/>
      <c r="DN50" s="294"/>
      <c r="DO50" s="294"/>
      <c r="DP50" s="294"/>
      <c r="DQ50" s="294"/>
      <c r="DR50" s="294"/>
      <c r="DS50" s="294"/>
      <c r="DT50" s="294"/>
      <c r="DU50" s="294"/>
      <c r="DV50" s="294"/>
      <c r="DW50" s="294"/>
      <c r="DX50" s="294"/>
      <c r="DY50" s="294"/>
      <c r="DZ50" s="294"/>
      <c r="EA50" s="294"/>
      <c r="EB50" s="294"/>
      <c r="EC50" s="294"/>
      <c r="ED50" s="294"/>
      <c r="EE50" s="294"/>
      <c r="EF50" s="294"/>
      <c r="EG50" s="294"/>
      <c r="EH50" s="294"/>
      <c r="EI50" s="294"/>
      <c r="EJ50" s="294"/>
      <c r="EK50" s="294"/>
      <c r="EL50" s="294"/>
      <c r="EM50" s="294"/>
      <c r="EN50" s="294"/>
      <c r="EO50" s="294"/>
      <c r="EP50" s="294"/>
      <c r="EQ50" s="294"/>
      <c r="ER50" s="294"/>
      <c r="ES50" s="294"/>
      <c r="ET50" s="294"/>
      <c r="EU50" s="294"/>
      <c r="EV50" s="294"/>
      <c r="EW50" s="294"/>
      <c r="EX50" s="294"/>
      <c r="EY50" s="294"/>
      <c r="EZ50" s="294"/>
      <c r="FA50" s="294"/>
      <c r="FB50" s="294"/>
      <c r="FC50" s="294"/>
      <c r="FD50" s="294"/>
      <c r="FE50" s="294"/>
      <c r="FF50" s="294"/>
      <c r="FG50" s="294"/>
      <c r="FH50" s="294"/>
      <c r="FI50" s="294"/>
      <c r="FJ50" s="294"/>
      <c r="FK50" s="294"/>
      <c r="FL50" s="294"/>
      <c r="FM50" s="294"/>
      <c r="FN50" s="294"/>
      <c r="FO50" s="294"/>
      <c r="FP50" s="294"/>
      <c r="FQ50" s="294"/>
      <c r="FR50" s="294"/>
      <c r="FS50" s="294"/>
      <c r="FT50" s="294"/>
      <c r="FU50" s="294"/>
      <c r="FV50" s="294"/>
      <c r="FW50" s="294"/>
      <c r="FX50" s="294"/>
      <c r="FY50" s="294"/>
      <c r="FZ50" s="294"/>
      <c r="GA50" s="294"/>
      <c r="GB50" s="294"/>
      <c r="GC50" s="294"/>
      <c r="GD50" s="294"/>
      <c r="GE50" s="294"/>
      <c r="GF50" s="294"/>
      <c r="GG50" s="294"/>
      <c r="GH50" s="294"/>
      <c r="GI50" s="294"/>
      <c r="GJ50" s="294"/>
      <c r="GK50" s="294"/>
      <c r="GL50" s="294"/>
      <c r="GM50" s="294"/>
      <c r="GN50" s="294"/>
      <c r="GO50" s="294"/>
      <c r="GP50" s="294"/>
      <c r="GQ50" s="294"/>
      <c r="GR50" s="294"/>
      <c r="GS50" s="294"/>
      <c r="GT50" s="294"/>
      <c r="GU50" s="294"/>
      <c r="GV50" s="294"/>
      <c r="GW50" s="294"/>
      <c r="GX50" s="294"/>
      <c r="GY50" s="294"/>
      <c r="GZ50" s="294"/>
      <c r="HA50" s="294"/>
      <c r="HB50" s="294"/>
      <c r="HC50" s="294"/>
      <c r="HD50" s="294"/>
      <c r="HE50" s="294"/>
      <c r="HF50" s="294"/>
      <c r="HG50" s="294"/>
      <c r="HH50" s="294"/>
      <c r="HI50" s="294"/>
      <c r="HJ50" s="294"/>
      <c r="HK50" s="294"/>
      <c r="HL50" s="294"/>
      <c r="HM50" s="294"/>
      <c r="HN50" s="294"/>
      <c r="HO50" s="294"/>
      <c r="HP50" s="294"/>
      <c r="HQ50" s="294"/>
      <c r="HR50" s="294"/>
      <c r="HS50" s="294"/>
      <c r="HT50" s="294"/>
      <c r="HU50" s="294"/>
      <c r="HV50" s="294"/>
      <c r="HW50" s="294"/>
      <c r="HX50" s="294"/>
      <c r="HY50" s="294"/>
      <c r="HZ50" s="294"/>
      <c r="IA50" s="294"/>
      <c r="IB50" s="294"/>
      <c r="IC50" s="294"/>
      <c r="ID50" s="294"/>
      <c r="IE50" s="294"/>
      <c r="IF50" s="294"/>
      <c r="IG50" s="294"/>
      <c r="IH50" s="294"/>
      <c r="II50" s="294"/>
      <c r="IJ50" s="294"/>
      <c r="IK50" s="294"/>
      <c r="IL50" s="294"/>
      <c r="IM50" s="294"/>
      <c r="IN50" s="294"/>
      <c r="IO50" s="294"/>
      <c r="IP50" s="294"/>
      <c r="IQ50" s="294"/>
      <c r="IR50" s="294"/>
    </row>
    <row r="51" spans="1:252" ht="14.25">
      <c r="A51" s="292"/>
      <c r="B51" s="322" t="str">
        <f>'Cashflow Ann'!E12</f>
        <v>Operating Cashflow</v>
      </c>
      <c r="C51" s="321"/>
      <c r="D51" s="316">
        <f ca="1">'Cashflow Ann'!J12</f>
        <v>102488.8151609393</v>
      </c>
      <c r="E51" s="316">
        <f ca="1">'Cashflow Ann'!K12</f>
        <v>1404355.0627770659</v>
      </c>
      <c r="F51" s="316">
        <f ca="1">'Cashflow Ann'!L12</f>
        <v>4628039.1923885569</v>
      </c>
      <c r="G51" s="316">
        <f ca="1">'Cashflow Ann'!M12</f>
        <v>10273429.065299805</v>
      </c>
      <c r="H51" s="316">
        <f ca="1">'Cashflow Ann'!N12</f>
        <v>20930804.129704427</v>
      </c>
      <c r="I51" s="292"/>
      <c r="J51" s="292"/>
      <c r="K51" s="294"/>
      <c r="L51" s="294"/>
      <c r="M51" s="294"/>
      <c r="N51" s="294"/>
      <c r="O51" s="294"/>
      <c r="P51" s="294"/>
      <c r="Q51" s="294"/>
      <c r="R51" s="294"/>
      <c r="S51" s="294"/>
      <c r="T51" s="294"/>
      <c r="U51" s="294"/>
      <c r="V51" s="294"/>
      <c r="W51" s="294"/>
      <c r="X51" s="294"/>
      <c r="Y51" s="294"/>
      <c r="Z51" s="294"/>
      <c r="AA51" s="294"/>
      <c r="AB51" s="294"/>
      <c r="AC51" s="294"/>
      <c r="AD51" s="294"/>
      <c r="AE51" s="294"/>
      <c r="AF51" s="294"/>
      <c r="AG51" s="294"/>
      <c r="AH51" s="294"/>
      <c r="AI51" s="294"/>
      <c r="AJ51" s="294"/>
      <c r="AK51" s="294"/>
      <c r="AL51" s="294"/>
      <c r="AM51" s="294"/>
      <c r="AN51" s="294"/>
      <c r="AO51" s="294"/>
      <c r="AP51" s="294"/>
      <c r="AQ51" s="294"/>
      <c r="AR51" s="294"/>
      <c r="AS51" s="294"/>
      <c r="AT51" s="294"/>
      <c r="AU51" s="294"/>
      <c r="AV51" s="294"/>
      <c r="AW51" s="294"/>
      <c r="AX51" s="294"/>
      <c r="AY51" s="294"/>
      <c r="AZ51" s="294"/>
      <c r="BA51" s="294"/>
      <c r="BB51" s="294"/>
      <c r="BC51" s="294"/>
      <c r="BD51" s="294"/>
      <c r="BE51" s="294"/>
      <c r="BF51" s="294"/>
      <c r="BG51" s="294"/>
      <c r="BH51" s="294"/>
      <c r="BI51" s="294"/>
      <c r="BJ51" s="294"/>
      <c r="BK51" s="294"/>
      <c r="BL51" s="294"/>
      <c r="BM51" s="294"/>
      <c r="BN51" s="294"/>
      <c r="BO51" s="294"/>
      <c r="BP51" s="294"/>
      <c r="BQ51" s="294"/>
      <c r="BR51" s="294"/>
      <c r="BS51" s="294"/>
      <c r="BT51" s="294"/>
      <c r="BU51" s="294"/>
      <c r="BV51" s="294"/>
      <c r="BW51" s="294"/>
      <c r="BX51" s="294"/>
      <c r="BY51" s="294"/>
      <c r="BZ51" s="294"/>
      <c r="CA51" s="294"/>
      <c r="CB51" s="294"/>
      <c r="CC51" s="294"/>
      <c r="CD51" s="294"/>
      <c r="CE51" s="294"/>
      <c r="CF51" s="294"/>
      <c r="CG51" s="294"/>
      <c r="CH51" s="294"/>
      <c r="CI51" s="294"/>
      <c r="CJ51" s="294"/>
      <c r="CK51" s="294"/>
      <c r="CL51" s="294"/>
      <c r="CM51" s="294"/>
      <c r="CN51" s="294"/>
      <c r="CO51" s="294"/>
      <c r="CP51" s="294"/>
      <c r="CQ51" s="294"/>
      <c r="CR51" s="294"/>
      <c r="CS51" s="294"/>
      <c r="CT51" s="294"/>
      <c r="CU51" s="294"/>
      <c r="CV51" s="294"/>
      <c r="CW51" s="294"/>
      <c r="CX51" s="294"/>
      <c r="CY51" s="294"/>
      <c r="CZ51" s="294"/>
      <c r="DA51" s="294"/>
      <c r="DB51" s="294"/>
      <c r="DC51" s="294"/>
      <c r="DD51" s="294"/>
      <c r="DE51" s="294"/>
      <c r="DF51" s="294"/>
      <c r="DG51" s="294"/>
      <c r="DH51" s="294"/>
      <c r="DI51" s="294"/>
      <c r="DJ51" s="294"/>
      <c r="DK51" s="294"/>
      <c r="DL51" s="294"/>
      <c r="DM51" s="294"/>
      <c r="DN51" s="294"/>
      <c r="DO51" s="294"/>
      <c r="DP51" s="294"/>
      <c r="DQ51" s="294"/>
      <c r="DR51" s="294"/>
      <c r="DS51" s="294"/>
      <c r="DT51" s="294"/>
      <c r="DU51" s="294"/>
      <c r="DV51" s="294"/>
      <c r="DW51" s="294"/>
      <c r="DX51" s="294"/>
      <c r="DY51" s="294"/>
      <c r="DZ51" s="294"/>
      <c r="EA51" s="294"/>
      <c r="EB51" s="294"/>
      <c r="EC51" s="294"/>
      <c r="ED51" s="294"/>
      <c r="EE51" s="294"/>
      <c r="EF51" s="294"/>
      <c r="EG51" s="294"/>
      <c r="EH51" s="294"/>
      <c r="EI51" s="294"/>
      <c r="EJ51" s="294"/>
      <c r="EK51" s="294"/>
      <c r="EL51" s="294"/>
      <c r="EM51" s="294"/>
      <c r="EN51" s="294"/>
      <c r="EO51" s="294"/>
      <c r="EP51" s="294"/>
      <c r="EQ51" s="294"/>
      <c r="ER51" s="294"/>
      <c r="ES51" s="294"/>
      <c r="ET51" s="294"/>
      <c r="EU51" s="294"/>
      <c r="EV51" s="294"/>
      <c r="EW51" s="294"/>
      <c r="EX51" s="294"/>
      <c r="EY51" s="294"/>
      <c r="EZ51" s="294"/>
      <c r="FA51" s="294"/>
      <c r="FB51" s="294"/>
      <c r="FC51" s="294"/>
      <c r="FD51" s="294"/>
      <c r="FE51" s="294"/>
      <c r="FF51" s="294"/>
      <c r="FG51" s="294"/>
      <c r="FH51" s="294"/>
      <c r="FI51" s="294"/>
      <c r="FJ51" s="294"/>
      <c r="FK51" s="294"/>
      <c r="FL51" s="294"/>
      <c r="FM51" s="294"/>
      <c r="FN51" s="294"/>
      <c r="FO51" s="294"/>
      <c r="FP51" s="294"/>
      <c r="FQ51" s="294"/>
      <c r="FR51" s="294"/>
      <c r="FS51" s="294"/>
      <c r="FT51" s="294"/>
      <c r="FU51" s="294"/>
      <c r="FV51" s="294"/>
      <c r="FW51" s="294"/>
      <c r="FX51" s="294"/>
      <c r="FY51" s="294"/>
      <c r="FZ51" s="294"/>
      <c r="GA51" s="294"/>
      <c r="GB51" s="294"/>
      <c r="GC51" s="294"/>
      <c r="GD51" s="294"/>
      <c r="GE51" s="294"/>
      <c r="GF51" s="294"/>
      <c r="GG51" s="294"/>
      <c r="GH51" s="294"/>
      <c r="GI51" s="294"/>
      <c r="GJ51" s="294"/>
      <c r="GK51" s="294"/>
      <c r="GL51" s="294"/>
      <c r="GM51" s="294"/>
      <c r="GN51" s="294"/>
      <c r="GO51" s="294"/>
      <c r="GP51" s="294"/>
      <c r="GQ51" s="294"/>
      <c r="GR51" s="294"/>
      <c r="GS51" s="294"/>
      <c r="GT51" s="294"/>
      <c r="GU51" s="294"/>
      <c r="GV51" s="294"/>
      <c r="GW51" s="294"/>
      <c r="GX51" s="294"/>
      <c r="GY51" s="294"/>
      <c r="GZ51" s="294"/>
      <c r="HA51" s="294"/>
      <c r="HB51" s="294"/>
      <c r="HC51" s="294"/>
      <c r="HD51" s="294"/>
      <c r="HE51" s="294"/>
      <c r="HF51" s="294"/>
      <c r="HG51" s="294"/>
      <c r="HH51" s="294"/>
      <c r="HI51" s="294"/>
      <c r="HJ51" s="294"/>
      <c r="HK51" s="294"/>
      <c r="HL51" s="294"/>
      <c r="HM51" s="294"/>
      <c r="HN51" s="294"/>
      <c r="HO51" s="294"/>
      <c r="HP51" s="294"/>
      <c r="HQ51" s="294"/>
      <c r="HR51" s="294"/>
      <c r="HS51" s="294"/>
      <c r="HT51" s="294"/>
      <c r="HU51" s="294"/>
      <c r="HV51" s="294"/>
      <c r="HW51" s="294"/>
      <c r="HX51" s="294"/>
      <c r="HY51" s="294"/>
      <c r="HZ51" s="294"/>
      <c r="IA51" s="294"/>
      <c r="IB51" s="294"/>
      <c r="IC51" s="294"/>
      <c r="ID51" s="294"/>
      <c r="IE51" s="294"/>
      <c r="IF51" s="294"/>
      <c r="IG51" s="294"/>
      <c r="IH51" s="294"/>
      <c r="II51" s="294"/>
      <c r="IJ51" s="294"/>
      <c r="IK51" s="294"/>
      <c r="IL51" s="294"/>
      <c r="IM51" s="294"/>
      <c r="IN51" s="294"/>
      <c r="IO51" s="294"/>
      <c r="IP51" s="294"/>
      <c r="IQ51" s="294"/>
      <c r="IR51" s="294"/>
    </row>
    <row r="52" spans="1:252" s="315" customFormat="1" ht="14.25">
      <c r="A52" s="314"/>
      <c r="B52" s="314"/>
      <c r="C52" s="292"/>
      <c r="D52" s="317"/>
      <c r="E52" s="317"/>
      <c r="F52" s="317"/>
      <c r="G52" s="317"/>
      <c r="H52" s="317"/>
      <c r="I52" s="314"/>
      <c r="J52" s="314"/>
      <c r="K52" s="295"/>
      <c r="L52" s="295"/>
      <c r="M52" s="295"/>
      <c r="N52" s="295"/>
      <c r="O52" s="295"/>
      <c r="P52" s="295"/>
      <c r="Q52" s="295"/>
      <c r="R52" s="295"/>
      <c r="S52" s="295"/>
      <c r="T52" s="295"/>
      <c r="U52" s="295"/>
      <c r="V52" s="295"/>
      <c r="W52" s="295"/>
      <c r="X52" s="295"/>
      <c r="Y52" s="295"/>
      <c r="Z52" s="295"/>
      <c r="AA52" s="295"/>
      <c r="AB52" s="295"/>
      <c r="AC52" s="295"/>
      <c r="AD52" s="295"/>
      <c r="AE52" s="295"/>
      <c r="AF52" s="295"/>
      <c r="AG52" s="295"/>
      <c r="AH52" s="295"/>
      <c r="AI52" s="295"/>
      <c r="AJ52" s="295"/>
      <c r="AK52" s="295"/>
      <c r="AL52" s="295"/>
      <c r="AM52" s="295"/>
      <c r="AN52" s="295"/>
      <c r="AO52" s="295"/>
      <c r="AP52" s="295"/>
      <c r="AQ52" s="295"/>
      <c r="AR52" s="295"/>
      <c r="AS52" s="295"/>
      <c r="AT52" s="295"/>
      <c r="AU52" s="295"/>
      <c r="AV52" s="295"/>
      <c r="AW52" s="295"/>
      <c r="AX52" s="295"/>
      <c r="AY52" s="295"/>
      <c r="AZ52" s="295"/>
      <c r="BA52" s="295"/>
      <c r="BB52" s="295"/>
      <c r="BC52" s="295"/>
      <c r="BD52" s="295"/>
      <c r="BE52" s="295"/>
      <c r="BF52" s="295"/>
      <c r="BG52" s="295"/>
      <c r="BH52" s="295"/>
      <c r="BI52" s="295"/>
      <c r="BJ52" s="295"/>
      <c r="BK52" s="295"/>
      <c r="BL52" s="295"/>
      <c r="BM52" s="295"/>
      <c r="BN52" s="295"/>
      <c r="BO52" s="295"/>
      <c r="BP52" s="295"/>
      <c r="BQ52" s="295"/>
      <c r="BR52" s="295"/>
      <c r="BS52" s="295"/>
      <c r="BT52" s="295"/>
      <c r="BU52" s="295"/>
      <c r="BV52" s="295"/>
      <c r="BW52" s="295"/>
      <c r="BX52" s="295"/>
      <c r="BY52" s="295"/>
      <c r="BZ52" s="295"/>
      <c r="CA52" s="295"/>
      <c r="CB52" s="295"/>
      <c r="CC52" s="295"/>
      <c r="CD52" s="295"/>
      <c r="CE52" s="295"/>
      <c r="CF52" s="295"/>
      <c r="CG52" s="295"/>
      <c r="CH52" s="295"/>
      <c r="CI52" s="295"/>
      <c r="CJ52" s="295"/>
      <c r="CK52" s="295"/>
      <c r="CL52" s="295"/>
      <c r="CM52" s="295"/>
      <c r="CN52" s="295"/>
      <c r="CO52" s="295"/>
      <c r="CP52" s="295"/>
      <c r="CQ52" s="295"/>
      <c r="CR52" s="295"/>
      <c r="CS52" s="295"/>
      <c r="CT52" s="295"/>
      <c r="CU52" s="295"/>
      <c r="CV52" s="295"/>
      <c r="CW52" s="295"/>
      <c r="CX52" s="295"/>
      <c r="CY52" s="295"/>
      <c r="CZ52" s="295"/>
      <c r="DA52" s="295"/>
      <c r="DB52" s="295"/>
      <c r="DC52" s="295"/>
      <c r="DD52" s="295"/>
      <c r="DE52" s="295"/>
      <c r="DF52" s="295"/>
      <c r="DG52" s="295"/>
      <c r="DH52" s="295"/>
      <c r="DI52" s="295"/>
      <c r="DJ52" s="295"/>
      <c r="DK52" s="295"/>
      <c r="DL52" s="295"/>
      <c r="DM52" s="295"/>
      <c r="DN52" s="295"/>
      <c r="DO52" s="295"/>
      <c r="DP52" s="295"/>
      <c r="DQ52" s="295"/>
      <c r="DR52" s="295"/>
      <c r="DS52" s="295"/>
      <c r="DT52" s="295"/>
      <c r="DU52" s="295"/>
      <c r="DV52" s="295"/>
      <c r="DW52" s="295"/>
      <c r="DX52" s="295"/>
      <c r="DY52" s="295"/>
      <c r="DZ52" s="295"/>
      <c r="EA52" s="295"/>
      <c r="EB52" s="295"/>
      <c r="EC52" s="295"/>
      <c r="ED52" s="295"/>
      <c r="EE52" s="295"/>
      <c r="EF52" s="295"/>
      <c r="EG52" s="295"/>
      <c r="EH52" s="295"/>
      <c r="EI52" s="295"/>
      <c r="EJ52" s="295"/>
      <c r="EK52" s="295"/>
      <c r="EL52" s="295"/>
      <c r="EM52" s="295"/>
      <c r="EN52" s="295"/>
      <c r="EO52" s="295"/>
      <c r="EP52" s="295"/>
      <c r="EQ52" s="295"/>
      <c r="ER52" s="295"/>
      <c r="ES52" s="295"/>
      <c r="ET52" s="295"/>
      <c r="EU52" s="295"/>
      <c r="EV52" s="295"/>
      <c r="EW52" s="295"/>
      <c r="EX52" s="295"/>
      <c r="EY52" s="295"/>
      <c r="EZ52" s="295"/>
      <c r="FA52" s="295"/>
      <c r="FB52" s="295"/>
      <c r="FC52" s="295"/>
      <c r="FD52" s="295"/>
      <c r="FE52" s="295"/>
      <c r="FF52" s="295"/>
      <c r="FG52" s="295"/>
      <c r="FH52" s="295"/>
      <c r="FI52" s="295"/>
      <c r="FJ52" s="295"/>
      <c r="FK52" s="295"/>
      <c r="FL52" s="295"/>
      <c r="FM52" s="295"/>
      <c r="FN52" s="295"/>
      <c r="FO52" s="295"/>
      <c r="FP52" s="295"/>
      <c r="FQ52" s="295"/>
      <c r="FR52" s="295"/>
      <c r="FS52" s="295"/>
      <c r="FT52" s="295"/>
      <c r="FU52" s="295"/>
      <c r="FV52" s="295"/>
      <c r="FW52" s="295"/>
      <c r="FX52" s="295"/>
      <c r="FY52" s="295"/>
      <c r="FZ52" s="295"/>
      <c r="GA52" s="295"/>
      <c r="GB52" s="295"/>
      <c r="GC52" s="295"/>
      <c r="GD52" s="295"/>
      <c r="GE52" s="295"/>
      <c r="GF52" s="295"/>
      <c r="GG52" s="295"/>
      <c r="GH52" s="295"/>
      <c r="GI52" s="295"/>
      <c r="GJ52" s="295"/>
      <c r="GK52" s="295"/>
      <c r="GL52" s="295"/>
      <c r="GM52" s="295"/>
      <c r="GN52" s="295"/>
      <c r="GO52" s="295"/>
      <c r="GP52" s="295"/>
      <c r="GQ52" s="295"/>
      <c r="GR52" s="295"/>
      <c r="GS52" s="295"/>
      <c r="GT52" s="295"/>
      <c r="GU52" s="295"/>
      <c r="GV52" s="295"/>
      <c r="GW52" s="295"/>
      <c r="GX52" s="295"/>
      <c r="GY52" s="295"/>
      <c r="GZ52" s="295"/>
      <c r="HA52" s="295"/>
      <c r="HB52" s="295"/>
      <c r="HC52" s="295"/>
      <c r="HD52" s="295"/>
      <c r="HE52" s="295"/>
      <c r="HF52" s="295"/>
      <c r="HG52" s="295"/>
      <c r="HH52" s="295"/>
      <c r="HI52" s="295"/>
      <c r="HJ52" s="295"/>
      <c r="HK52" s="295"/>
      <c r="HL52" s="295"/>
      <c r="HM52" s="295"/>
      <c r="HN52" s="295"/>
      <c r="HO52" s="295"/>
      <c r="HP52" s="295"/>
      <c r="HQ52" s="295"/>
      <c r="HR52" s="295"/>
      <c r="HS52" s="295"/>
      <c r="HT52" s="295"/>
      <c r="HU52" s="295"/>
      <c r="HV52" s="295"/>
      <c r="HW52" s="295"/>
      <c r="HX52" s="295"/>
      <c r="HY52" s="295"/>
      <c r="HZ52" s="295"/>
      <c r="IA52" s="295"/>
      <c r="IB52" s="295"/>
      <c r="IC52" s="295"/>
      <c r="ID52" s="295"/>
      <c r="IE52" s="295"/>
      <c r="IF52" s="295"/>
      <c r="IG52" s="295"/>
      <c r="IH52" s="295"/>
      <c r="II52" s="295"/>
      <c r="IJ52" s="295"/>
      <c r="IK52" s="295"/>
      <c r="IL52" s="295"/>
      <c r="IM52" s="295"/>
      <c r="IN52" s="295"/>
      <c r="IO52" s="295"/>
      <c r="IP52" s="295"/>
      <c r="IQ52" s="295"/>
      <c r="IR52" s="295"/>
    </row>
    <row r="53" spans="1:252" ht="14.25">
      <c r="A53" s="292"/>
      <c r="B53" s="314" t="str">
        <f>'Cashflow Ann'!E14</f>
        <v xml:space="preserve">Cash out on Inventory </v>
      </c>
      <c r="C53" s="292"/>
      <c r="D53" s="317">
        <f ca="1">'Cashflow Ann'!J14</f>
        <v>-251999.99999999997</v>
      </c>
      <c r="E53" s="317">
        <f ca="1">'Cashflow Ann'!K14</f>
        <v>-650999.99999999988</v>
      </c>
      <c r="F53" s="317">
        <f ca="1">'Cashflow Ann'!L14</f>
        <v>-850499.99999999988</v>
      </c>
      <c r="G53" s="317">
        <f ca="1">'Cashflow Ann'!M14</f>
        <v>-1553999.9999999998</v>
      </c>
      <c r="H53" s="317">
        <f ca="1">'Cashflow Ann'!N14</f>
        <v>-2393999.9999999995</v>
      </c>
      <c r="I53" s="292"/>
      <c r="J53" s="292"/>
      <c r="K53" s="294"/>
      <c r="L53" s="294"/>
      <c r="M53" s="294"/>
      <c r="N53" s="294"/>
      <c r="O53" s="294"/>
      <c r="P53" s="294"/>
      <c r="Q53" s="294"/>
      <c r="R53" s="294"/>
      <c r="S53" s="294"/>
      <c r="T53" s="294"/>
      <c r="U53" s="294"/>
      <c r="V53" s="294"/>
      <c r="W53" s="294"/>
      <c r="X53" s="294"/>
      <c r="Y53" s="294"/>
      <c r="Z53" s="294"/>
      <c r="AA53" s="294"/>
      <c r="AB53" s="294"/>
      <c r="AC53" s="294"/>
      <c r="AD53" s="294"/>
      <c r="AE53" s="294"/>
      <c r="AF53" s="294"/>
      <c r="AG53" s="294"/>
      <c r="AH53" s="294"/>
      <c r="AI53" s="294"/>
      <c r="AJ53" s="294"/>
      <c r="AK53" s="294"/>
      <c r="AL53" s="294"/>
      <c r="AM53" s="294"/>
      <c r="AN53" s="294"/>
      <c r="AO53" s="294"/>
      <c r="AP53" s="294"/>
      <c r="AQ53" s="294"/>
      <c r="AR53" s="294"/>
      <c r="AS53" s="294"/>
      <c r="AT53" s="294"/>
      <c r="AU53" s="294"/>
      <c r="AV53" s="294"/>
      <c r="AW53" s="294"/>
      <c r="AX53" s="294"/>
      <c r="AY53" s="294"/>
      <c r="AZ53" s="294"/>
      <c r="BA53" s="294"/>
      <c r="BB53" s="294"/>
      <c r="BC53" s="294"/>
      <c r="BD53" s="294"/>
      <c r="BE53" s="294"/>
      <c r="BF53" s="294"/>
      <c r="BG53" s="294"/>
      <c r="BH53" s="294"/>
      <c r="BI53" s="294"/>
      <c r="BJ53" s="294"/>
      <c r="BK53" s="294"/>
      <c r="BL53" s="294"/>
      <c r="BM53" s="294"/>
      <c r="BN53" s="294"/>
      <c r="BO53" s="294"/>
      <c r="BP53" s="294"/>
      <c r="BQ53" s="294"/>
      <c r="BR53" s="294"/>
      <c r="BS53" s="294"/>
      <c r="BT53" s="294"/>
      <c r="BU53" s="294"/>
      <c r="BV53" s="294"/>
      <c r="BW53" s="294"/>
      <c r="BX53" s="294"/>
      <c r="BY53" s="294"/>
      <c r="BZ53" s="294"/>
      <c r="CA53" s="294"/>
      <c r="CB53" s="294"/>
      <c r="CC53" s="294"/>
      <c r="CD53" s="294"/>
      <c r="CE53" s="294"/>
      <c r="CF53" s="294"/>
      <c r="CG53" s="294"/>
      <c r="CH53" s="294"/>
      <c r="CI53" s="294"/>
      <c r="CJ53" s="294"/>
      <c r="CK53" s="294"/>
      <c r="CL53" s="294"/>
      <c r="CM53" s="294"/>
      <c r="CN53" s="294"/>
      <c r="CO53" s="294"/>
      <c r="CP53" s="294"/>
      <c r="CQ53" s="294"/>
      <c r="CR53" s="294"/>
      <c r="CS53" s="294"/>
      <c r="CT53" s="294"/>
      <c r="CU53" s="294"/>
      <c r="CV53" s="294"/>
      <c r="CW53" s="294"/>
      <c r="CX53" s="294"/>
      <c r="CY53" s="294"/>
      <c r="CZ53" s="294"/>
      <c r="DA53" s="294"/>
      <c r="DB53" s="294"/>
      <c r="DC53" s="294"/>
      <c r="DD53" s="294"/>
      <c r="DE53" s="294"/>
      <c r="DF53" s="294"/>
      <c r="DG53" s="294"/>
      <c r="DH53" s="294"/>
      <c r="DI53" s="294"/>
      <c r="DJ53" s="294"/>
      <c r="DK53" s="294"/>
      <c r="DL53" s="294"/>
      <c r="DM53" s="294"/>
      <c r="DN53" s="294"/>
      <c r="DO53" s="294"/>
      <c r="DP53" s="294"/>
      <c r="DQ53" s="294"/>
      <c r="DR53" s="294"/>
      <c r="DS53" s="294"/>
      <c r="DT53" s="294"/>
      <c r="DU53" s="294"/>
      <c r="DV53" s="294"/>
      <c r="DW53" s="294"/>
      <c r="DX53" s="294"/>
      <c r="DY53" s="294"/>
      <c r="DZ53" s="294"/>
      <c r="EA53" s="294"/>
      <c r="EB53" s="294"/>
      <c r="EC53" s="294"/>
      <c r="ED53" s="294"/>
      <c r="EE53" s="294"/>
      <c r="EF53" s="294"/>
      <c r="EG53" s="294"/>
      <c r="EH53" s="294"/>
      <c r="EI53" s="294"/>
      <c r="EJ53" s="294"/>
      <c r="EK53" s="294"/>
      <c r="EL53" s="294"/>
      <c r="EM53" s="294"/>
      <c r="EN53" s="294"/>
      <c r="EO53" s="294"/>
      <c r="EP53" s="294"/>
      <c r="EQ53" s="294"/>
      <c r="ER53" s="294"/>
      <c r="ES53" s="294"/>
      <c r="ET53" s="294"/>
      <c r="EU53" s="294"/>
      <c r="EV53" s="294"/>
      <c r="EW53" s="294"/>
      <c r="EX53" s="294"/>
      <c r="EY53" s="294"/>
      <c r="EZ53" s="294"/>
      <c r="FA53" s="294"/>
      <c r="FB53" s="294"/>
      <c r="FC53" s="294"/>
      <c r="FD53" s="294"/>
      <c r="FE53" s="294"/>
      <c r="FF53" s="294"/>
      <c r="FG53" s="294"/>
      <c r="FH53" s="294"/>
      <c r="FI53" s="294"/>
      <c r="FJ53" s="294"/>
      <c r="FK53" s="294"/>
      <c r="FL53" s="294"/>
      <c r="FM53" s="294"/>
      <c r="FN53" s="294"/>
      <c r="FO53" s="294"/>
      <c r="FP53" s="294"/>
      <c r="FQ53" s="294"/>
      <c r="FR53" s="294"/>
      <c r="FS53" s="294"/>
      <c r="FT53" s="294"/>
      <c r="FU53" s="294"/>
      <c r="FV53" s="294"/>
      <c r="FW53" s="294"/>
      <c r="FX53" s="294"/>
      <c r="FY53" s="294"/>
      <c r="FZ53" s="294"/>
      <c r="GA53" s="294"/>
      <c r="GB53" s="294"/>
      <c r="GC53" s="294"/>
      <c r="GD53" s="294"/>
      <c r="GE53" s="294"/>
      <c r="GF53" s="294"/>
      <c r="GG53" s="294"/>
      <c r="GH53" s="294"/>
      <c r="GI53" s="294"/>
      <c r="GJ53" s="294"/>
      <c r="GK53" s="294"/>
      <c r="GL53" s="294"/>
      <c r="GM53" s="294"/>
      <c r="GN53" s="294"/>
      <c r="GO53" s="294"/>
      <c r="GP53" s="294"/>
      <c r="GQ53" s="294"/>
      <c r="GR53" s="294"/>
      <c r="GS53" s="294"/>
      <c r="GT53" s="294"/>
      <c r="GU53" s="294"/>
      <c r="GV53" s="294"/>
      <c r="GW53" s="294"/>
      <c r="GX53" s="294"/>
      <c r="GY53" s="294"/>
      <c r="GZ53" s="294"/>
      <c r="HA53" s="294"/>
      <c r="HB53" s="294"/>
      <c r="HC53" s="294"/>
      <c r="HD53" s="294"/>
      <c r="HE53" s="294"/>
      <c r="HF53" s="294"/>
      <c r="HG53" s="294"/>
      <c r="HH53" s="294"/>
      <c r="HI53" s="294"/>
      <c r="HJ53" s="294"/>
      <c r="HK53" s="294"/>
      <c r="HL53" s="294"/>
      <c r="HM53" s="294"/>
      <c r="HN53" s="294"/>
      <c r="HO53" s="294"/>
      <c r="HP53" s="294"/>
      <c r="HQ53" s="294"/>
      <c r="HR53" s="294"/>
      <c r="HS53" s="294"/>
      <c r="HT53" s="294"/>
      <c r="HU53" s="294"/>
      <c r="HV53" s="294"/>
      <c r="HW53" s="294"/>
      <c r="HX53" s="294"/>
      <c r="HY53" s="294"/>
      <c r="HZ53" s="294"/>
      <c r="IA53" s="294"/>
      <c r="IB53" s="294"/>
      <c r="IC53" s="294"/>
      <c r="ID53" s="294"/>
      <c r="IE53" s="294"/>
      <c r="IF53" s="294"/>
      <c r="IG53" s="294"/>
      <c r="IH53" s="294"/>
      <c r="II53" s="294"/>
      <c r="IJ53" s="294"/>
      <c r="IK53" s="294"/>
      <c r="IL53" s="294"/>
      <c r="IM53" s="294"/>
      <c r="IN53" s="294"/>
      <c r="IO53" s="294"/>
      <c r="IP53" s="294"/>
      <c r="IQ53" s="294"/>
      <c r="IR53" s="294"/>
    </row>
    <row r="54" spans="1:252" ht="14.25">
      <c r="A54" s="292"/>
      <c r="B54" s="322" t="str">
        <f>'Cashflow Ann'!E15</f>
        <v>CF after capex</v>
      </c>
      <c r="C54" s="321"/>
      <c r="D54" s="316">
        <f ca="1">'Cashflow Ann'!J15</f>
        <v>-149511.18483906068</v>
      </c>
      <c r="E54" s="316">
        <f ca="1">'Cashflow Ann'!K15</f>
        <v>753355.06277706625</v>
      </c>
      <c r="F54" s="316">
        <f ca="1">'Cashflow Ann'!L15</f>
        <v>3777539.1923885574</v>
      </c>
      <c r="G54" s="316">
        <f ca="1">'Cashflow Ann'!M15</f>
        <v>8719429.0652998071</v>
      </c>
      <c r="H54" s="316">
        <f ca="1">'Cashflow Ann'!N15</f>
        <v>18536804.129704427</v>
      </c>
      <c r="I54" s="292"/>
      <c r="J54" s="292"/>
      <c r="K54" s="294"/>
      <c r="L54" s="294"/>
      <c r="M54" s="294"/>
      <c r="N54" s="294"/>
      <c r="O54" s="294"/>
      <c r="P54" s="294"/>
      <c r="Q54" s="294"/>
      <c r="R54" s="294"/>
      <c r="S54" s="294"/>
      <c r="T54" s="294"/>
      <c r="U54" s="294"/>
      <c r="V54" s="294"/>
      <c r="W54" s="294"/>
      <c r="X54" s="294"/>
      <c r="Y54" s="294"/>
      <c r="Z54" s="294"/>
      <c r="AA54" s="294"/>
      <c r="AB54" s="294"/>
      <c r="AC54" s="294"/>
      <c r="AD54" s="294"/>
      <c r="AE54" s="294"/>
      <c r="AF54" s="294"/>
      <c r="AG54" s="294"/>
      <c r="AH54" s="294"/>
      <c r="AI54" s="294"/>
      <c r="AJ54" s="294"/>
      <c r="AK54" s="294"/>
      <c r="AL54" s="294"/>
      <c r="AM54" s="294"/>
      <c r="AN54" s="294"/>
      <c r="AO54" s="294"/>
      <c r="AP54" s="294"/>
      <c r="AQ54" s="294"/>
      <c r="AR54" s="294"/>
      <c r="AS54" s="294"/>
      <c r="AT54" s="294"/>
      <c r="AU54" s="294"/>
      <c r="AV54" s="294"/>
      <c r="AW54" s="294"/>
      <c r="AX54" s="294"/>
      <c r="AY54" s="294"/>
      <c r="AZ54" s="294"/>
      <c r="BA54" s="294"/>
      <c r="BB54" s="294"/>
      <c r="BC54" s="294"/>
      <c r="BD54" s="294"/>
      <c r="BE54" s="294"/>
      <c r="BF54" s="294"/>
      <c r="BG54" s="294"/>
      <c r="BH54" s="294"/>
      <c r="BI54" s="294"/>
      <c r="BJ54" s="294"/>
      <c r="BK54" s="294"/>
      <c r="BL54" s="294"/>
      <c r="BM54" s="294"/>
      <c r="BN54" s="294"/>
      <c r="BO54" s="294"/>
      <c r="BP54" s="294"/>
      <c r="BQ54" s="294"/>
      <c r="BR54" s="294"/>
      <c r="BS54" s="294"/>
      <c r="BT54" s="294"/>
      <c r="BU54" s="294"/>
      <c r="BV54" s="294"/>
      <c r="BW54" s="294"/>
      <c r="BX54" s="294"/>
      <c r="BY54" s="294"/>
      <c r="BZ54" s="294"/>
      <c r="CA54" s="294"/>
      <c r="CB54" s="294"/>
      <c r="CC54" s="294"/>
      <c r="CD54" s="294"/>
      <c r="CE54" s="294"/>
      <c r="CF54" s="294"/>
      <c r="CG54" s="294"/>
      <c r="CH54" s="294"/>
      <c r="CI54" s="294"/>
      <c r="CJ54" s="294"/>
      <c r="CK54" s="294"/>
      <c r="CL54" s="294"/>
      <c r="CM54" s="294"/>
      <c r="CN54" s="294"/>
      <c r="CO54" s="294"/>
      <c r="CP54" s="294"/>
      <c r="CQ54" s="294"/>
      <c r="CR54" s="294"/>
      <c r="CS54" s="294"/>
      <c r="CT54" s="294"/>
      <c r="CU54" s="294"/>
      <c r="CV54" s="294"/>
      <c r="CW54" s="294"/>
      <c r="CX54" s="294"/>
      <c r="CY54" s="294"/>
      <c r="CZ54" s="294"/>
      <c r="DA54" s="294"/>
      <c r="DB54" s="294"/>
      <c r="DC54" s="294"/>
      <c r="DD54" s="294"/>
      <c r="DE54" s="294"/>
      <c r="DF54" s="294"/>
      <c r="DG54" s="294"/>
      <c r="DH54" s="294"/>
      <c r="DI54" s="294"/>
      <c r="DJ54" s="294"/>
      <c r="DK54" s="294"/>
      <c r="DL54" s="294"/>
      <c r="DM54" s="294"/>
      <c r="DN54" s="294"/>
      <c r="DO54" s="294"/>
      <c r="DP54" s="294"/>
      <c r="DQ54" s="294"/>
      <c r="DR54" s="294"/>
      <c r="DS54" s="294"/>
      <c r="DT54" s="294"/>
      <c r="DU54" s="294"/>
      <c r="DV54" s="294"/>
      <c r="DW54" s="294"/>
      <c r="DX54" s="294"/>
      <c r="DY54" s="294"/>
      <c r="DZ54" s="294"/>
      <c r="EA54" s="294"/>
      <c r="EB54" s="294"/>
      <c r="EC54" s="294"/>
      <c r="ED54" s="294"/>
      <c r="EE54" s="294"/>
      <c r="EF54" s="294"/>
      <c r="EG54" s="294"/>
      <c r="EH54" s="294"/>
      <c r="EI54" s="294"/>
      <c r="EJ54" s="294"/>
      <c r="EK54" s="294"/>
      <c r="EL54" s="294"/>
      <c r="EM54" s="294"/>
      <c r="EN54" s="294"/>
      <c r="EO54" s="294"/>
      <c r="EP54" s="294"/>
      <c r="EQ54" s="294"/>
      <c r="ER54" s="294"/>
      <c r="ES54" s="294"/>
      <c r="ET54" s="294"/>
      <c r="EU54" s="294"/>
      <c r="EV54" s="294"/>
      <c r="EW54" s="294"/>
      <c r="EX54" s="294"/>
      <c r="EY54" s="294"/>
      <c r="EZ54" s="294"/>
      <c r="FA54" s="294"/>
      <c r="FB54" s="294"/>
      <c r="FC54" s="294"/>
      <c r="FD54" s="294"/>
      <c r="FE54" s="294"/>
      <c r="FF54" s="294"/>
      <c r="FG54" s="294"/>
      <c r="FH54" s="294"/>
      <c r="FI54" s="294"/>
      <c r="FJ54" s="294"/>
      <c r="FK54" s="294"/>
      <c r="FL54" s="294"/>
      <c r="FM54" s="294"/>
      <c r="FN54" s="294"/>
      <c r="FO54" s="294"/>
      <c r="FP54" s="294"/>
      <c r="FQ54" s="294"/>
      <c r="FR54" s="294"/>
      <c r="FS54" s="294"/>
      <c r="FT54" s="294"/>
      <c r="FU54" s="294"/>
      <c r="FV54" s="294"/>
      <c r="FW54" s="294"/>
      <c r="FX54" s="294"/>
      <c r="FY54" s="294"/>
      <c r="FZ54" s="294"/>
      <c r="GA54" s="294"/>
      <c r="GB54" s="294"/>
      <c r="GC54" s="294"/>
      <c r="GD54" s="294"/>
      <c r="GE54" s="294"/>
      <c r="GF54" s="294"/>
      <c r="GG54" s="294"/>
      <c r="GH54" s="294"/>
      <c r="GI54" s="294"/>
      <c r="GJ54" s="294"/>
      <c r="GK54" s="294"/>
      <c r="GL54" s="294"/>
      <c r="GM54" s="294"/>
      <c r="GN54" s="294"/>
      <c r="GO54" s="294"/>
      <c r="GP54" s="294"/>
      <c r="GQ54" s="294"/>
      <c r="GR54" s="294"/>
      <c r="GS54" s="294"/>
      <c r="GT54" s="294"/>
      <c r="GU54" s="294"/>
      <c r="GV54" s="294"/>
      <c r="GW54" s="294"/>
      <c r="GX54" s="294"/>
      <c r="GY54" s="294"/>
      <c r="GZ54" s="294"/>
      <c r="HA54" s="294"/>
      <c r="HB54" s="294"/>
      <c r="HC54" s="294"/>
      <c r="HD54" s="294"/>
      <c r="HE54" s="294"/>
      <c r="HF54" s="294"/>
      <c r="HG54" s="294"/>
      <c r="HH54" s="294"/>
      <c r="HI54" s="294"/>
      <c r="HJ54" s="294"/>
      <c r="HK54" s="294"/>
      <c r="HL54" s="294"/>
      <c r="HM54" s="294"/>
      <c r="HN54" s="294"/>
      <c r="HO54" s="294"/>
      <c r="HP54" s="294"/>
      <c r="HQ54" s="294"/>
      <c r="HR54" s="294"/>
      <c r="HS54" s="294"/>
      <c r="HT54" s="294"/>
      <c r="HU54" s="294"/>
      <c r="HV54" s="294"/>
      <c r="HW54" s="294"/>
      <c r="HX54" s="294"/>
      <c r="HY54" s="294"/>
      <c r="HZ54" s="294"/>
      <c r="IA54" s="294"/>
      <c r="IB54" s="294"/>
      <c r="IC54" s="294"/>
      <c r="ID54" s="294"/>
      <c r="IE54" s="294"/>
      <c r="IF54" s="294"/>
      <c r="IG54" s="294"/>
      <c r="IH54" s="294"/>
      <c r="II54" s="294"/>
      <c r="IJ54" s="294"/>
      <c r="IK54" s="294"/>
      <c r="IL54" s="294"/>
      <c r="IM54" s="294"/>
      <c r="IN54" s="294"/>
      <c r="IO54" s="294"/>
      <c r="IP54" s="294"/>
      <c r="IQ54" s="294"/>
      <c r="IR54" s="294"/>
    </row>
    <row r="55" spans="1:252" ht="14.25">
      <c r="A55" s="292"/>
      <c r="C55" s="292"/>
      <c r="D55" s="317"/>
      <c r="E55" s="317"/>
      <c r="F55" s="317"/>
      <c r="G55" s="317"/>
      <c r="H55" s="317"/>
      <c r="I55" s="292"/>
      <c r="J55" s="292"/>
      <c r="K55" s="294"/>
      <c r="L55" s="294"/>
      <c r="M55" s="294"/>
      <c r="N55" s="294"/>
      <c r="O55" s="294"/>
      <c r="P55" s="294"/>
      <c r="Q55" s="294"/>
      <c r="R55" s="294"/>
      <c r="S55" s="294"/>
      <c r="T55" s="294"/>
      <c r="U55" s="294"/>
      <c r="V55" s="294"/>
      <c r="W55" s="294"/>
      <c r="X55" s="294"/>
      <c r="Y55" s="294"/>
      <c r="Z55" s="294"/>
      <c r="AA55" s="294"/>
      <c r="AB55" s="294"/>
      <c r="AC55" s="294"/>
      <c r="AD55" s="294"/>
      <c r="AE55" s="294"/>
      <c r="AF55" s="294"/>
      <c r="AG55" s="294"/>
      <c r="AH55" s="294"/>
      <c r="AI55" s="294"/>
      <c r="AJ55" s="294"/>
      <c r="AK55" s="294"/>
      <c r="AL55" s="294"/>
      <c r="AM55" s="294"/>
      <c r="AN55" s="294"/>
      <c r="AO55" s="294"/>
      <c r="AP55" s="294"/>
      <c r="AQ55" s="294"/>
      <c r="AR55" s="294"/>
      <c r="AS55" s="294"/>
      <c r="AT55" s="294"/>
      <c r="AU55" s="294"/>
      <c r="AV55" s="294"/>
      <c r="AW55" s="294"/>
      <c r="AX55" s="294"/>
      <c r="AY55" s="294"/>
      <c r="AZ55" s="294"/>
      <c r="BA55" s="294"/>
      <c r="BB55" s="294"/>
      <c r="BC55" s="294"/>
      <c r="BD55" s="294"/>
      <c r="BE55" s="294"/>
      <c r="BF55" s="294"/>
      <c r="BG55" s="294"/>
      <c r="BH55" s="294"/>
      <c r="BI55" s="294"/>
      <c r="BJ55" s="294"/>
      <c r="BK55" s="294"/>
      <c r="BL55" s="294"/>
      <c r="BM55" s="294"/>
      <c r="BN55" s="294"/>
      <c r="BO55" s="294"/>
      <c r="BP55" s="294"/>
      <c r="BQ55" s="294"/>
      <c r="BR55" s="294"/>
      <c r="BS55" s="294"/>
      <c r="BT55" s="294"/>
      <c r="BU55" s="294"/>
      <c r="BV55" s="294"/>
      <c r="BW55" s="294"/>
      <c r="BX55" s="294"/>
      <c r="BY55" s="294"/>
      <c r="BZ55" s="294"/>
      <c r="CA55" s="294"/>
      <c r="CB55" s="294"/>
      <c r="CC55" s="294"/>
      <c r="CD55" s="294"/>
      <c r="CE55" s="294"/>
      <c r="CF55" s="294"/>
      <c r="CG55" s="294"/>
      <c r="CH55" s="294"/>
      <c r="CI55" s="294"/>
      <c r="CJ55" s="294"/>
      <c r="CK55" s="294"/>
      <c r="CL55" s="294"/>
      <c r="CM55" s="294"/>
      <c r="CN55" s="294"/>
      <c r="CO55" s="294"/>
      <c r="CP55" s="294"/>
      <c r="CQ55" s="294"/>
      <c r="CR55" s="294"/>
      <c r="CS55" s="294"/>
      <c r="CT55" s="294"/>
      <c r="CU55" s="294"/>
      <c r="CV55" s="294"/>
      <c r="CW55" s="294"/>
      <c r="CX55" s="294"/>
      <c r="CY55" s="294"/>
      <c r="CZ55" s="294"/>
      <c r="DA55" s="294"/>
      <c r="DB55" s="294"/>
      <c r="DC55" s="294"/>
      <c r="DD55" s="294"/>
      <c r="DE55" s="294"/>
      <c r="DF55" s="294"/>
      <c r="DG55" s="294"/>
      <c r="DH55" s="294"/>
      <c r="DI55" s="294"/>
      <c r="DJ55" s="294"/>
      <c r="DK55" s="294"/>
      <c r="DL55" s="294"/>
      <c r="DM55" s="294"/>
      <c r="DN55" s="294"/>
      <c r="DO55" s="294"/>
      <c r="DP55" s="294"/>
      <c r="DQ55" s="294"/>
      <c r="DR55" s="294"/>
      <c r="DS55" s="294"/>
      <c r="DT55" s="294"/>
      <c r="DU55" s="294"/>
      <c r="DV55" s="294"/>
      <c r="DW55" s="294"/>
      <c r="DX55" s="294"/>
      <c r="DY55" s="294"/>
      <c r="DZ55" s="294"/>
      <c r="EA55" s="294"/>
      <c r="EB55" s="294"/>
      <c r="EC55" s="294"/>
      <c r="ED55" s="294"/>
      <c r="EE55" s="294"/>
      <c r="EF55" s="294"/>
      <c r="EG55" s="294"/>
      <c r="EH55" s="294"/>
      <c r="EI55" s="294"/>
      <c r="EJ55" s="294"/>
      <c r="EK55" s="294"/>
      <c r="EL55" s="294"/>
      <c r="EM55" s="294"/>
      <c r="EN55" s="294"/>
      <c r="EO55" s="294"/>
      <c r="EP55" s="294"/>
      <c r="EQ55" s="294"/>
      <c r="ER55" s="294"/>
      <c r="ES55" s="294"/>
      <c r="ET55" s="294"/>
      <c r="EU55" s="294"/>
      <c r="EV55" s="294"/>
      <c r="EW55" s="294"/>
      <c r="EX55" s="294"/>
      <c r="EY55" s="294"/>
      <c r="EZ55" s="294"/>
      <c r="FA55" s="294"/>
      <c r="FB55" s="294"/>
      <c r="FC55" s="294"/>
      <c r="FD55" s="294"/>
      <c r="FE55" s="294"/>
      <c r="FF55" s="294"/>
      <c r="FG55" s="294"/>
      <c r="FH55" s="294"/>
      <c r="FI55" s="294"/>
      <c r="FJ55" s="294"/>
      <c r="FK55" s="294"/>
      <c r="FL55" s="294"/>
      <c r="FM55" s="294"/>
      <c r="FN55" s="294"/>
      <c r="FO55" s="294"/>
      <c r="FP55" s="294"/>
      <c r="FQ55" s="294"/>
      <c r="FR55" s="294"/>
      <c r="FS55" s="294"/>
      <c r="FT55" s="294"/>
      <c r="FU55" s="294"/>
      <c r="FV55" s="294"/>
      <c r="FW55" s="294"/>
      <c r="FX55" s="294"/>
      <c r="FY55" s="294"/>
      <c r="FZ55" s="294"/>
      <c r="GA55" s="294"/>
      <c r="GB55" s="294"/>
      <c r="GC55" s="294"/>
      <c r="GD55" s="294"/>
      <c r="GE55" s="294"/>
      <c r="GF55" s="294"/>
      <c r="GG55" s="294"/>
      <c r="GH55" s="294"/>
      <c r="GI55" s="294"/>
      <c r="GJ55" s="294"/>
      <c r="GK55" s="294"/>
      <c r="GL55" s="294"/>
      <c r="GM55" s="294"/>
      <c r="GN55" s="294"/>
      <c r="GO55" s="294"/>
      <c r="GP55" s="294"/>
      <c r="GQ55" s="294"/>
      <c r="GR55" s="294"/>
      <c r="GS55" s="294"/>
      <c r="GT55" s="294"/>
      <c r="GU55" s="294"/>
      <c r="GV55" s="294"/>
      <c r="GW55" s="294"/>
      <c r="GX55" s="294"/>
      <c r="GY55" s="294"/>
      <c r="GZ55" s="294"/>
      <c r="HA55" s="294"/>
      <c r="HB55" s="294"/>
      <c r="HC55" s="294"/>
      <c r="HD55" s="294"/>
      <c r="HE55" s="294"/>
      <c r="HF55" s="294"/>
      <c r="HG55" s="294"/>
      <c r="HH55" s="294"/>
      <c r="HI55" s="294"/>
      <c r="HJ55" s="294"/>
      <c r="HK55" s="294"/>
      <c r="HL55" s="294"/>
      <c r="HM55" s="294"/>
      <c r="HN55" s="294"/>
      <c r="HO55" s="294"/>
      <c r="HP55" s="294"/>
      <c r="HQ55" s="294"/>
      <c r="HR55" s="294"/>
      <c r="HS55" s="294"/>
      <c r="HT55" s="294"/>
      <c r="HU55" s="294"/>
      <c r="HV55" s="294"/>
      <c r="HW55" s="294"/>
      <c r="HX55" s="294"/>
      <c r="HY55" s="294"/>
      <c r="HZ55" s="294"/>
      <c r="IA55" s="294"/>
      <c r="IB55" s="294"/>
      <c r="IC55" s="294"/>
      <c r="ID55" s="294"/>
      <c r="IE55" s="294"/>
      <c r="IF55" s="294"/>
      <c r="IG55" s="294"/>
      <c r="IH55" s="294"/>
      <c r="II55" s="294"/>
      <c r="IJ55" s="294"/>
      <c r="IK55" s="294"/>
      <c r="IL55" s="294"/>
      <c r="IM55" s="294"/>
      <c r="IN55" s="294"/>
      <c r="IO55" s="294"/>
      <c r="IP55" s="294"/>
      <c r="IQ55" s="294"/>
      <c r="IR55" s="294"/>
    </row>
    <row r="56" spans="1:252" ht="14.25">
      <c r="A56" s="292"/>
      <c r="B56" s="314" t="str">
        <f>'Cashflow Ann'!E17</f>
        <v>Supply Chain Finance drawdown</v>
      </c>
      <c r="C56" s="292"/>
      <c r="D56" s="317">
        <f ca="1">'Cashflow Ann'!J17</f>
        <v>0</v>
      </c>
      <c r="E56" s="317">
        <f ca="1">'Cashflow Ann'!K17</f>
        <v>0</v>
      </c>
      <c r="F56" s="317">
        <f ca="1">'Cashflow Ann'!L17</f>
        <v>0</v>
      </c>
      <c r="G56" s="317">
        <f ca="1">'Cashflow Ann'!M17</f>
        <v>0</v>
      </c>
      <c r="H56" s="317">
        <f ca="1">'Cashflow Ann'!N17</f>
        <v>0</v>
      </c>
      <c r="I56" s="292"/>
      <c r="J56" s="292"/>
      <c r="K56" s="294"/>
      <c r="L56" s="294"/>
      <c r="M56" s="294"/>
      <c r="N56" s="294"/>
      <c r="O56" s="294"/>
      <c r="P56" s="294"/>
      <c r="Q56" s="294"/>
      <c r="R56" s="294"/>
      <c r="S56" s="294"/>
      <c r="T56" s="294"/>
      <c r="U56" s="294"/>
      <c r="V56" s="294"/>
      <c r="W56" s="294"/>
      <c r="X56" s="294"/>
      <c r="Y56" s="294"/>
      <c r="Z56" s="294"/>
      <c r="AA56" s="294"/>
      <c r="AB56" s="294"/>
      <c r="AC56" s="294"/>
      <c r="AD56" s="294"/>
      <c r="AE56" s="294"/>
      <c r="AF56" s="294"/>
      <c r="AG56" s="294"/>
      <c r="AH56" s="294"/>
      <c r="AI56" s="294"/>
      <c r="AJ56" s="294"/>
      <c r="AK56" s="294"/>
      <c r="AL56" s="294"/>
      <c r="AM56" s="294"/>
      <c r="AN56" s="294"/>
      <c r="AO56" s="294"/>
      <c r="AP56" s="294"/>
      <c r="AQ56" s="294"/>
      <c r="AR56" s="294"/>
      <c r="AS56" s="294"/>
      <c r="AT56" s="294"/>
      <c r="AU56" s="294"/>
      <c r="AV56" s="294"/>
      <c r="AW56" s="294"/>
      <c r="AX56" s="294"/>
      <c r="AY56" s="294"/>
      <c r="AZ56" s="294"/>
      <c r="BA56" s="294"/>
      <c r="BB56" s="294"/>
      <c r="BC56" s="294"/>
      <c r="BD56" s="294"/>
      <c r="BE56" s="294"/>
      <c r="BF56" s="294"/>
      <c r="BG56" s="294"/>
      <c r="BH56" s="294"/>
      <c r="BI56" s="294"/>
      <c r="BJ56" s="294"/>
      <c r="BK56" s="294"/>
      <c r="BL56" s="294"/>
      <c r="BM56" s="294"/>
      <c r="BN56" s="294"/>
      <c r="BO56" s="294"/>
      <c r="BP56" s="294"/>
      <c r="BQ56" s="294"/>
      <c r="BR56" s="294"/>
      <c r="BS56" s="294"/>
      <c r="BT56" s="294"/>
      <c r="BU56" s="294"/>
      <c r="BV56" s="294"/>
      <c r="BW56" s="294"/>
      <c r="BX56" s="294"/>
      <c r="BY56" s="294"/>
      <c r="BZ56" s="294"/>
      <c r="CA56" s="294"/>
      <c r="CB56" s="294"/>
      <c r="CC56" s="294"/>
      <c r="CD56" s="294"/>
      <c r="CE56" s="294"/>
      <c r="CF56" s="294"/>
      <c r="CG56" s="294"/>
      <c r="CH56" s="294"/>
      <c r="CI56" s="294"/>
      <c r="CJ56" s="294"/>
      <c r="CK56" s="294"/>
      <c r="CL56" s="294"/>
      <c r="CM56" s="294"/>
      <c r="CN56" s="294"/>
      <c r="CO56" s="294"/>
      <c r="CP56" s="294"/>
      <c r="CQ56" s="294"/>
      <c r="CR56" s="294"/>
      <c r="CS56" s="294"/>
      <c r="CT56" s="294"/>
      <c r="CU56" s="294"/>
      <c r="CV56" s="294"/>
      <c r="CW56" s="294"/>
      <c r="CX56" s="294"/>
      <c r="CY56" s="294"/>
      <c r="CZ56" s="294"/>
      <c r="DA56" s="294"/>
      <c r="DB56" s="294"/>
      <c r="DC56" s="294"/>
      <c r="DD56" s="294"/>
      <c r="DE56" s="294"/>
      <c r="DF56" s="294"/>
      <c r="DG56" s="294"/>
      <c r="DH56" s="294"/>
      <c r="DI56" s="294"/>
      <c r="DJ56" s="294"/>
      <c r="DK56" s="294"/>
      <c r="DL56" s="294"/>
      <c r="DM56" s="294"/>
      <c r="DN56" s="294"/>
      <c r="DO56" s="294"/>
      <c r="DP56" s="294"/>
      <c r="DQ56" s="294"/>
      <c r="DR56" s="294"/>
      <c r="DS56" s="294"/>
      <c r="DT56" s="294"/>
      <c r="DU56" s="294"/>
      <c r="DV56" s="294"/>
      <c r="DW56" s="294"/>
      <c r="DX56" s="294"/>
      <c r="DY56" s="294"/>
      <c r="DZ56" s="294"/>
      <c r="EA56" s="294"/>
      <c r="EB56" s="294"/>
      <c r="EC56" s="294"/>
      <c r="ED56" s="294"/>
      <c r="EE56" s="294"/>
      <c r="EF56" s="294"/>
      <c r="EG56" s="294"/>
      <c r="EH56" s="294"/>
      <c r="EI56" s="294"/>
      <c r="EJ56" s="294"/>
      <c r="EK56" s="294"/>
      <c r="EL56" s="294"/>
      <c r="EM56" s="294"/>
      <c r="EN56" s="294"/>
      <c r="EO56" s="294"/>
      <c r="EP56" s="294"/>
      <c r="EQ56" s="294"/>
      <c r="ER56" s="294"/>
      <c r="ES56" s="294"/>
      <c r="ET56" s="294"/>
      <c r="EU56" s="294"/>
      <c r="EV56" s="294"/>
      <c r="EW56" s="294"/>
      <c r="EX56" s="294"/>
      <c r="EY56" s="294"/>
      <c r="EZ56" s="294"/>
      <c r="FA56" s="294"/>
      <c r="FB56" s="294"/>
      <c r="FC56" s="294"/>
      <c r="FD56" s="294"/>
      <c r="FE56" s="294"/>
      <c r="FF56" s="294"/>
      <c r="FG56" s="294"/>
      <c r="FH56" s="294"/>
      <c r="FI56" s="294"/>
      <c r="FJ56" s="294"/>
      <c r="FK56" s="294"/>
      <c r="FL56" s="294"/>
      <c r="FM56" s="294"/>
      <c r="FN56" s="294"/>
      <c r="FO56" s="294"/>
      <c r="FP56" s="294"/>
      <c r="FQ56" s="294"/>
      <c r="FR56" s="294"/>
      <c r="FS56" s="294"/>
      <c r="FT56" s="294"/>
      <c r="FU56" s="294"/>
      <c r="FV56" s="294"/>
      <c r="FW56" s="294"/>
      <c r="FX56" s="294"/>
      <c r="FY56" s="294"/>
      <c r="FZ56" s="294"/>
      <c r="GA56" s="294"/>
      <c r="GB56" s="294"/>
      <c r="GC56" s="294"/>
      <c r="GD56" s="294"/>
      <c r="GE56" s="294"/>
      <c r="GF56" s="294"/>
      <c r="GG56" s="294"/>
      <c r="GH56" s="294"/>
      <c r="GI56" s="294"/>
      <c r="GJ56" s="294"/>
      <c r="GK56" s="294"/>
      <c r="GL56" s="294"/>
      <c r="GM56" s="294"/>
      <c r="GN56" s="294"/>
      <c r="GO56" s="294"/>
      <c r="GP56" s="294"/>
      <c r="GQ56" s="294"/>
      <c r="GR56" s="294"/>
      <c r="GS56" s="294"/>
      <c r="GT56" s="294"/>
      <c r="GU56" s="294"/>
      <c r="GV56" s="294"/>
      <c r="GW56" s="294"/>
      <c r="GX56" s="294"/>
      <c r="GY56" s="294"/>
      <c r="GZ56" s="294"/>
      <c r="HA56" s="294"/>
      <c r="HB56" s="294"/>
      <c r="HC56" s="294"/>
      <c r="HD56" s="294"/>
      <c r="HE56" s="294"/>
      <c r="HF56" s="294"/>
      <c r="HG56" s="294"/>
      <c r="HH56" s="294"/>
      <c r="HI56" s="294"/>
      <c r="HJ56" s="294"/>
      <c r="HK56" s="294"/>
      <c r="HL56" s="294"/>
      <c r="HM56" s="294"/>
      <c r="HN56" s="294"/>
      <c r="HO56" s="294"/>
      <c r="HP56" s="294"/>
      <c r="HQ56" s="294"/>
      <c r="HR56" s="294"/>
      <c r="HS56" s="294"/>
      <c r="HT56" s="294"/>
      <c r="HU56" s="294"/>
      <c r="HV56" s="294"/>
      <c r="HW56" s="294"/>
      <c r="HX56" s="294"/>
      <c r="HY56" s="294"/>
      <c r="HZ56" s="294"/>
      <c r="IA56" s="294"/>
      <c r="IB56" s="294"/>
      <c r="IC56" s="294"/>
      <c r="ID56" s="294"/>
      <c r="IE56" s="294"/>
      <c r="IF56" s="294"/>
      <c r="IG56" s="294"/>
      <c r="IH56" s="294"/>
      <c r="II56" s="294"/>
      <c r="IJ56" s="294"/>
      <c r="IK56" s="294"/>
      <c r="IL56" s="294"/>
      <c r="IM56" s="294"/>
      <c r="IN56" s="294"/>
      <c r="IO56" s="294"/>
      <c r="IP56" s="294"/>
      <c r="IQ56" s="294"/>
      <c r="IR56" s="294"/>
    </row>
    <row r="57" spans="1:252" ht="14.25">
      <c r="A57" s="292"/>
      <c r="B57" s="314" t="str">
        <f>'Cashflow Ann'!E18</f>
        <v xml:space="preserve">Supply Chain Finance principal repayment </v>
      </c>
      <c r="C57" s="292"/>
      <c r="D57" s="317">
        <f ca="1">'Cashflow Ann'!J18</f>
        <v>0</v>
      </c>
      <c r="E57" s="317">
        <f ca="1">'Cashflow Ann'!K18</f>
        <v>0</v>
      </c>
      <c r="F57" s="317">
        <f ca="1">'Cashflow Ann'!L18</f>
        <v>0</v>
      </c>
      <c r="G57" s="317">
        <f ca="1">'Cashflow Ann'!M18</f>
        <v>0</v>
      </c>
      <c r="H57" s="317">
        <f ca="1">'Cashflow Ann'!N18</f>
        <v>0</v>
      </c>
      <c r="I57" s="292"/>
      <c r="J57" s="292"/>
      <c r="K57" s="294"/>
      <c r="L57" s="294"/>
      <c r="M57" s="294"/>
      <c r="N57" s="294"/>
      <c r="O57" s="294"/>
      <c r="P57" s="294"/>
      <c r="Q57" s="294"/>
      <c r="R57" s="294"/>
      <c r="S57" s="294"/>
      <c r="T57" s="294"/>
      <c r="U57" s="294"/>
      <c r="V57" s="294"/>
      <c r="W57" s="294"/>
      <c r="X57" s="294"/>
      <c r="Y57" s="294"/>
      <c r="Z57" s="294"/>
      <c r="AA57" s="294"/>
      <c r="AB57" s="294"/>
      <c r="AC57" s="294"/>
      <c r="AD57" s="294"/>
      <c r="AE57" s="294"/>
      <c r="AF57" s="294"/>
      <c r="AG57" s="294"/>
      <c r="AH57" s="294"/>
      <c r="AI57" s="294"/>
      <c r="AJ57" s="294"/>
      <c r="AK57" s="294"/>
      <c r="AL57" s="294"/>
      <c r="AM57" s="294"/>
      <c r="AN57" s="294"/>
      <c r="AO57" s="294"/>
      <c r="AP57" s="294"/>
      <c r="AQ57" s="294"/>
      <c r="AR57" s="294"/>
      <c r="AS57" s="294"/>
      <c r="AT57" s="294"/>
      <c r="AU57" s="294"/>
      <c r="AV57" s="294"/>
      <c r="AW57" s="294"/>
      <c r="AX57" s="294"/>
      <c r="AY57" s="294"/>
      <c r="AZ57" s="294"/>
      <c r="BA57" s="294"/>
      <c r="BB57" s="294"/>
      <c r="BC57" s="294"/>
      <c r="BD57" s="294"/>
      <c r="BE57" s="294"/>
      <c r="BF57" s="294"/>
      <c r="BG57" s="294"/>
      <c r="BH57" s="294"/>
      <c r="BI57" s="294"/>
      <c r="BJ57" s="294"/>
      <c r="BK57" s="294"/>
      <c r="BL57" s="294"/>
      <c r="BM57" s="294"/>
      <c r="BN57" s="294"/>
      <c r="BO57" s="294"/>
      <c r="BP57" s="294"/>
      <c r="BQ57" s="294"/>
      <c r="BR57" s="294"/>
      <c r="BS57" s="294"/>
      <c r="BT57" s="294"/>
      <c r="BU57" s="294"/>
      <c r="BV57" s="294"/>
      <c r="BW57" s="294"/>
      <c r="BX57" s="294"/>
      <c r="BY57" s="294"/>
      <c r="BZ57" s="294"/>
      <c r="CA57" s="294"/>
      <c r="CB57" s="294"/>
      <c r="CC57" s="294"/>
      <c r="CD57" s="294"/>
      <c r="CE57" s="294"/>
      <c r="CF57" s="294"/>
      <c r="CG57" s="294"/>
      <c r="CH57" s="294"/>
      <c r="CI57" s="294"/>
      <c r="CJ57" s="294"/>
      <c r="CK57" s="294"/>
      <c r="CL57" s="294"/>
      <c r="CM57" s="294"/>
      <c r="CN57" s="294"/>
      <c r="CO57" s="294"/>
      <c r="CP57" s="294"/>
      <c r="CQ57" s="294"/>
      <c r="CR57" s="294"/>
      <c r="CS57" s="294"/>
      <c r="CT57" s="294"/>
      <c r="CU57" s="294"/>
      <c r="CV57" s="294"/>
      <c r="CW57" s="294"/>
      <c r="CX57" s="294"/>
      <c r="CY57" s="294"/>
      <c r="CZ57" s="294"/>
      <c r="DA57" s="294"/>
      <c r="DB57" s="294"/>
      <c r="DC57" s="294"/>
      <c r="DD57" s="294"/>
      <c r="DE57" s="294"/>
      <c r="DF57" s="294"/>
      <c r="DG57" s="294"/>
      <c r="DH57" s="294"/>
      <c r="DI57" s="294"/>
      <c r="DJ57" s="294"/>
      <c r="DK57" s="294"/>
      <c r="DL57" s="294"/>
      <c r="DM57" s="294"/>
      <c r="DN57" s="294"/>
      <c r="DO57" s="294"/>
      <c r="DP57" s="294"/>
      <c r="DQ57" s="294"/>
      <c r="DR57" s="294"/>
      <c r="DS57" s="294"/>
      <c r="DT57" s="294"/>
      <c r="DU57" s="294"/>
      <c r="DV57" s="294"/>
      <c r="DW57" s="294"/>
      <c r="DX57" s="294"/>
      <c r="DY57" s="294"/>
      <c r="DZ57" s="294"/>
      <c r="EA57" s="294"/>
      <c r="EB57" s="294"/>
      <c r="EC57" s="294"/>
      <c r="ED57" s="294"/>
      <c r="EE57" s="294"/>
      <c r="EF57" s="294"/>
      <c r="EG57" s="294"/>
      <c r="EH57" s="294"/>
      <c r="EI57" s="294"/>
      <c r="EJ57" s="294"/>
      <c r="EK57" s="294"/>
      <c r="EL57" s="294"/>
      <c r="EM57" s="294"/>
      <c r="EN57" s="294"/>
      <c r="EO57" s="294"/>
      <c r="EP57" s="294"/>
      <c r="EQ57" s="294"/>
      <c r="ER57" s="294"/>
      <c r="ES57" s="294"/>
      <c r="ET57" s="294"/>
      <c r="EU57" s="294"/>
      <c r="EV57" s="294"/>
      <c r="EW57" s="294"/>
      <c r="EX57" s="294"/>
      <c r="EY57" s="294"/>
      <c r="EZ57" s="294"/>
      <c r="FA57" s="294"/>
      <c r="FB57" s="294"/>
      <c r="FC57" s="294"/>
      <c r="FD57" s="294"/>
      <c r="FE57" s="294"/>
      <c r="FF57" s="294"/>
      <c r="FG57" s="294"/>
      <c r="FH57" s="294"/>
      <c r="FI57" s="294"/>
      <c r="FJ57" s="294"/>
      <c r="FK57" s="294"/>
      <c r="FL57" s="294"/>
      <c r="FM57" s="294"/>
      <c r="FN57" s="294"/>
      <c r="FO57" s="294"/>
      <c r="FP57" s="294"/>
      <c r="FQ57" s="294"/>
      <c r="FR57" s="294"/>
      <c r="FS57" s="294"/>
      <c r="FT57" s="294"/>
      <c r="FU57" s="294"/>
      <c r="FV57" s="294"/>
      <c r="FW57" s="294"/>
      <c r="FX57" s="294"/>
      <c r="FY57" s="294"/>
      <c r="FZ57" s="294"/>
      <c r="GA57" s="294"/>
      <c r="GB57" s="294"/>
      <c r="GC57" s="294"/>
      <c r="GD57" s="294"/>
      <c r="GE57" s="294"/>
      <c r="GF57" s="294"/>
      <c r="GG57" s="294"/>
      <c r="GH57" s="294"/>
      <c r="GI57" s="294"/>
      <c r="GJ57" s="294"/>
      <c r="GK57" s="294"/>
      <c r="GL57" s="294"/>
      <c r="GM57" s="294"/>
      <c r="GN57" s="294"/>
      <c r="GO57" s="294"/>
      <c r="GP57" s="294"/>
      <c r="GQ57" s="294"/>
      <c r="GR57" s="294"/>
      <c r="GS57" s="294"/>
      <c r="GT57" s="294"/>
      <c r="GU57" s="294"/>
      <c r="GV57" s="294"/>
      <c r="GW57" s="294"/>
      <c r="GX57" s="294"/>
      <c r="GY57" s="294"/>
      <c r="GZ57" s="294"/>
      <c r="HA57" s="294"/>
      <c r="HB57" s="294"/>
      <c r="HC57" s="294"/>
      <c r="HD57" s="294"/>
      <c r="HE57" s="294"/>
      <c r="HF57" s="294"/>
      <c r="HG57" s="294"/>
      <c r="HH57" s="294"/>
      <c r="HI57" s="294"/>
      <c r="HJ57" s="294"/>
      <c r="HK57" s="294"/>
      <c r="HL57" s="294"/>
      <c r="HM57" s="294"/>
      <c r="HN57" s="294"/>
      <c r="HO57" s="294"/>
      <c r="HP57" s="294"/>
      <c r="HQ57" s="294"/>
      <c r="HR57" s="294"/>
      <c r="HS57" s="294"/>
      <c r="HT57" s="294"/>
      <c r="HU57" s="294"/>
      <c r="HV57" s="294"/>
      <c r="HW57" s="294"/>
      <c r="HX57" s="294"/>
      <c r="HY57" s="294"/>
      <c r="HZ57" s="294"/>
      <c r="IA57" s="294"/>
      <c r="IB57" s="294"/>
      <c r="IC57" s="294"/>
      <c r="ID57" s="294"/>
      <c r="IE57" s="294"/>
      <c r="IF57" s="294"/>
      <c r="IG57" s="294"/>
      <c r="IH57" s="294"/>
      <c r="II57" s="294"/>
      <c r="IJ57" s="294"/>
      <c r="IK57" s="294"/>
      <c r="IL57" s="294"/>
      <c r="IM57" s="294"/>
      <c r="IN57" s="294"/>
      <c r="IO57" s="294"/>
      <c r="IP57" s="294"/>
      <c r="IQ57" s="294"/>
      <c r="IR57" s="294"/>
    </row>
    <row r="58" spans="1:252" ht="14.25">
      <c r="A58" s="292"/>
      <c r="B58" s="314" t="str">
        <f>'Cashflow Ann'!E19</f>
        <v>Invoice finance drawdown</v>
      </c>
      <c r="C58" s="292"/>
      <c r="D58" s="317">
        <f ca="1">'Cashflow Ann'!J19</f>
        <v>0</v>
      </c>
      <c r="E58" s="317">
        <f ca="1">'Cashflow Ann'!K19</f>
        <v>0</v>
      </c>
      <c r="F58" s="317">
        <f ca="1">'Cashflow Ann'!L19</f>
        <v>0</v>
      </c>
      <c r="G58" s="317">
        <f ca="1">'Cashflow Ann'!M19</f>
        <v>0</v>
      </c>
      <c r="H58" s="317">
        <f ca="1">'Cashflow Ann'!N19</f>
        <v>0</v>
      </c>
      <c r="I58" s="292"/>
      <c r="J58" s="292"/>
      <c r="K58" s="294"/>
      <c r="L58" s="294"/>
      <c r="M58" s="294"/>
      <c r="N58" s="294"/>
      <c r="O58" s="294"/>
      <c r="P58" s="294"/>
      <c r="Q58" s="294"/>
      <c r="R58" s="294"/>
      <c r="S58" s="294"/>
      <c r="T58" s="294"/>
      <c r="U58" s="294"/>
      <c r="V58" s="294"/>
      <c r="W58" s="294"/>
      <c r="X58" s="294"/>
      <c r="Y58" s="294"/>
      <c r="Z58" s="294"/>
      <c r="AA58" s="294"/>
      <c r="AB58" s="294"/>
      <c r="AC58" s="294"/>
      <c r="AD58" s="294"/>
      <c r="AE58" s="294"/>
      <c r="AF58" s="294"/>
      <c r="AG58" s="294"/>
      <c r="AH58" s="294"/>
      <c r="AI58" s="294"/>
      <c r="AJ58" s="294"/>
      <c r="AK58" s="294"/>
      <c r="AL58" s="294"/>
      <c r="AM58" s="294"/>
      <c r="AN58" s="294"/>
      <c r="AO58" s="294"/>
      <c r="AP58" s="294"/>
      <c r="AQ58" s="294"/>
      <c r="AR58" s="294"/>
      <c r="AS58" s="294"/>
      <c r="AT58" s="294"/>
      <c r="AU58" s="294"/>
      <c r="AV58" s="294"/>
      <c r="AW58" s="294"/>
      <c r="AX58" s="294"/>
      <c r="AY58" s="294"/>
      <c r="AZ58" s="294"/>
      <c r="BA58" s="294"/>
      <c r="BB58" s="294"/>
      <c r="BC58" s="294"/>
      <c r="BD58" s="294"/>
      <c r="BE58" s="294"/>
      <c r="BF58" s="294"/>
      <c r="BG58" s="294"/>
      <c r="BH58" s="294"/>
      <c r="BI58" s="294"/>
      <c r="BJ58" s="294"/>
      <c r="BK58" s="294"/>
      <c r="BL58" s="294"/>
      <c r="BM58" s="294"/>
      <c r="BN58" s="294"/>
      <c r="BO58" s="294"/>
      <c r="BP58" s="294"/>
      <c r="BQ58" s="294"/>
      <c r="BR58" s="294"/>
      <c r="BS58" s="294"/>
      <c r="BT58" s="294"/>
      <c r="BU58" s="294"/>
      <c r="BV58" s="294"/>
      <c r="BW58" s="294"/>
      <c r="BX58" s="294"/>
      <c r="BY58" s="294"/>
      <c r="BZ58" s="294"/>
      <c r="CA58" s="294"/>
      <c r="CB58" s="294"/>
      <c r="CC58" s="294"/>
      <c r="CD58" s="294"/>
      <c r="CE58" s="294"/>
      <c r="CF58" s="294"/>
      <c r="CG58" s="294"/>
      <c r="CH58" s="294"/>
      <c r="CI58" s="294"/>
      <c r="CJ58" s="294"/>
      <c r="CK58" s="294"/>
      <c r="CL58" s="294"/>
      <c r="CM58" s="294"/>
      <c r="CN58" s="294"/>
      <c r="CO58" s="294"/>
      <c r="CP58" s="294"/>
      <c r="CQ58" s="294"/>
      <c r="CR58" s="294"/>
      <c r="CS58" s="294"/>
      <c r="CT58" s="294"/>
      <c r="CU58" s="294"/>
      <c r="CV58" s="294"/>
      <c r="CW58" s="294"/>
      <c r="CX58" s="294"/>
      <c r="CY58" s="294"/>
      <c r="CZ58" s="294"/>
      <c r="DA58" s="294"/>
      <c r="DB58" s="294"/>
      <c r="DC58" s="294"/>
      <c r="DD58" s="294"/>
      <c r="DE58" s="294"/>
      <c r="DF58" s="294"/>
      <c r="DG58" s="294"/>
      <c r="DH58" s="294"/>
      <c r="DI58" s="294"/>
      <c r="DJ58" s="294"/>
      <c r="DK58" s="294"/>
      <c r="DL58" s="294"/>
      <c r="DM58" s="294"/>
      <c r="DN58" s="294"/>
      <c r="DO58" s="294"/>
      <c r="DP58" s="294"/>
      <c r="DQ58" s="294"/>
      <c r="DR58" s="294"/>
      <c r="DS58" s="294"/>
      <c r="DT58" s="294"/>
      <c r="DU58" s="294"/>
      <c r="DV58" s="294"/>
      <c r="DW58" s="294"/>
      <c r="DX58" s="294"/>
      <c r="DY58" s="294"/>
      <c r="DZ58" s="294"/>
      <c r="EA58" s="294"/>
      <c r="EB58" s="294"/>
      <c r="EC58" s="294"/>
      <c r="ED58" s="294"/>
      <c r="EE58" s="294"/>
      <c r="EF58" s="294"/>
      <c r="EG58" s="294"/>
      <c r="EH58" s="294"/>
      <c r="EI58" s="294"/>
      <c r="EJ58" s="294"/>
      <c r="EK58" s="294"/>
      <c r="EL58" s="294"/>
      <c r="EM58" s="294"/>
      <c r="EN58" s="294"/>
      <c r="EO58" s="294"/>
      <c r="EP58" s="294"/>
      <c r="EQ58" s="294"/>
      <c r="ER58" s="294"/>
      <c r="ES58" s="294"/>
      <c r="ET58" s="294"/>
      <c r="EU58" s="294"/>
      <c r="EV58" s="294"/>
      <c r="EW58" s="294"/>
      <c r="EX58" s="294"/>
      <c r="EY58" s="294"/>
      <c r="EZ58" s="294"/>
      <c r="FA58" s="294"/>
      <c r="FB58" s="294"/>
      <c r="FC58" s="294"/>
      <c r="FD58" s="294"/>
      <c r="FE58" s="294"/>
      <c r="FF58" s="294"/>
      <c r="FG58" s="294"/>
      <c r="FH58" s="294"/>
      <c r="FI58" s="294"/>
      <c r="FJ58" s="294"/>
      <c r="FK58" s="294"/>
      <c r="FL58" s="294"/>
      <c r="FM58" s="294"/>
      <c r="FN58" s="294"/>
      <c r="FO58" s="294"/>
      <c r="FP58" s="294"/>
      <c r="FQ58" s="294"/>
      <c r="FR58" s="294"/>
      <c r="FS58" s="294"/>
      <c r="FT58" s="294"/>
      <c r="FU58" s="294"/>
      <c r="FV58" s="294"/>
      <c r="FW58" s="294"/>
      <c r="FX58" s="294"/>
      <c r="FY58" s="294"/>
      <c r="FZ58" s="294"/>
      <c r="GA58" s="294"/>
      <c r="GB58" s="294"/>
      <c r="GC58" s="294"/>
      <c r="GD58" s="294"/>
      <c r="GE58" s="294"/>
      <c r="GF58" s="294"/>
      <c r="GG58" s="294"/>
      <c r="GH58" s="294"/>
      <c r="GI58" s="294"/>
      <c r="GJ58" s="294"/>
      <c r="GK58" s="294"/>
      <c r="GL58" s="294"/>
      <c r="GM58" s="294"/>
      <c r="GN58" s="294"/>
      <c r="GO58" s="294"/>
      <c r="GP58" s="294"/>
      <c r="GQ58" s="294"/>
      <c r="GR58" s="294"/>
      <c r="GS58" s="294"/>
      <c r="GT58" s="294"/>
      <c r="GU58" s="294"/>
      <c r="GV58" s="294"/>
      <c r="GW58" s="294"/>
      <c r="GX58" s="294"/>
      <c r="GY58" s="294"/>
      <c r="GZ58" s="294"/>
      <c r="HA58" s="294"/>
      <c r="HB58" s="294"/>
      <c r="HC58" s="294"/>
      <c r="HD58" s="294"/>
      <c r="HE58" s="294"/>
      <c r="HF58" s="294"/>
      <c r="HG58" s="294"/>
      <c r="HH58" s="294"/>
      <c r="HI58" s="294"/>
      <c r="HJ58" s="294"/>
      <c r="HK58" s="294"/>
      <c r="HL58" s="294"/>
      <c r="HM58" s="294"/>
      <c r="HN58" s="294"/>
      <c r="HO58" s="294"/>
      <c r="HP58" s="294"/>
      <c r="HQ58" s="294"/>
      <c r="HR58" s="294"/>
      <c r="HS58" s="294"/>
      <c r="HT58" s="294"/>
      <c r="HU58" s="294"/>
      <c r="HV58" s="294"/>
      <c r="HW58" s="294"/>
      <c r="HX58" s="294"/>
      <c r="HY58" s="294"/>
      <c r="HZ58" s="294"/>
      <c r="IA58" s="294"/>
      <c r="IB58" s="294"/>
      <c r="IC58" s="294"/>
      <c r="ID58" s="294"/>
      <c r="IE58" s="294"/>
      <c r="IF58" s="294"/>
      <c r="IG58" s="294"/>
      <c r="IH58" s="294"/>
      <c r="II58" s="294"/>
      <c r="IJ58" s="294"/>
      <c r="IK58" s="294"/>
      <c r="IL58" s="294"/>
      <c r="IM58" s="294"/>
      <c r="IN58" s="294"/>
      <c r="IO58" s="294"/>
      <c r="IP58" s="294"/>
      <c r="IQ58" s="294"/>
      <c r="IR58" s="294"/>
    </row>
    <row r="59" spans="1:252" ht="15">
      <c r="A59" s="292"/>
      <c r="B59" s="314" t="str">
        <f>'Cashflow Ann'!E20</f>
        <v xml:space="preserve">Invoice finance principal repayment </v>
      </c>
      <c r="C59" s="292"/>
      <c r="D59" s="317">
        <f ca="1">'Cashflow Ann'!J20</f>
        <v>0</v>
      </c>
      <c r="E59" s="317">
        <f ca="1">'Cashflow Ann'!K20</f>
        <v>0</v>
      </c>
      <c r="F59" s="317">
        <f ca="1">'Cashflow Ann'!L20</f>
        <v>0</v>
      </c>
      <c r="G59" s="317">
        <f ca="1">'Cashflow Ann'!M20</f>
        <v>0</v>
      </c>
      <c r="H59" s="317">
        <f ca="1">'Cashflow Ann'!N20</f>
        <v>0</v>
      </c>
      <c r="I59" s="292"/>
      <c r="J59" s="292"/>
      <c r="K59" s="294"/>
      <c r="L59" s="294"/>
      <c r="M59" s="294"/>
      <c r="N59" s="294"/>
      <c r="O59" s="294"/>
      <c r="P59" s="294"/>
      <c r="Q59" s="294"/>
      <c r="R59" s="294"/>
      <c r="S59" s="294"/>
      <c r="T59" s="294"/>
      <c r="U59" s="294"/>
      <c r="V59" s="294"/>
      <c r="W59" s="294"/>
      <c r="X59" s="294"/>
      <c r="Y59" s="294"/>
      <c r="Z59" s="294"/>
      <c r="AA59" s="294"/>
      <c r="AB59" s="294"/>
      <c r="AC59" s="294"/>
      <c r="AD59" s="294"/>
      <c r="AE59" s="294"/>
      <c r="AF59" s="294"/>
      <c r="AG59" s="294"/>
      <c r="AH59" s="294"/>
      <c r="AI59" s="294"/>
      <c r="AJ59" s="294"/>
      <c r="AK59" s="294"/>
      <c r="AL59" s="294"/>
      <c r="AM59" s="294"/>
      <c r="AN59" s="294"/>
      <c r="AO59" s="294"/>
      <c r="AP59" s="294"/>
      <c r="AQ59" s="294"/>
      <c r="AR59" s="294"/>
      <c r="AS59" s="294"/>
      <c r="AT59" s="294"/>
      <c r="AU59" s="294"/>
      <c r="AV59" s="294"/>
      <c r="AW59" s="294"/>
      <c r="AX59" s="294"/>
      <c r="AY59" s="294"/>
      <c r="AZ59" s="294"/>
      <c r="BA59" s="294"/>
      <c r="BB59" s="294"/>
      <c r="BC59" s="294"/>
      <c r="BD59" s="294"/>
      <c r="BE59" s="294"/>
      <c r="BF59" s="294"/>
      <c r="BG59" s="294"/>
      <c r="BH59" s="294"/>
      <c r="BI59" s="294"/>
      <c r="BJ59" s="294"/>
      <c r="BK59" s="294"/>
      <c r="BL59" s="294"/>
      <c r="BM59" s="294"/>
      <c r="BN59" s="294"/>
      <c r="BO59" s="294"/>
      <c r="BP59" s="294"/>
      <c r="BQ59" s="294"/>
      <c r="BR59" s="294"/>
      <c r="BS59" s="294"/>
      <c r="BT59" s="294"/>
      <c r="BU59" s="294"/>
      <c r="BV59" s="294"/>
      <c r="BW59" s="294"/>
      <c r="BX59" s="294"/>
      <c r="BY59" s="294"/>
      <c r="BZ59" s="294"/>
      <c r="CA59" s="294"/>
      <c r="CB59" s="294"/>
      <c r="CC59" s="294"/>
      <c r="CD59" s="294"/>
      <c r="CE59" s="294"/>
      <c r="CF59" s="294"/>
      <c r="CG59" s="294"/>
      <c r="CH59" s="294"/>
      <c r="CI59" s="294"/>
      <c r="CJ59" s="294"/>
      <c r="CK59" s="294"/>
      <c r="CL59" s="294"/>
      <c r="CM59" s="294"/>
      <c r="CN59" s="294"/>
      <c r="CO59" s="294"/>
      <c r="CP59" s="294"/>
      <c r="CQ59" s="294"/>
      <c r="CR59" s="294"/>
      <c r="CS59" s="294"/>
      <c r="CT59" s="294"/>
      <c r="CU59" s="294"/>
      <c r="CV59" s="294"/>
      <c r="CW59" s="294"/>
      <c r="CX59" s="294"/>
      <c r="CY59" s="294"/>
      <c r="CZ59" s="294"/>
      <c r="DA59" s="294"/>
      <c r="DB59" s="294"/>
      <c r="DC59" s="294"/>
      <c r="DD59" s="294"/>
      <c r="DE59" s="294"/>
      <c r="DF59" s="294"/>
      <c r="DG59" s="294"/>
      <c r="DH59" s="294"/>
      <c r="DI59" s="294"/>
      <c r="DJ59" s="294"/>
      <c r="DK59" s="294"/>
      <c r="DL59" s="294"/>
      <c r="DM59" s="294"/>
      <c r="DN59" s="294"/>
      <c r="DO59" s="294"/>
      <c r="DP59" s="294"/>
      <c r="DQ59" s="294"/>
      <c r="DR59" s="294"/>
      <c r="DS59" s="294"/>
      <c r="DT59" s="294"/>
      <c r="DU59" s="294"/>
      <c r="DV59" s="294"/>
      <c r="DW59" s="294"/>
      <c r="DX59" s="294"/>
      <c r="DY59" s="294"/>
      <c r="DZ59" s="294"/>
      <c r="EA59" s="294"/>
      <c r="EB59" s="294"/>
      <c r="EC59" s="294"/>
      <c r="ED59" s="294"/>
      <c r="EE59" s="294"/>
      <c r="EF59" s="294"/>
      <c r="EG59" s="294"/>
      <c r="EH59" s="294"/>
      <c r="EI59" s="294"/>
      <c r="EJ59" s="294"/>
      <c r="EK59" s="294"/>
      <c r="EL59" s="294"/>
      <c r="EM59" s="294"/>
      <c r="EN59" s="294"/>
      <c r="EO59" s="294"/>
      <c r="EP59" s="294"/>
      <c r="EQ59" s="294"/>
      <c r="ER59" s="294"/>
      <c r="ES59" s="294"/>
      <c r="ET59" s="294"/>
      <c r="EU59" s="294"/>
      <c r="EV59" s="294"/>
      <c r="EW59" s="294"/>
      <c r="EX59" s="294"/>
      <c r="EY59" s="294"/>
      <c r="EZ59" s="294"/>
      <c r="FA59" s="294"/>
      <c r="FB59" s="294"/>
      <c r="FC59" s="294"/>
      <c r="FD59" s="294"/>
      <c r="FE59" s="294"/>
      <c r="FF59" s="294"/>
      <c r="FG59" s="294"/>
      <c r="FH59" s="294"/>
      <c r="FI59" s="294"/>
      <c r="FJ59" s="294"/>
      <c r="FK59" s="294"/>
      <c r="FL59" s="294"/>
      <c r="FM59" s="294"/>
      <c r="FN59" s="294"/>
      <c r="FO59" s="294"/>
      <c r="FP59" s="294"/>
      <c r="FQ59" s="294"/>
      <c r="FR59" s="294"/>
      <c r="FS59" s="294"/>
      <c r="FT59" s="294"/>
      <c r="FU59" s="294"/>
      <c r="FV59" s="294"/>
      <c r="FW59" s="294"/>
      <c r="FX59" s="294"/>
      <c r="FY59" s="294"/>
      <c r="FZ59" s="294"/>
      <c r="GA59" s="294"/>
      <c r="GB59" s="294"/>
      <c r="GC59" s="294"/>
      <c r="GD59" s="294"/>
      <c r="GE59" s="294"/>
      <c r="GF59" s="294"/>
      <c r="GG59" s="294"/>
      <c r="GH59" s="294"/>
      <c r="GI59" s="294"/>
      <c r="GJ59" s="294"/>
      <c r="GK59" s="294"/>
      <c r="GL59" s="294"/>
      <c r="GM59" s="294"/>
      <c r="GN59" s="294"/>
      <c r="GO59" s="294"/>
      <c r="GP59" s="294"/>
      <c r="GQ59" s="294"/>
      <c r="GR59" s="294"/>
      <c r="GS59" s="294"/>
      <c r="GT59" s="294"/>
      <c r="GU59" s="294"/>
      <c r="GV59" s="294"/>
      <c r="GW59" s="294"/>
      <c r="GX59" s="294"/>
      <c r="GY59" s="294"/>
      <c r="GZ59" s="294"/>
      <c r="HA59" s="294"/>
      <c r="HB59" s="294"/>
      <c r="HC59" s="294"/>
      <c r="HD59" s="294"/>
      <c r="HE59" s="294"/>
      <c r="HF59" s="294"/>
      <c r="HG59" s="294"/>
      <c r="HH59" s="294"/>
      <c r="HI59" s="294"/>
      <c r="HJ59" s="294"/>
      <c r="HK59" s="294"/>
      <c r="HL59" s="294"/>
      <c r="HM59" s="294"/>
      <c r="HN59" s="294"/>
      <c r="HO59" s="294"/>
      <c r="HP59" s="294"/>
      <c r="HQ59" s="294"/>
      <c r="HR59" s="294"/>
      <c r="HS59" s="294"/>
      <c r="HT59" s="294"/>
      <c r="HU59" s="294"/>
      <c r="HV59" s="294"/>
      <c r="HW59" s="294"/>
      <c r="HX59" s="294"/>
      <c r="HY59" s="294"/>
      <c r="HZ59" s="294"/>
      <c r="IA59" s="294"/>
      <c r="IB59" s="294"/>
      <c r="IC59" s="294"/>
      <c r="ID59" s="294"/>
      <c r="IE59" s="294"/>
      <c r="IF59" s="294"/>
      <c r="IG59" s="294"/>
      <c r="IH59" s="294"/>
      <c r="II59" s="294"/>
      <c r="IJ59" s="294"/>
      <c r="IK59" s="294"/>
      <c r="IL59" s="294"/>
      <c r="IM59" s="294"/>
      <c r="IN59" s="294"/>
      <c r="IO59" s="294"/>
      <c r="IP59" s="294"/>
      <c r="IQ59" s="294"/>
      <c r="IR59" s="294"/>
    </row>
    <row r="60" spans="1:252" s="315" customFormat="1" ht="14.25">
      <c r="A60" s="314"/>
      <c r="B60" s="314" t="str">
        <f>'Cashflow Ann'!E21</f>
        <v>Asset Finance drawdown</v>
      </c>
      <c r="C60" s="292"/>
      <c r="D60" s="317">
        <f ca="1">'Cashflow Ann'!J21</f>
        <v>350000</v>
      </c>
      <c r="E60" s="317">
        <f ca="1">'Cashflow Ann'!K21</f>
        <v>700000</v>
      </c>
      <c r="F60" s="317">
        <f ca="1">'Cashflow Ann'!L21</f>
        <v>875000</v>
      </c>
      <c r="G60" s="317">
        <f ca="1">'Cashflow Ann'!M21</f>
        <v>1750000</v>
      </c>
      <c r="H60" s="317">
        <f ca="1">'Cashflow Ann'!N21</f>
        <v>2100000</v>
      </c>
      <c r="I60" s="314"/>
      <c r="J60" s="314"/>
      <c r="K60" s="295"/>
      <c r="L60" s="295"/>
      <c r="M60" s="295"/>
      <c r="N60" s="295"/>
      <c r="O60" s="295"/>
      <c r="P60" s="295"/>
      <c r="Q60" s="295"/>
      <c r="R60" s="295"/>
      <c r="S60" s="295"/>
      <c r="T60" s="295"/>
      <c r="U60" s="295"/>
      <c r="V60" s="295"/>
      <c r="W60" s="295"/>
      <c r="X60" s="295"/>
      <c r="Y60" s="295"/>
      <c r="Z60" s="295"/>
      <c r="AA60" s="295"/>
      <c r="AB60" s="295"/>
      <c r="AC60" s="295"/>
      <c r="AD60" s="295"/>
      <c r="AE60" s="295"/>
      <c r="AF60" s="295"/>
      <c r="AG60" s="295"/>
      <c r="AH60" s="295"/>
      <c r="AI60" s="295"/>
      <c r="AJ60" s="295"/>
      <c r="AK60" s="295"/>
      <c r="AL60" s="295"/>
      <c r="AM60" s="295"/>
      <c r="AN60" s="295"/>
      <c r="AO60" s="295"/>
      <c r="AP60" s="295"/>
      <c r="AQ60" s="295"/>
      <c r="AR60" s="295"/>
      <c r="AS60" s="295"/>
      <c r="AT60" s="295"/>
      <c r="AU60" s="295"/>
      <c r="AV60" s="295"/>
      <c r="AW60" s="295"/>
      <c r="AX60" s="295"/>
      <c r="AY60" s="295"/>
      <c r="AZ60" s="295"/>
      <c r="BA60" s="295"/>
      <c r="BB60" s="295"/>
      <c r="BC60" s="295"/>
      <c r="BD60" s="295"/>
      <c r="BE60" s="295"/>
      <c r="BF60" s="295"/>
      <c r="BG60" s="295"/>
      <c r="BH60" s="295"/>
      <c r="BI60" s="295"/>
      <c r="BJ60" s="295"/>
      <c r="BK60" s="295"/>
      <c r="BL60" s="295"/>
      <c r="BM60" s="295"/>
      <c r="BN60" s="295"/>
      <c r="BO60" s="295"/>
      <c r="BP60" s="295"/>
      <c r="BQ60" s="295"/>
      <c r="BR60" s="295"/>
      <c r="BS60" s="295"/>
      <c r="BT60" s="295"/>
      <c r="BU60" s="295"/>
      <c r="BV60" s="295"/>
      <c r="BW60" s="295"/>
      <c r="BX60" s="295"/>
      <c r="BY60" s="295"/>
      <c r="BZ60" s="295"/>
      <c r="CA60" s="295"/>
      <c r="CB60" s="295"/>
      <c r="CC60" s="295"/>
      <c r="CD60" s="295"/>
      <c r="CE60" s="295"/>
      <c r="CF60" s="295"/>
      <c r="CG60" s="295"/>
      <c r="CH60" s="295"/>
      <c r="CI60" s="295"/>
      <c r="CJ60" s="295"/>
      <c r="CK60" s="295"/>
      <c r="CL60" s="295"/>
      <c r="CM60" s="295"/>
      <c r="CN60" s="295"/>
      <c r="CO60" s="295"/>
      <c r="CP60" s="295"/>
      <c r="CQ60" s="295"/>
      <c r="CR60" s="295"/>
      <c r="CS60" s="295"/>
      <c r="CT60" s="295"/>
      <c r="CU60" s="295"/>
      <c r="CV60" s="295"/>
      <c r="CW60" s="295"/>
      <c r="CX60" s="295"/>
      <c r="CY60" s="295"/>
      <c r="CZ60" s="295"/>
      <c r="DA60" s="295"/>
      <c r="DB60" s="295"/>
      <c r="DC60" s="295"/>
      <c r="DD60" s="295"/>
      <c r="DE60" s="295"/>
      <c r="DF60" s="295"/>
      <c r="DG60" s="295"/>
      <c r="DH60" s="295"/>
      <c r="DI60" s="295"/>
      <c r="DJ60" s="295"/>
      <c r="DK60" s="295"/>
      <c r="DL60" s="295"/>
      <c r="DM60" s="295"/>
      <c r="DN60" s="295"/>
      <c r="DO60" s="295"/>
      <c r="DP60" s="295"/>
      <c r="DQ60" s="295"/>
      <c r="DR60" s="295"/>
      <c r="DS60" s="295"/>
      <c r="DT60" s="295"/>
      <c r="DU60" s="295"/>
      <c r="DV60" s="295"/>
      <c r="DW60" s="295"/>
      <c r="DX60" s="295"/>
      <c r="DY60" s="295"/>
      <c r="DZ60" s="295"/>
      <c r="EA60" s="295"/>
      <c r="EB60" s="295"/>
      <c r="EC60" s="295"/>
      <c r="ED60" s="295"/>
      <c r="EE60" s="295"/>
      <c r="EF60" s="295"/>
      <c r="EG60" s="295"/>
      <c r="EH60" s="295"/>
      <c r="EI60" s="295"/>
      <c r="EJ60" s="295"/>
      <c r="EK60" s="295"/>
      <c r="EL60" s="295"/>
      <c r="EM60" s="295"/>
      <c r="EN60" s="295"/>
      <c r="EO60" s="295"/>
      <c r="EP60" s="295"/>
      <c r="EQ60" s="295"/>
      <c r="ER60" s="295"/>
      <c r="ES60" s="295"/>
      <c r="ET60" s="295"/>
      <c r="EU60" s="295"/>
      <c r="EV60" s="295"/>
      <c r="EW60" s="295"/>
      <c r="EX60" s="295"/>
      <c r="EY60" s="295"/>
      <c r="EZ60" s="295"/>
      <c r="FA60" s="295"/>
      <c r="FB60" s="295"/>
      <c r="FC60" s="295"/>
      <c r="FD60" s="295"/>
      <c r="FE60" s="295"/>
      <c r="FF60" s="295"/>
      <c r="FG60" s="295"/>
      <c r="FH60" s="295"/>
      <c r="FI60" s="295"/>
      <c r="FJ60" s="295"/>
      <c r="FK60" s="295"/>
      <c r="FL60" s="295"/>
      <c r="FM60" s="295"/>
      <c r="FN60" s="295"/>
      <c r="FO60" s="295"/>
      <c r="FP60" s="295"/>
      <c r="FQ60" s="295"/>
      <c r="FR60" s="295"/>
      <c r="FS60" s="295"/>
      <c r="FT60" s="295"/>
      <c r="FU60" s="295"/>
      <c r="FV60" s="295"/>
      <c r="FW60" s="295"/>
      <c r="FX60" s="295"/>
      <c r="FY60" s="295"/>
      <c r="FZ60" s="295"/>
      <c r="GA60" s="295"/>
      <c r="GB60" s="295"/>
      <c r="GC60" s="295"/>
      <c r="GD60" s="295"/>
      <c r="GE60" s="295"/>
      <c r="GF60" s="295"/>
      <c r="GG60" s="295"/>
      <c r="GH60" s="295"/>
      <c r="GI60" s="295"/>
      <c r="GJ60" s="295"/>
      <c r="GK60" s="295"/>
      <c r="GL60" s="295"/>
      <c r="GM60" s="295"/>
      <c r="GN60" s="295"/>
      <c r="GO60" s="295"/>
      <c r="GP60" s="295"/>
      <c r="GQ60" s="295"/>
      <c r="GR60" s="295"/>
      <c r="GS60" s="295"/>
      <c r="GT60" s="295"/>
      <c r="GU60" s="295"/>
      <c r="GV60" s="295"/>
      <c r="GW60" s="295"/>
      <c r="GX60" s="295"/>
      <c r="GY60" s="295"/>
      <c r="GZ60" s="295"/>
      <c r="HA60" s="295"/>
      <c r="HB60" s="295"/>
      <c r="HC60" s="295"/>
      <c r="HD60" s="295"/>
      <c r="HE60" s="295"/>
      <c r="HF60" s="295"/>
      <c r="HG60" s="295"/>
      <c r="HH60" s="295"/>
      <c r="HI60" s="295"/>
      <c r="HJ60" s="295"/>
      <c r="HK60" s="295"/>
      <c r="HL60" s="295"/>
      <c r="HM60" s="295"/>
      <c r="HN60" s="295"/>
      <c r="HO60" s="295"/>
      <c r="HP60" s="295"/>
      <c r="HQ60" s="295"/>
      <c r="HR60" s="295"/>
      <c r="HS60" s="295"/>
      <c r="HT60" s="295"/>
      <c r="HU60" s="295"/>
      <c r="HV60" s="295"/>
      <c r="HW60" s="295"/>
      <c r="HX60" s="295"/>
      <c r="HY60" s="295"/>
      <c r="HZ60" s="295"/>
      <c r="IA60" s="295"/>
      <c r="IB60" s="295"/>
      <c r="IC60" s="295"/>
      <c r="ID60" s="295"/>
      <c r="IE60" s="295"/>
      <c r="IF60" s="295"/>
      <c r="IG60" s="295"/>
      <c r="IH60" s="295"/>
      <c r="II60" s="295"/>
      <c r="IJ60" s="295"/>
      <c r="IK60" s="295"/>
      <c r="IL60" s="295"/>
      <c r="IM60" s="295"/>
      <c r="IN60" s="295"/>
      <c r="IO60" s="295"/>
      <c r="IP60" s="295"/>
      <c r="IQ60" s="295"/>
      <c r="IR60" s="295"/>
    </row>
    <row r="61" spans="1:252" ht="15">
      <c r="A61" s="292"/>
      <c r="B61" s="314" t="str">
        <f>'Cashflow Ann'!E22</f>
        <v xml:space="preserve">Asset Finance principal repayment </v>
      </c>
      <c r="C61" s="292"/>
      <c r="D61" s="317">
        <f ca="1">'Cashflow Ann'!J22</f>
        <v>-98966.81727661984</v>
      </c>
      <c r="E61" s="317">
        <f ca="1">'Cashflow Ann'!K22</f>
        <v>-231882.09158875467</v>
      </c>
      <c r="F61" s="317">
        <f ca="1">'Cashflow Ann'!L22</f>
        <v>-435031.22889208398</v>
      </c>
      <c r="G61" s="317">
        <f ca="1">'Cashflow Ann'!M22</f>
        <v>-778104.11733198015</v>
      </c>
      <c r="H61" s="317">
        <f ca="1">'Cashflow Ann'!N22</f>
        <v>-1272543.1697368422</v>
      </c>
      <c r="I61" s="292"/>
      <c r="J61" s="292"/>
      <c r="K61" s="294"/>
      <c r="L61" s="294"/>
      <c r="M61" s="294"/>
      <c r="N61" s="294"/>
      <c r="O61" s="294"/>
      <c r="P61" s="294"/>
      <c r="Q61" s="294"/>
      <c r="R61" s="294"/>
      <c r="S61" s="294"/>
      <c r="T61" s="294"/>
      <c r="U61" s="294"/>
      <c r="V61" s="294"/>
      <c r="W61" s="294"/>
      <c r="X61" s="294"/>
      <c r="Y61" s="294"/>
      <c r="Z61" s="294"/>
      <c r="AA61" s="294"/>
      <c r="AB61" s="294"/>
      <c r="AC61" s="294"/>
      <c r="AD61" s="294"/>
      <c r="AE61" s="294"/>
      <c r="AF61" s="294"/>
      <c r="AG61" s="294"/>
      <c r="AH61" s="294"/>
      <c r="AI61" s="294"/>
      <c r="AJ61" s="294"/>
      <c r="AK61" s="294"/>
      <c r="AL61" s="294"/>
      <c r="AM61" s="294"/>
      <c r="AN61" s="294"/>
      <c r="AO61" s="294"/>
      <c r="AP61" s="294"/>
      <c r="AQ61" s="294"/>
      <c r="AR61" s="294"/>
      <c r="AS61" s="294"/>
      <c r="AT61" s="294"/>
      <c r="AU61" s="294"/>
      <c r="AV61" s="294"/>
      <c r="AW61" s="294"/>
      <c r="AX61" s="294"/>
      <c r="AY61" s="294"/>
      <c r="AZ61" s="294"/>
      <c r="BA61" s="294"/>
      <c r="BB61" s="294"/>
      <c r="BC61" s="294"/>
      <c r="BD61" s="294"/>
      <c r="BE61" s="294"/>
      <c r="BF61" s="294"/>
      <c r="BG61" s="294"/>
      <c r="BH61" s="294"/>
      <c r="BI61" s="294"/>
      <c r="BJ61" s="294"/>
      <c r="BK61" s="294"/>
      <c r="BL61" s="294"/>
      <c r="BM61" s="294"/>
      <c r="BN61" s="294"/>
      <c r="BO61" s="294"/>
      <c r="BP61" s="294"/>
      <c r="BQ61" s="294"/>
      <c r="BR61" s="294"/>
      <c r="BS61" s="294"/>
      <c r="BT61" s="294"/>
      <c r="BU61" s="294"/>
      <c r="BV61" s="294"/>
      <c r="BW61" s="294"/>
      <c r="BX61" s="294"/>
      <c r="BY61" s="294"/>
      <c r="BZ61" s="294"/>
      <c r="CA61" s="294"/>
      <c r="CB61" s="294"/>
      <c r="CC61" s="294"/>
      <c r="CD61" s="294"/>
      <c r="CE61" s="294"/>
      <c r="CF61" s="294"/>
      <c r="CG61" s="294"/>
      <c r="CH61" s="294"/>
      <c r="CI61" s="294"/>
      <c r="CJ61" s="294"/>
      <c r="CK61" s="294"/>
      <c r="CL61" s="294"/>
      <c r="CM61" s="294"/>
      <c r="CN61" s="294"/>
      <c r="CO61" s="294"/>
      <c r="CP61" s="294"/>
      <c r="CQ61" s="294"/>
      <c r="CR61" s="294"/>
      <c r="CS61" s="294"/>
      <c r="CT61" s="294"/>
      <c r="CU61" s="294"/>
      <c r="CV61" s="294"/>
      <c r="CW61" s="294"/>
      <c r="CX61" s="294"/>
      <c r="CY61" s="294"/>
      <c r="CZ61" s="294"/>
      <c r="DA61" s="294"/>
      <c r="DB61" s="294"/>
      <c r="DC61" s="294"/>
      <c r="DD61" s="294"/>
      <c r="DE61" s="294"/>
      <c r="DF61" s="294"/>
      <c r="DG61" s="294"/>
      <c r="DH61" s="294"/>
      <c r="DI61" s="294"/>
      <c r="DJ61" s="294"/>
      <c r="DK61" s="294"/>
      <c r="DL61" s="294"/>
      <c r="DM61" s="294"/>
      <c r="DN61" s="294"/>
      <c r="DO61" s="294"/>
      <c r="DP61" s="294"/>
      <c r="DQ61" s="294"/>
      <c r="DR61" s="294"/>
      <c r="DS61" s="294"/>
      <c r="DT61" s="294"/>
      <c r="DU61" s="294"/>
      <c r="DV61" s="294"/>
      <c r="DW61" s="294"/>
      <c r="DX61" s="294"/>
      <c r="DY61" s="294"/>
      <c r="DZ61" s="294"/>
      <c r="EA61" s="294"/>
      <c r="EB61" s="294"/>
      <c r="EC61" s="294"/>
      <c r="ED61" s="294"/>
      <c r="EE61" s="294"/>
      <c r="EF61" s="294"/>
      <c r="EG61" s="294"/>
      <c r="EH61" s="294"/>
      <c r="EI61" s="294"/>
      <c r="EJ61" s="294"/>
      <c r="EK61" s="294"/>
      <c r="EL61" s="294"/>
      <c r="EM61" s="294"/>
      <c r="EN61" s="294"/>
      <c r="EO61" s="294"/>
      <c r="EP61" s="294"/>
      <c r="EQ61" s="294"/>
      <c r="ER61" s="294"/>
      <c r="ES61" s="294"/>
      <c r="ET61" s="294"/>
      <c r="EU61" s="294"/>
      <c r="EV61" s="294"/>
      <c r="EW61" s="294"/>
      <c r="EX61" s="294"/>
      <c r="EY61" s="294"/>
      <c r="EZ61" s="294"/>
      <c r="FA61" s="294"/>
      <c r="FB61" s="294"/>
      <c r="FC61" s="294"/>
      <c r="FD61" s="294"/>
      <c r="FE61" s="294"/>
      <c r="FF61" s="294"/>
      <c r="FG61" s="294"/>
      <c r="FH61" s="294"/>
      <c r="FI61" s="294"/>
      <c r="FJ61" s="294"/>
      <c r="FK61" s="294"/>
      <c r="FL61" s="294"/>
      <c r="FM61" s="294"/>
      <c r="FN61" s="294"/>
      <c r="FO61" s="294"/>
      <c r="FP61" s="294"/>
      <c r="FQ61" s="294"/>
      <c r="FR61" s="294"/>
      <c r="FS61" s="294"/>
      <c r="FT61" s="294"/>
      <c r="FU61" s="294"/>
      <c r="FV61" s="294"/>
      <c r="FW61" s="294"/>
      <c r="FX61" s="294"/>
      <c r="FY61" s="294"/>
      <c r="FZ61" s="294"/>
      <c r="GA61" s="294"/>
      <c r="GB61" s="294"/>
      <c r="GC61" s="294"/>
      <c r="GD61" s="294"/>
      <c r="GE61" s="294"/>
      <c r="GF61" s="294"/>
      <c r="GG61" s="294"/>
      <c r="GH61" s="294"/>
      <c r="GI61" s="294"/>
      <c r="GJ61" s="294"/>
      <c r="GK61" s="294"/>
      <c r="GL61" s="294"/>
      <c r="GM61" s="294"/>
      <c r="GN61" s="294"/>
      <c r="GO61" s="294"/>
      <c r="GP61" s="294"/>
      <c r="GQ61" s="294"/>
      <c r="GR61" s="294"/>
      <c r="GS61" s="294"/>
      <c r="GT61" s="294"/>
      <c r="GU61" s="294"/>
      <c r="GV61" s="294"/>
      <c r="GW61" s="294"/>
      <c r="GX61" s="294"/>
      <c r="GY61" s="294"/>
      <c r="GZ61" s="294"/>
      <c r="HA61" s="294"/>
      <c r="HB61" s="294"/>
      <c r="HC61" s="294"/>
      <c r="HD61" s="294"/>
      <c r="HE61" s="294"/>
      <c r="HF61" s="294"/>
      <c r="HG61" s="294"/>
      <c r="HH61" s="294"/>
      <c r="HI61" s="294"/>
      <c r="HJ61" s="294"/>
      <c r="HK61" s="294"/>
      <c r="HL61" s="294"/>
      <c r="HM61" s="294"/>
      <c r="HN61" s="294"/>
      <c r="HO61" s="294"/>
      <c r="HP61" s="294"/>
      <c r="HQ61" s="294"/>
      <c r="HR61" s="294"/>
      <c r="HS61" s="294"/>
      <c r="HT61" s="294"/>
      <c r="HU61" s="294"/>
      <c r="HV61" s="294"/>
      <c r="HW61" s="294"/>
      <c r="HX61" s="294"/>
      <c r="HY61" s="294"/>
      <c r="HZ61" s="294"/>
      <c r="IA61" s="294"/>
      <c r="IB61" s="294"/>
      <c r="IC61" s="294"/>
      <c r="ID61" s="294"/>
      <c r="IE61" s="294"/>
      <c r="IF61" s="294"/>
      <c r="IG61" s="294"/>
      <c r="IH61" s="294"/>
      <c r="II61" s="294"/>
      <c r="IJ61" s="294"/>
      <c r="IK61" s="294"/>
      <c r="IL61" s="294"/>
      <c r="IM61" s="294"/>
      <c r="IN61" s="294"/>
      <c r="IO61" s="294"/>
      <c r="IP61" s="294"/>
      <c r="IQ61" s="294"/>
      <c r="IR61" s="294"/>
    </row>
    <row r="62" spans="1:252" ht="15">
      <c r="A62" s="292"/>
      <c r="B62" s="314" t="str">
        <f>'Cashflow Ann'!E23</f>
        <v xml:space="preserve">Supply Chain Finance interest paid </v>
      </c>
      <c r="C62" s="292"/>
      <c r="D62" s="317">
        <f ca="1">'Cashflow Ann'!J23</f>
        <v>0</v>
      </c>
      <c r="E62" s="317">
        <f ca="1">'Cashflow Ann'!K23</f>
        <v>0</v>
      </c>
      <c r="F62" s="317">
        <f ca="1">'Cashflow Ann'!L23</f>
        <v>0</v>
      </c>
      <c r="G62" s="317">
        <f ca="1">'Cashflow Ann'!M23</f>
        <v>0</v>
      </c>
      <c r="H62" s="317">
        <f ca="1">'Cashflow Ann'!N23</f>
        <v>0</v>
      </c>
      <c r="I62" s="292"/>
      <c r="J62" s="292"/>
      <c r="K62" s="294"/>
      <c r="L62" s="294"/>
      <c r="M62" s="294"/>
      <c r="N62" s="294"/>
      <c r="O62" s="294"/>
      <c r="P62" s="294"/>
      <c r="Q62" s="294"/>
      <c r="R62" s="294"/>
      <c r="S62" s="294"/>
      <c r="T62" s="294"/>
      <c r="U62" s="294"/>
      <c r="V62" s="294"/>
      <c r="W62" s="294"/>
      <c r="X62" s="294"/>
      <c r="Y62" s="294"/>
      <c r="Z62" s="294"/>
      <c r="AA62" s="294"/>
      <c r="AB62" s="294"/>
      <c r="AC62" s="294"/>
      <c r="AD62" s="294"/>
      <c r="AE62" s="294"/>
      <c r="AF62" s="294"/>
      <c r="AG62" s="294"/>
      <c r="AH62" s="294"/>
      <c r="AI62" s="294"/>
      <c r="AJ62" s="294"/>
      <c r="AK62" s="294"/>
      <c r="AL62" s="294"/>
      <c r="AM62" s="294"/>
      <c r="AN62" s="294"/>
      <c r="AO62" s="294"/>
      <c r="AP62" s="294"/>
      <c r="AQ62" s="294"/>
      <c r="AR62" s="294"/>
      <c r="AS62" s="294"/>
      <c r="AT62" s="294"/>
      <c r="AU62" s="294"/>
      <c r="AV62" s="294"/>
      <c r="AW62" s="294"/>
      <c r="AX62" s="294"/>
      <c r="AY62" s="294"/>
      <c r="AZ62" s="294"/>
      <c r="BA62" s="294"/>
      <c r="BB62" s="294"/>
      <c r="BC62" s="294"/>
      <c r="BD62" s="294"/>
      <c r="BE62" s="294"/>
      <c r="BF62" s="294"/>
      <c r="BG62" s="294"/>
      <c r="BH62" s="294"/>
      <c r="BI62" s="294"/>
      <c r="BJ62" s="294"/>
      <c r="BK62" s="294"/>
      <c r="BL62" s="294"/>
      <c r="BM62" s="294"/>
      <c r="BN62" s="294"/>
      <c r="BO62" s="294"/>
      <c r="BP62" s="294"/>
      <c r="BQ62" s="294"/>
      <c r="BR62" s="294"/>
      <c r="BS62" s="294"/>
      <c r="BT62" s="294"/>
      <c r="BU62" s="294"/>
      <c r="BV62" s="294"/>
      <c r="BW62" s="294"/>
      <c r="BX62" s="294"/>
      <c r="BY62" s="294"/>
      <c r="BZ62" s="294"/>
      <c r="CA62" s="294"/>
      <c r="CB62" s="294"/>
      <c r="CC62" s="294"/>
      <c r="CD62" s="294"/>
      <c r="CE62" s="294"/>
      <c r="CF62" s="294"/>
      <c r="CG62" s="294"/>
      <c r="CH62" s="294"/>
      <c r="CI62" s="294"/>
      <c r="CJ62" s="294"/>
      <c r="CK62" s="294"/>
      <c r="CL62" s="294"/>
      <c r="CM62" s="294"/>
      <c r="CN62" s="294"/>
      <c r="CO62" s="294"/>
      <c r="CP62" s="294"/>
      <c r="CQ62" s="294"/>
      <c r="CR62" s="294"/>
      <c r="CS62" s="294"/>
      <c r="CT62" s="294"/>
      <c r="CU62" s="294"/>
      <c r="CV62" s="294"/>
      <c r="CW62" s="294"/>
      <c r="CX62" s="294"/>
      <c r="CY62" s="294"/>
      <c r="CZ62" s="294"/>
      <c r="DA62" s="294"/>
      <c r="DB62" s="294"/>
      <c r="DC62" s="294"/>
      <c r="DD62" s="294"/>
      <c r="DE62" s="294"/>
      <c r="DF62" s="294"/>
      <c r="DG62" s="294"/>
      <c r="DH62" s="294"/>
      <c r="DI62" s="294"/>
      <c r="DJ62" s="294"/>
      <c r="DK62" s="294"/>
      <c r="DL62" s="294"/>
      <c r="DM62" s="294"/>
      <c r="DN62" s="294"/>
      <c r="DO62" s="294"/>
      <c r="DP62" s="294"/>
      <c r="DQ62" s="294"/>
      <c r="DR62" s="294"/>
      <c r="DS62" s="294"/>
      <c r="DT62" s="294"/>
      <c r="DU62" s="294"/>
      <c r="DV62" s="294"/>
      <c r="DW62" s="294"/>
      <c r="DX62" s="294"/>
      <c r="DY62" s="294"/>
      <c r="DZ62" s="294"/>
      <c r="EA62" s="294"/>
      <c r="EB62" s="294"/>
      <c r="EC62" s="294"/>
      <c r="ED62" s="294"/>
      <c r="EE62" s="294"/>
      <c r="EF62" s="294"/>
      <c r="EG62" s="294"/>
      <c r="EH62" s="294"/>
      <c r="EI62" s="294"/>
      <c r="EJ62" s="294"/>
      <c r="EK62" s="294"/>
      <c r="EL62" s="294"/>
      <c r="EM62" s="294"/>
      <c r="EN62" s="294"/>
      <c r="EO62" s="294"/>
      <c r="EP62" s="294"/>
      <c r="EQ62" s="294"/>
      <c r="ER62" s="294"/>
      <c r="ES62" s="294"/>
      <c r="ET62" s="294"/>
      <c r="EU62" s="294"/>
      <c r="EV62" s="294"/>
      <c r="EW62" s="294"/>
      <c r="EX62" s="294"/>
      <c r="EY62" s="294"/>
      <c r="EZ62" s="294"/>
      <c r="FA62" s="294"/>
      <c r="FB62" s="294"/>
      <c r="FC62" s="294"/>
      <c r="FD62" s="294"/>
      <c r="FE62" s="294"/>
      <c r="FF62" s="294"/>
      <c r="FG62" s="294"/>
      <c r="FH62" s="294"/>
      <c r="FI62" s="294"/>
      <c r="FJ62" s="294"/>
      <c r="FK62" s="294"/>
      <c r="FL62" s="294"/>
      <c r="FM62" s="294"/>
      <c r="FN62" s="294"/>
      <c r="FO62" s="294"/>
      <c r="FP62" s="294"/>
      <c r="FQ62" s="294"/>
      <c r="FR62" s="294"/>
      <c r="FS62" s="294"/>
      <c r="FT62" s="294"/>
      <c r="FU62" s="294"/>
      <c r="FV62" s="294"/>
      <c r="FW62" s="294"/>
      <c r="FX62" s="294"/>
      <c r="FY62" s="294"/>
      <c r="FZ62" s="294"/>
      <c r="GA62" s="294"/>
      <c r="GB62" s="294"/>
      <c r="GC62" s="294"/>
      <c r="GD62" s="294"/>
      <c r="GE62" s="294"/>
      <c r="GF62" s="294"/>
      <c r="GG62" s="294"/>
      <c r="GH62" s="294"/>
      <c r="GI62" s="294"/>
      <c r="GJ62" s="294"/>
      <c r="GK62" s="294"/>
      <c r="GL62" s="294"/>
      <c r="GM62" s="294"/>
      <c r="GN62" s="294"/>
      <c r="GO62" s="294"/>
      <c r="GP62" s="294"/>
      <c r="GQ62" s="294"/>
      <c r="GR62" s="294"/>
      <c r="GS62" s="294"/>
      <c r="GT62" s="294"/>
      <c r="GU62" s="294"/>
      <c r="GV62" s="294"/>
      <c r="GW62" s="294"/>
      <c r="GX62" s="294"/>
      <c r="GY62" s="294"/>
      <c r="GZ62" s="294"/>
      <c r="HA62" s="294"/>
      <c r="HB62" s="294"/>
      <c r="HC62" s="294"/>
      <c r="HD62" s="294"/>
      <c r="HE62" s="294"/>
      <c r="HF62" s="294"/>
      <c r="HG62" s="294"/>
      <c r="HH62" s="294"/>
      <c r="HI62" s="294"/>
      <c r="HJ62" s="294"/>
      <c r="HK62" s="294"/>
      <c r="HL62" s="294"/>
      <c r="HM62" s="294"/>
      <c r="HN62" s="294"/>
      <c r="HO62" s="294"/>
      <c r="HP62" s="294"/>
      <c r="HQ62" s="294"/>
      <c r="HR62" s="294"/>
      <c r="HS62" s="294"/>
      <c r="HT62" s="294"/>
      <c r="HU62" s="294"/>
      <c r="HV62" s="294"/>
      <c r="HW62" s="294"/>
      <c r="HX62" s="294"/>
      <c r="HY62" s="294"/>
      <c r="HZ62" s="294"/>
      <c r="IA62" s="294"/>
      <c r="IB62" s="294"/>
      <c r="IC62" s="294"/>
      <c r="ID62" s="294"/>
      <c r="IE62" s="294"/>
      <c r="IF62" s="294"/>
      <c r="IG62" s="294"/>
      <c r="IH62" s="294"/>
      <c r="II62" s="294"/>
      <c r="IJ62" s="294"/>
      <c r="IK62" s="294"/>
      <c r="IL62" s="294"/>
      <c r="IM62" s="294"/>
      <c r="IN62" s="294"/>
      <c r="IO62" s="294"/>
      <c r="IP62" s="294"/>
      <c r="IQ62" s="294"/>
      <c r="IR62" s="294"/>
    </row>
    <row r="63" spans="1:252" s="315" customFormat="1" ht="14.25">
      <c r="A63" s="314"/>
      <c r="B63" s="314" t="str">
        <f>'Cashflow Ann'!E24</f>
        <v xml:space="preserve">Invoice finance interest paid </v>
      </c>
      <c r="C63" s="292"/>
      <c r="D63" s="317">
        <f ca="1">'Cashflow Ann'!J24</f>
        <v>0</v>
      </c>
      <c r="E63" s="317">
        <f ca="1">'Cashflow Ann'!K24</f>
        <v>0</v>
      </c>
      <c r="F63" s="317">
        <f ca="1">'Cashflow Ann'!L24</f>
        <v>0</v>
      </c>
      <c r="G63" s="317">
        <f ca="1">'Cashflow Ann'!M24</f>
        <v>0</v>
      </c>
      <c r="H63" s="317">
        <f ca="1">'Cashflow Ann'!N24</f>
        <v>0</v>
      </c>
      <c r="I63" s="314"/>
      <c r="J63" s="314"/>
      <c r="K63" s="295"/>
      <c r="L63" s="295"/>
      <c r="M63" s="295"/>
      <c r="N63" s="295"/>
      <c r="O63" s="295"/>
      <c r="P63" s="295"/>
      <c r="Q63" s="295"/>
      <c r="R63" s="295"/>
      <c r="S63" s="295"/>
      <c r="T63" s="295"/>
      <c r="U63" s="295"/>
      <c r="V63" s="295"/>
      <c r="W63" s="295"/>
      <c r="X63" s="295"/>
      <c r="Y63" s="295"/>
      <c r="Z63" s="295"/>
      <c r="AA63" s="295"/>
      <c r="AB63" s="295"/>
      <c r="AC63" s="295"/>
      <c r="AD63" s="295"/>
      <c r="AE63" s="295"/>
      <c r="AF63" s="295"/>
      <c r="AG63" s="295"/>
      <c r="AH63" s="295"/>
      <c r="AI63" s="295"/>
      <c r="AJ63" s="295"/>
      <c r="AK63" s="295"/>
      <c r="AL63" s="295"/>
      <c r="AM63" s="295"/>
      <c r="AN63" s="295"/>
      <c r="AO63" s="295"/>
      <c r="AP63" s="295"/>
      <c r="AQ63" s="295"/>
      <c r="AR63" s="295"/>
      <c r="AS63" s="295"/>
      <c r="AT63" s="295"/>
      <c r="AU63" s="295"/>
      <c r="AV63" s="295"/>
      <c r="AW63" s="295"/>
      <c r="AX63" s="295"/>
      <c r="AY63" s="295"/>
      <c r="AZ63" s="295"/>
      <c r="BA63" s="295"/>
      <c r="BB63" s="295"/>
      <c r="BC63" s="295"/>
      <c r="BD63" s="295"/>
      <c r="BE63" s="295"/>
      <c r="BF63" s="295"/>
      <c r="BG63" s="295"/>
      <c r="BH63" s="295"/>
      <c r="BI63" s="295"/>
      <c r="BJ63" s="295"/>
      <c r="BK63" s="295"/>
      <c r="BL63" s="295"/>
      <c r="BM63" s="295"/>
      <c r="BN63" s="295"/>
      <c r="BO63" s="295"/>
      <c r="BP63" s="295"/>
      <c r="BQ63" s="295"/>
      <c r="BR63" s="295"/>
      <c r="BS63" s="295"/>
      <c r="BT63" s="295"/>
      <c r="BU63" s="295"/>
      <c r="BV63" s="295"/>
      <c r="BW63" s="295"/>
      <c r="BX63" s="295"/>
      <c r="BY63" s="295"/>
      <c r="BZ63" s="295"/>
      <c r="CA63" s="295"/>
      <c r="CB63" s="295"/>
      <c r="CC63" s="295"/>
      <c r="CD63" s="295"/>
      <c r="CE63" s="295"/>
      <c r="CF63" s="295"/>
      <c r="CG63" s="295"/>
      <c r="CH63" s="295"/>
      <c r="CI63" s="295"/>
      <c r="CJ63" s="295"/>
      <c r="CK63" s="295"/>
      <c r="CL63" s="295"/>
      <c r="CM63" s="295"/>
      <c r="CN63" s="295"/>
      <c r="CO63" s="295"/>
      <c r="CP63" s="295"/>
      <c r="CQ63" s="295"/>
      <c r="CR63" s="295"/>
      <c r="CS63" s="295"/>
      <c r="CT63" s="295"/>
      <c r="CU63" s="295"/>
      <c r="CV63" s="295"/>
      <c r="CW63" s="295"/>
      <c r="CX63" s="295"/>
      <c r="CY63" s="295"/>
      <c r="CZ63" s="295"/>
      <c r="DA63" s="295"/>
      <c r="DB63" s="295"/>
      <c r="DC63" s="295"/>
      <c r="DD63" s="295"/>
      <c r="DE63" s="295"/>
      <c r="DF63" s="295"/>
      <c r="DG63" s="295"/>
      <c r="DH63" s="295"/>
      <c r="DI63" s="295"/>
      <c r="DJ63" s="295"/>
      <c r="DK63" s="295"/>
      <c r="DL63" s="295"/>
      <c r="DM63" s="295"/>
      <c r="DN63" s="295"/>
      <c r="DO63" s="295"/>
      <c r="DP63" s="295"/>
      <c r="DQ63" s="295"/>
      <c r="DR63" s="295"/>
      <c r="DS63" s="295"/>
      <c r="DT63" s="295"/>
      <c r="DU63" s="295"/>
      <c r="DV63" s="295"/>
      <c r="DW63" s="295"/>
      <c r="DX63" s="295"/>
      <c r="DY63" s="295"/>
      <c r="DZ63" s="295"/>
      <c r="EA63" s="295"/>
      <c r="EB63" s="295"/>
      <c r="EC63" s="295"/>
      <c r="ED63" s="295"/>
      <c r="EE63" s="295"/>
      <c r="EF63" s="295"/>
      <c r="EG63" s="295"/>
      <c r="EH63" s="295"/>
      <c r="EI63" s="295"/>
      <c r="EJ63" s="295"/>
      <c r="EK63" s="295"/>
      <c r="EL63" s="295"/>
      <c r="EM63" s="295"/>
      <c r="EN63" s="295"/>
      <c r="EO63" s="295"/>
      <c r="EP63" s="295"/>
      <c r="EQ63" s="295"/>
      <c r="ER63" s="295"/>
      <c r="ES63" s="295"/>
      <c r="ET63" s="295"/>
      <c r="EU63" s="295"/>
      <c r="EV63" s="295"/>
      <c r="EW63" s="295"/>
      <c r="EX63" s="295"/>
      <c r="EY63" s="295"/>
      <c r="EZ63" s="295"/>
      <c r="FA63" s="295"/>
      <c r="FB63" s="295"/>
      <c r="FC63" s="295"/>
      <c r="FD63" s="295"/>
      <c r="FE63" s="295"/>
      <c r="FF63" s="295"/>
      <c r="FG63" s="295"/>
      <c r="FH63" s="295"/>
      <c r="FI63" s="295"/>
      <c r="FJ63" s="295"/>
      <c r="FK63" s="295"/>
      <c r="FL63" s="295"/>
      <c r="FM63" s="295"/>
      <c r="FN63" s="295"/>
      <c r="FO63" s="295"/>
      <c r="FP63" s="295"/>
      <c r="FQ63" s="295"/>
      <c r="FR63" s="295"/>
      <c r="FS63" s="295"/>
      <c r="FT63" s="295"/>
      <c r="FU63" s="295"/>
      <c r="FV63" s="295"/>
      <c r="FW63" s="295"/>
      <c r="FX63" s="295"/>
      <c r="FY63" s="295"/>
      <c r="FZ63" s="295"/>
      <c r="GA63" s="295"/>
      <c r="GB63" s="295"/>
      <c r="GC63" s="295"/>
      <c r="GD63" s="295"/>
      <c r="GE63" s="295"/>
      <c r="GF63" s="295"/>
      <c r="GG63" s="295"/>
      <c r="GH63" s="295"/>
      <c r="GI63" s="295"/>
      <c r="GJ63" s="295"/>
      <c r="GK63" s="295"/>
      <c r="GL63" s="295"/>
      <c r="GM63" s="295"/>
      <c r="GN63" s="295"/>
      <c r="GO63" s="295"/>
      <c r="GP63" s="295"/>
      <c r="GQ63" s="295"/>
      <c r="GR63" s="295"/>
      <c r="GS63" s="295"/>
      <c r="GT63" s="295"/>
      <c r="GU63" s="295"/>
      <c r="GV63" s="295"/>
      <c r="GW63" s="295"/>
      <c r="GX63" s="295"/>
      <c r="GY63" s="295"/>
      <c r="GZ63" s="295"/>
      <c r="HA63" s="295"/>
      <c r="HB63" s="295"/>
      <c r="HC63" s="295"/>
      <c r="HD63" s="295"/>
      <c r="HE63" s="295"/>
      <c r="HF63" s="295"/>
      <c r="HG63" s="295"/>
      <c r="HH63" s="295"/>
      <c r="HI63" s="295"/>
      <c r="HJ63" s="295"/>
      <c r="HK63" s="295"/>
      <c r="HL63" s="295"/>
      <c r="HM63" s="295"/>
      <c r="HN63" s="295"/>
      <c r="HO63" s="295"/>
      <c r="HP63" s="295"/>
      <c r="HQ63" s="295"/>
      <c r="HR63" s="295"/>
      <c r="HS63" s="295"/>
      <c r="HT63" s="295"/>
      <c r="HU63" s="295"/>
      <c r="HV63" s="295"/>
      <c r="HW63" s="295"/>
      <c r="HX63" s="295"/>
      <c r="HY63" s="295"/>
      <c r="HZ63" s="295"/>
      <c r="IA63" s="295"/>
      <c r="IB63" s="295"/>
      <c r="IC63" s="295"/>
      <c r="ID63" s="295"/>
      <c r="IE63" s="295"/>
      <c r="IF63" s="295"/>
      <c r="IG63" s="295"/>
      <c r="IH63" s="295"/>
      <c r="II63" s="295"/>
      <c r="IJ63" s="295"/>
      <c r="IK63" s="295"/>
      <c r="IL63" s="295"/>
      <c r="IM63" s="295"/>
      <c r="IN63" s="295"/>
      <c r="IO63" s="295"/>
      <c r="IP63" s="295"/>
      <c r="IQ63" s="295"/>
      <c r="IR63" s="295"/>
    </row>
    <row r="64" spans="1:252" ht="15">
      <c r="A64" s="292"/>
      <c r="B64" s="314" t="str">
        <f>'Cashflow Ann'!E25</f>
        <v xml:space="preserve">Asset Finance interest paid </v>
      </c>
      <c r="C64" s="292"/>
      <c r="D64" s="317">
        <f ca="1">'Cashflow Ann'!J25</f>
        <v>-15834.690764259174</v>
      </c>
      <c r="E64" s="317">
        <f ca="1">'Cashflow Ann'!K25</f>
        <v>-37101.134654200752</v>
      </c>
      <c r="F64" s="317">
        <f ca="1">'Cashflow Ann'!L25</f>
        <v>-69604.996622733452</v>
      </c>
      <c r="G64" s="317">
        <f ca="1">'Cashflow Ann'!M25</f>
        <v>-124496.65877311684</v>
      </c>
      <c r="H64" s="317">
        <f ca="1">'Cashflow Ann'!N25</f>
        <v>-203606.90715789475</v>
      </c>
      <c r="I64" s="292"/>
      <c r="J64" s="292"/>
      <c r="K64" s="294"/>
      <c r="L64" s="294"/>
      <c r="M64" s="294"/>
      <c r="N64" s="294"/>
      <c r="O64" s="294"/>
      <c r="P64" s="294"/>
      <c r="Q64" s="294"/>
      <c r="R64" s="294"/>
      <c r="S64" s="294"/>
      <c r="T64" s="294"/>
      <c r="U64" s="294"/>
      <c r="V64" s="294"/>
      <c r="W64" s="294"/>
      <c r="X64" s="294"/>
      <c r="Y64" s="294"/>
      <c r="Z64" s="294"/>
      <c r="AA64" s="294"/>
      <c r="AB64" s="294"/>
      <c r="AC64" s="294"/>
      <c r="AD64" s="294"/>
      <c r="AE64" s="294"/>
      <c r="AF64" s="294"/>
      <c r="AG64" s="294"/>
      <c r="AH64" s="294"/>
      <c r="AI64" s="294"/>
      <c r="AJ64" s="294"/>
      <c r="AK64" s="294"/>
      <c r="AL64" s="294"/>
      <c r="AM64" s="294"/>
      <c r="AN64" s="294"/>
      <c r="AO64" s="294"/>
      <c r="AP64" s="294"/>
      <c r="AQ64" s="294"/>
      <c r="AR64" s="294"/>
      <c r="AS64" s="294"/>
      <c r="AT64" s="294"/>
      <c r="AU64" s="294"/>
      <c r="AV64" s="294"/>
      <c r="AW64" s="294"/>
      <c r="AX64" s="294"/>
      <c r="AY64" s="294"/>
      <c r="AZ64" s="294"/>
      <c r="BA64" s="294"/>
      <c r="BB64" s="294"/>
      <c r="BC64" s="294"/>
      <c r="BD64" s="294"/>
      <c r="BE64" s="294"/>
      <c r="BF64" s="294"/>
      <c r="BG64" s="294"/>
      <c r="BH64" s="294"/>
      <c r="BI64" s="294"/>
      <c r="BJ64" s="294"/>
      <c r="BK64" s="294"/>
      <c r="BL64" s="294"/>
      <c r="BM64" s="294"/>
      <c r="BN64" s="294"/>
      <c r="BO64" s="294"/>
      <c r="BP64" s="294"/>
      <c r="BQ64" s="294"/>
      <c r="BR64" s="294"/>
      <c r="BS64" s="294"/>
      <c r="BT64" s="294"/>
      <c r="BU64" s="294"/>
      <c r="BV64" s="294"/>
      <c r="BW64" s="294"/>
      <c r="BX64" s="294"/>
      <c r="BY64" s="294"/>
      <c r="BZ64" s="294"/>
      <c r="CA64" s="294"/>
      <c r="CB64" s="294"/>
      <c r="CC64" s="294"/>
      <c r="CD64" s="294"/>
      <c r="CE64" s="294"/>
      <c r="CF64" s="294"/>
      <c r="CG64" s="294"/>
      <c r="CH64" s="294"/>
      <c r="CI64" s="294"/>
      <c r="CJ64" s="294"/>
      <c r="CK64" s="294"/>
      <c r="CL64" s="294"/>
      <c r="CM64" s="294"/>
      <c r="CN64" s="294"/>
      <c r="CO64" s="294"/>
      <c r="CP64" s="294"/>
      <c r="CQ64" s="294"/>
      <c r="CR64" s="294"/>
      <c r="CS64" s="294"/>
      <c r="CT64" s="294"/>
      <c r="CU64" s="294"/>
      <c r="CV64" s="294"/>
      <c r="CW64" s="294"/>
      <c r="CX64" s="294"/>
      <c r="CY64" s="294"/>
      <c r="CZ64" s="294"/>
      <c r="DA64" s="294"/>
      <c r="DB64" s="294"/>
      <c r="DC64" s="294"/>
      <c r="DD64" s="294"/>
      <c r="DE64" s="294"/>
      <c r="DF64" s="294"/>
      <c r="DG64" s="294"/>
      <c r="DH64" s="294"/>
      <c r="DI64" s="294"/>
      <c r="DJ64" s="294"/>
      <c r="DK64" s="294"/>
      <c r="DL64" s="294"/>
      <c r="DM64" s="294"/>
      <c r="DN64" s="294"/>
      <c r="DO64" s="294"/>
      <c r="DP64" s="294"/>
      <c r="DQ64" s="294"/>
      <c r="DR64" s="294"/>
      <c r="DS64" s="294"/>
      <c r="DT64" s="294"/>
      <c r="DU64" s="294"/>
      <c r="DV64" s="294"/>
      <c r="DW64" s="294"/>
      <c r="DX64" s="294"/>
      <c r="DY64" s="294"/>
      <c r="DZ64" s="294"/>
      <c r="EA64" s="294"/>
      <c r="EB64" s="294"/>
      <c r="EC64" s="294"/>
      <c r="ED64" s="294"/>
      <c r="EE64" s="294"/>
      <c r="EF64" s="294"/>
      <c r="EG64" s="294"/>
      <c r="EH64" s="294"/>
      <c r="EI64" s="294"/>
      <c r="EJ64" s="294"/>
      <c r="EK64" s="294"/>
      <c r="EL64" s="294"/>
      <c r="EM64" s="294"/>
      <c r="EN64" s="294"/>
      <c r="EO64" s="294"/>
      <c r="EP64" s="294"/>
      <c r="EQ64" s="294"/>
      <c r="ER64" s="294"/>
      <c r="ES64" s="294"/>
      <c r="ET64" s="294"/>
      <c r="EU64" s="294"/>
      <c r="EV64" s="294"/>
      <c r="EW64" s="294"/>
      <c r="EX64" s="294"/>
      <c r="EY64" s="294"/>
      <c r="EZ64" s="294"/>
      <c r="FA64" s="294"/>
      <c r="FB64" s="294"/>
      <c r="FC64" s="294"/>
      <c r="FD64" s="294"/>
      <c r="FE64" s="294"/>
      <c r="FF64" s="294"/>
      <c r="FG64" s="294"/>
      <c r="FH64" s="294"/>
      <c r="FI64" s="294"/>
      <c r="FJ64" s="294"/>
      <c r="FK64" s="294"/>
      <c r="FL64" s="294"/>
      <c r="FM64" s="294"/>
      <c r="FN64" s="294"/>
      <c r="FO64" s="294"/>
      <c r="FP64" s="294"/>
      <c r="FQ64" s="294"/>
      <c r="FR64" s="294"/>
      <c r="FS64" s="294"/>
      <c r="FT64" s="294"/>
      <c r="FU64" s="294"/>
      <c r="FV64" s="294"/>
      <c r="FW64" s="294"/>
      <c r="FX64" s="294"/>
      <c r="FY64" s="294"/>
      <c r="FZ64" s="294"/>
      <c r="GA64" s="294"/>
      <c r="GB64" s="294"/>
      <c r="GC64" s="294"/>
      <c r="GD64" s="294"/>
      <c r="GE64" s="294"/>
      <c r="GF64" s="294"/>
      <c r="GG64" s="294"/>
      <c r="GH64" s="294"/>
      <c r="GI64" s="294"/>
      <c r="GJ64" s="294"/>
      <c r="GK64" s="294"/>
      <c r="GL64" s="294"/>
      <c r="GM64" s="294"/>
      <c r="GN64" s="294"/>
      <c r="GO64" s="294"/>
      <c r="GP64" s="294"/>
      <c r="GQ64" s="294"/>
      <c r="GR64" s="294"/>
      <c r="GS64" s="294"/>
      <c r="GT64" s="294"/>
      <c r="GU64" s="294"/>
      <c r="GV64" s="294"/>
      <c r="GW64" s="294"/>
      <c r="GX64" s="294"/>
      <c r="GY64" s="294"/>
      <c r="GZ64" s="294"/>
      <c r="HA64" s="294"/>
      <c r="HB64" s="294"/>
      <c r="HC64" s="294"/>
      <c r="HD64" s="294"/>
      <c r="HE64" s="294"/>
      <c r="HF64" s="294"/>
      <c r="HG64" s="294"/>
      <c r="HH64" s="294"/>
      <c r="HI64" s="294"/>
      <c r="HJ64" s="294"/>
      <c r="HK64" s="294"/>
      <c r="HL64" s="294"/>
      <c r="HM64" s="294"/>
      <c r="HN64" s="294"/>
      <c r="HO64" s="294"/>
      <c r="HP64" s="294"/>
      <c r="HQ64" s="294"/>
      <c r="HR64" s="294"/>
      <c r="HS64" s="294"/>
      <c r="HT64" s="294"/>
      <c r="HU64" s="294"/>
      <c r="HV64" s="294"/>
      <c r="HW64" s="294"/>
      <c r="HX64" s="294"/>
      <c r="HY64" s="294"/>
      <c r="HZ64" s="294"/>
      <c r="IA64" s="294"/>
      <c r="IB64" s="294"/>
      <c r="IC64" s="294"/>
      <c r="ID64" s="294"/>
      <c r="IE64" s="294"/>
      <c r="IF64" s="294"/>
      <c r="IG64" s="294"/>
      <c r="IH64" s="294"/>
      <c r="II64" s="294"/>
      <c r="IJ64" s="294"/>
      <c r="IK64" s="294"/>
      <c r="IL64" s="294"/>
      <c r="IM64" s="294"/>
      <c r="IN64" s="294"/>
      <c r="IO64" s="294"/>
      <c r="IP64" s="294"/>
      <c r="IQ64" s="294"/>
      <c r="IR64" s="294"/>
    </row>
    <row r="65" spans="2:8" ht="14.25">
      <c r="B65" s="322" t="str">
        <f>'Cashflow Ann'!E26</f>
        <v>CF after financing</v>
      </c>
      <c r="C65" s="321"/>
      <c r="D65" s="316">
        <f ca="1">'Cashflow Ann'!J26</f>
        <v>85687.307120060359</v>
      </c>
      <c r="E65" s="316">
        <f ca="1">'Cashflow Ann'!K26</f>
        <v>1184371.8365341108</v>
      </c>
      <c r="F65" s="316">
        <f ca="1">'Cashflow Ann'!L26</f>
        <v>4147902.9668737403</v>
      </c>
      <c r="G65" s="316">
        <f ca="1">'Cashflow Ann'!M26</f>
        <v>9566828.2891947106</v>
      </c>
      <c r="H65" s="316">
        <f ca="1">'Cashflow Ann'!N26</f>
        <v>19160654.052809693</v>
      </c>
    </row>
    <row r="66" spans="2:8" ht="14.25">
      <c r="C66" s="292"/>
      <c r="D66" s="317"/>
      <c r="E66" s="317"/>
      <c r="F66" s="317"/>
      <c r="G66" s="317"/>
      <c r="H66" s="317"/>
    </row>
    <row r="67" spans="2:8" ht="14.25">
      <c r="B67" s="314" t="str">
        <f>'Cashflow Ann'!E28</f>
        <v>New share capital issued</v>
      </c>
      <c r="C67" s="292"/>
      <c r="D67" s="317">
        <f>'Cashflow Ann'!J28</f>
        <v>0</v>
      </c>
      <c r="E67" s="317">
        <f>'Cashflow Ann'!K28</f>
        <v>0</v>
      </c>
      <c r="F67" s="317">
        <f>'Cashflow Ann'!L28</f>
        <v>0</v>
      </c>
      <c r="G67" s="317">
        <f>'Cashflow Ann'!M28</f>
        <v>0</v>
      </c>
      <c r="H67" s="317">
        <f>'Cashflow Ann'!N28</f>
        <v>0</v>
      </c>
    </row>
    <row r="68" spans="2:8" ht="14.25">
      <c r="B68" s="322" t="str">
        <f>'Cashflow Ann'!E29</f>
        <v>Net Cashflow</v>
      </c>
      <c r="C68" s="321"/>
      <c r="D68" s="316">
        <f ca="1">'Cashflow Ann'!J29</f>
        <v>85687.307120060359</v>
      </c>
      <c r="E68" s="316">
        <f ca="1">'Cashflow Ann'!K29</f>
        <v>1184371.8365341108</v>
      </c>
      <c r="F68" s="316">
        <f ca="1">'Cashflow Ann'!L29</f>
        <v>4147902.9668737403</v>
      </c>
      <c r="G68" s="316">
        <f ca="1">'Cashflow Ann'!M29</f>
        <v>9566828.2891947106</v>
      </c>
      <c r="H68" s="316">
        <f ca="1">'Cashflow Ann'!N29</f>
        <v>19160654.052809693</v>
      </c>
    </row>
    <row r="69" spans="2:8" ht="14.25">
      <c r="C69" s="292"/>
      <c r="D69" s="317"/>
      <c r="E69" s="317"/>
      <c r="F69" s="317"/>
      <c r="G69" s="317"/>
      <c r="H69" s="317"/>
    </row>
    <row r="70" spans="2:8" ht="14.25">
      <c r="C70" s="292"/>
      <c r="D70" s="317"/>
      <c r="E70" s="317"/>
      <c r="F70" s="317"/>
      <c r="G70" s="317"/>
      <c r="H70" s="31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04EAB-8B84-4F15-ADF7-6A29D7AABCD3}">
  <dimension ref="A1:IR69"/>
  <sheetViews>
    <sheetView workbookViewId="0">
      <selection activeCell="B14" sqref="B14"/>
    </sheetView>
  </sheetViews>
  <sheetFormatPr defaultColWidth="8.90625" defaultRowHeight="14.25"/>
  <cols>
    <col min="1" max="1" width="8.90625" style="327"/>
    <col min="2" max="2" width="49.81640625" style="327" customWidth="1"/>
    <col min="3" max="3" width="4.54296875" style="327" customWidth="1"/>
    <col min="4" max="4" width="16.81640625" style="327" customWidth="1"/>
    <col min="5" max="5" width="15.54296875" style="327" customWidth="1"/>
    <col min="6" max="6" width="14.36328125" style="327" customWidth="1"/>
    <col min="7" max="7" width="16.81640625" style="327" customWidth="1"/>
    <col min="8" max="9" width="15.54296875" style="327" customWidth="1"/>
    <col min="10" max="11" width="16.81640625" style="327" customWidth="1"/>
    <col min="12" max="13" width="15.54296875" style="327" customWidth="1"/>
    <col min="14" max="14" width="16.81640625" style="327" customWidth="1"/>
    <col min="15" max="15" width="15.54296875" style="327" customWidth="1"/>
    <col min="16" max="16" width="16.81640625" style="327" customWidth="1"/>
    <col min="17" max="18" width="15.54296875" style="327" customWidth="1"/>
    <col min="19" max="19" width="16.81640625" style="327" customWidth="1"/>
    <col min="20" max="21" width="15.54296875" style="327" customWidth="1"/>
    <col min="22" max="23" width="16.81640625" style="327" customWidth="1"/>
    <col min="24" max="25" width="15.54296875" style="327" customWidth="1"/>
    <col min="26" max="26" width="16.81640625" style="327" customWidth="1"/>
    <col min="27" max="27" width="15.54296875" style="327" customWidth="1"/>
    <col min="28" max="28" width="16.81640625" style="327" customWidth="1"/>
    <col min="29" max="30" width="15.54296875" style="327" customWidth="1"/>
    <col min="31" max="31" width="16.81640625" style="327" customWidth="1"/>
    <col min="32" max="33" width="15.54296875" style="327" customWidth="1"/>
    <col min="34" max="35" width="16.81640625" style="327" customWidth="1"/>
    <col min="36" max="37" width="15.54296875" style="327" customWidth="1"/>
    <col min="38" max="38" width="16.81640625" style="327" customWidth="1"/>
    <col min="39" max="39" width="15.54296875" style="327" customWidth="1"/>
    <col min="40" max="40" width="16.81640625" style="327" customWidth="1"/>
    <col min="41" max="41" width="15.54296875" style="327" customWidth="1"/>
    <col min="42" max="59" width="18" style="327" customWidth="1"/>
    <col min="60" max="63" width="19.1796875" style="327" customWidth="1"/>
    <col min="64" max="251" width="8.90625" style="327"/>
    <col min="252" max="16384" width="8.90625" style="325"/>
  </cols>
  <sheetData>
    <row r="1" spans="1:252">
      <c r="A1" s="323"/>
      <c r="B1" s="323"/>
      <c r="C1" s="324"/>
      <c r="D1" s="323"/>
      <c r="E1" s="323"/>
      <c r="F1" s="323"/>
      <c r="G1" s="323"/>
      <c r="H1" s="323"/>
      <c r="I1" s="323"/>
      <c r="J1" s="323"/>
      <c r="K1" s="323"/>
      <c r="L1" s="323"/>
      <c r="M1" s="323"/>
      <c r="N1" s="323"/>
      <c r="O1" s="323"/>
      <c r="P1" s="323"/>
      <c r="Q1" s="323"/>
      <c r="R1" s="323"/>
      <c r="S1" s="323"/>
      <c r="T1" s="323"/>
      <c r="U1" s="323"/>
      <c r="V1" s="323"/>
      <c r="W1" s="323"/>
      <c r="X1" s="323"/>
      <c r="Y1" s="323"/>
      <c r="Z1" s="323"/>
      <c r="AA1" s="323"/>
      <c r="AB1" s="323"/>
      <c r="AC1" s="323"/>
      <c r="AD1" s="323"/>
      <c r="AE1" s="323"/>
      <c r="AF1" s="323"/>
      <c r="AG1" s="323"/>
      <c r="AH1" s="323"/>
      <c r="AI1" s="323"/>
      <c r="AJ1" s="323"/>
      <c r="AK1" s="323"/>
      <c r="AL1" s="323"/>
      <c r="AM1" s="323"/>
      <c r="AN1" s="323"/>
      <c r="AO1" s="323"/>
      <c r="AP1" s="323"/>
      <c r="AQ1" s="323"/>
      <c r="AR1" s="323"/>
      <c r="AS1" s="323"/>
      <c r="AT1" s="323"/>
      <c r="AU1" s="323"/>
      <c r="AV1" s="323"/>
      <c r="AW1" s="323"/>
      <c r="AX1" s="323"/>
      <c r="AY1" s="323"/>
      <c r="AZ1" s="323"/>
      <c r="BA1" s="323"/>
      <c r="BB1" s="323"/>
      <c r="BC1" s="323"/>
      <c r="BD1" s="323"/>
      <c r="BE1" s="323"/>
      <c r="BF1" s="323"/>
      <c r="BG1" s="323"/>
      <c r="BH1" s="323"/>
      <c r="BI1" s="323"/>
      <c r="BJ1" s="323"/>
      <c r="BK1" s="323"/>
      <c r="BL1" s="323"/>
      <c r="BM1" s="323"/>
      <c r="BN1" s="323"/>
      <c r="BO1" s="323"/>
      <c r="BP1" s="323"/>
      <c r="BQ1" s="323"/>
      <c r="BR1" s="323"/>
      <c r="BS1" s="323"/>
      <c r="BT1" s="323"/>
      <c r="BU1" s="323"/>
      <c r="BV1" s="323"/>
      <c r="BW1" s="323"/>
      <c r="BX1" s="323"/>
      <c r="BY1" s="323"/>
      <c r="BZ1" s="323"/>
      <c r="CA1" s="323"/>
      <c r="CB1" s="323"/>
      <c r="CC1" s="323"/>
      <c r="CD1" s="323"/>
      <c r="CE1" s="323"/>
      <c r="CF1" s="323"/>
      <c r="CG1" s="323"/>
      <c r="CH1" s="323"/>
      <c r="CI1" s="323"/>
      <c r="CJ1" s="323"/>
      <c r="CK1" s="323"/>
      <c r="CL1" s="323"/>
      <c r="CM1" s="323"/>
      <c r="CN1" s="323"/>
      <c r="CO1" s="323"/>
      <c r="CP1" s="323"/>
      <c r="CQ1" s="323"/>
      <c r="CR1" s="323"/>
      <c r="CS1" s="323"/>
      <c r="CT1" s="323"/>
      <c r="CU1" s="323"/>
      <c r="CV1" s="323"/>
      <c r="CW1" s="323"/>
      <c r="CX1" s="323"/>
      <c r="CY1" s="323"/>
      <c r="CZ1" s="323"/>
      <c r="DA1" s="323"/>
      <c r="DB1" s="323"/>
      <c r="DC1" s="323"/>
      <c r="DD1" s="323"/>
      <c r="DE1" s="323"/>
      <c r="DF1" s="323"/>
      <c r="DG1" s="323"/>
      <c r="DH1" s="323"/>
      <c r="DI1" s="323"/>
      <c r="DJ1" s="323"/>
      <c r="DK1" s="323"/>
      <c r="DL1" s="323"/>
      <c r="DM1" s="323"/>
      <c r="DN1" s="323"/>
      <c r="DO1" s="323"/>
      <c r="DP1" s="323"/>
      <c r="DQ1" s="323"/>
      <c r="DR1" s="323"/>
      <c r="DS1" s="323"/>
      <c r="DT1" s="323"/>
      <c r="DU1" s="323"/>
      <c r="DV1" s="323"/>
      <c r="DW1" s="323"/>
      <c r="DX1" s="323"/>
      <c r="DY1" s="323"/>
      <c r="DZ1" s="323"/>
      <c r="EA1" s="323"/>
      <c r="EB1" s="323"/>
      <c r="EC1" s="323"/>
      <c r="ED1" s="323"/>
      <c r="EE1" s="323"/>
      <c r="EF1" s="323"/>
      <c r="EG1" s="323"/>
      <c r="EH1" s="323"/>
      <c r="EI1" s="323"/>
      <c r="EJ1" s="323"/>
      <c r="EK1" s="323"/>
      <c r="EL1" s="323"/>
      <c r="EM1" s="323"/>
      <c r="EN1" s="323"/>
      <c r="EO1" s="323"/>
      <c r="EP1" s="323"/>
      <c r="EQ1" s="323"/>
      <c r="ER1" s="323"/>
      <c r="ES1" s="323"/>
      <c r="ET1" s="323"/>
      <c r="EU1" s="323"/>
      <c r="EV1" s="323"/>
      <c r="EW1" s="323"/>
      <c r="EX1" s="323"/>
      <c r="EY1" s="323"/>
      <c r="EZ1" s="323"/>
      <c r="FA1" s="323"/>
      <c r="FB1" s="323"/>
      <c r="FC1" s="323"/>
      <c r="FD1" s="323"/>
      <c r="FE1" s="323"/>
      <c r="FF1" s="323"/>
      <c r="FG1" s="323"/>
      <c r="FH1" s="323"/>
      <c r="FI1" s="323"/>
      <c r="FJ1" s="323"/>
      <c r="FK1" s="323"/>
      <c r="FL1" s="323"/>
      <c r="FM1" s="323"/>
      <c r="FN1" s="323"/>
      <c r="FO1" s="323"/>
      <c r="FP1" s="323"/>
      <c r="FQ1" s="323"/>
      <c r="FR1" s="323"/>
      <c r="FS1" s="323"/>
      <c r="FT1" s="323"/>
      <c r="FU1" s="323"/>
      <c r="FV1" s="323"/>
      <c r="FW1" s="323"/>
      <c r="FX1" s="323"/>
      <c r="FY1" s="323"/>
      <c r="FZ1" s="323"/>
      <c r="GA1" s="323"/>
      <c r="GB1" s="323"/>
      <c r="GC1" s="323"/>
      <c r="GD1" s="323"/>
      <c r="GE1" s="323"/>
      <c r="GF1" s="323"/>
      <c r="GG1" s="323"/>
      <c r="GH1" s="323"/>
      <c r="GI1" s="323"/>
      <c r="GJ1" s="323"/>
      <c r="GK1" s="323"/>
      <c r="GL1" s="323"/>
      <c r="GM1" s="323"/>
      <c r="GN1" s="323"/>
      <c r="GO1" s="323"/>
      <c r="GP1" s="323"/>
      <c r="GQ1" s="323"/>
      <c r="GR1" s="323"/>
      <c r="GS1" s="323"/>
      <c r="GT1" s="323"/>
      <c r="GU1" s="323"/>
      <c r="GV1" s="323"/>
      <c r="GW1" s="323"/>
      <c r="GX1" s="323"/>
      <c r="GY1" s="323"/>
      <c r="GZ1" s="323"/>
      <c r="HA1" s="323"/>
      <c r="HB1" s="323"/>
      <c r="HC1" s="323"/>
      <c r="HD1" s="323"/>
      <c r="HE1" s="323"/>
      <c r="HF1" s="323"/>
      <c r="HG1" s="323"/>
      <c r="HH1" s="323"/>
      <c r="HI1" s="323"/>
      <c r="HJ1" s="323"/>
      <c r="HK1" s="323"/>
      <c r="HL1" s="323"/>
      <c r="HM1" s="323"/>
      <c r="HN1" s="323"/>
      <c r="HO1" s="323"/>
      <c r="HP1" s="323"/>
      <c r="HQ1" s="323"/>
      <c r="HR1" s="323"/>
      <c r="HS1" s="323"/>
      <c r="HT1" s="323"/>
      <c r="HU1" s="323"/>
      <c r="HV1" s="323"/>
      <c r="HW1" s="323"/>
      <c r="HX1" s="323"/>
      <c r="HY1" s="323"/>
      <c r="HZ1" s="323"/>
      <c r="IA1" s="323"/>
      <c r="IB1" s="323"/>
      <c r="IC1" s="323"/>
      <c r="ID1" s="323"/>
      <c r="IE1" s="323"/>
      <c r="IF1" s="323"/>
      <c r="IG1" s="323"/>
      <c r="IH1" s="323"/>
      <c r="II1" s="323"/>
      <c r="IJ1" s="323"/>
      <c r="IK1" s="323"/>
      <c r="IL1" s="323"/>
      <c r="IM1" s="323"/>
      <c r="IN1" s="323"/>
      <c r="IO1" s="323"/>
      <c r="IP1" s="323"/>
      <c r="IQ1" s="323"/>
      <c r="IR1" s="323"/>
    </row>
    <row r="2" spans="1:252" s="326" customFormat="1">
      <c r="A2" s="338"/>
      <c r="B2" s="338" t="s">
        <v>346</v>
      </c>
      <c r="C2" s="324"/>
      <c r="D2" s="339">
        <f>'Income Statement'!J2</f>
        <v>45077</v>
      </c>
      <c r="E2" s="339">
        <f>'Income Statement'!K2</f>
        <v>45107</v>
      </c>
      <c r="F2" s="339">
        <f>'Income Statement'!L2</f>
        <v>45138</v>
      </c>
      <c r="G2" s="339">
        <f>'Income Statement'!M2</f>
        <v>45169</v>
      </c>
      <c r="H2" s="339">
        <f>'Income Statement'!N2</f>
        <v>45199</v>
      </c>
      <c r="I2" s="339">
        <f>'Income Statement'!O2</f>
        <v>45230</v>
      </c>
      <c r="J2" s="339">
        <f>'Income Statement'!P2</f>
        <v>45260</v>
      </c>
      <c r="K2" s="339">
        <f>'Income Statement'!Q2</f>
        <v>45291</v>
      </c>
      <c r="L2" s="339">
        <f>'Income Statement'!R2</f>
        <v>45322</v>
      </c>
      <c r="M2" s="339">
        <f>'Income Statement'!S2</f>
        <v>45351</v>
      </c>
      <c r="N2" s="339">
        <f>'Income Statement'!T2</f>
        <v>45382</v>
      </c>
      <c r="O2" s="339">
        <f>'Income Statement'!U2</f>
        <v>45412</v>
      </c>
      <c r="P2" s="339">
        <f>'Income Statement'!V2</f>
        <v>45443</v>
      </c>
      <c r="Q2" s="339">
        <f>'Income Statement'!W2</f>
        <v>45473</v>
      </c>
      <c r="R2" s="339">
        <f>'Income Statement'!X2</f>
        <v>45504</v>
      </c>
      <c r="S2" s="339">
        <f>'Income Statement'!Y2</f>
        <v>45535</v>
      </c>
      <c r="T2" s="339">
        <f>'Income Statement'!Z2</f>
        <v>45565</v>
      </c>
      <c r="U2" s="339">
        <f>'Income Statement'!AA2</f>
        <v>45596</v>
      </c>
      <c r="V2" s="339">
        <f>'Income Statement'!AB2</f>
        <v>45626</v>
      </c>
      <c r="W2" s="339">
        <f>'Income Statement'!AC2</f>
        <v>45657</v>
      </c>
      <c r="X2" s="339">
        <f>'Income Statement'!AD2</f>
        <v>45688</v>
      </c>
      <c r="Y2" s="339">
        <f>'Income Statement'!AE2</f>
        <v>45716</v>
      </c>
      <c r="Z2" s="339">
        <f>'Income Statement'!AF2</f>
        <v>45747</v>
      </c>
      <c r="AA2" s="339">
        <f>'Income Statement'!AG2</f>
        <v>45777</v>
      </c>
      <c r="AB2" s="339">
        <f>'Income Statement'!AH2</f>
        <v>45808</v>
      </c>
      <c r="AC2" s="339">
        <f>'Income Statement'!AI2</f>
        <v>45838</v>
      </c>
      <c r="AD2" s="339">
        <f>'Income Statement'!AJ2</f>
        <v>45869</v>
      </c>
      <c r="AE2" s="339">
        <f>'Income Statement'!AK2</f>
        <v>45900</v>
      </c>
      <c r="AF2" s="339">
        <f>'Income Statement'!AL2</f>
        <v>45930</v>
      </c>
      <c r="AG2" s="339">
        <f>'Income Statement'!AM2</f>
        <v>45961</v>
      </c>
      <c r="AH2" s="339">
        <f>'Income Statement'!AN2</f>
        <v>45991</v>
      </c>
      <c r="AI2" s="339">
        <f>'Income Statement'!AO2</f>
        <v>46022</v>
      </c>
      <c r="AJ2" s="339">
        <f>'Income Statement'!AP2</f>
        <v>46053</v>
      </c>
      <c r="AK2" s="339">
        <f>'Income Statement'!AQ2</f>
        <v>46081</v>
      </c>
      <c r="AL2" s="339">
        <f>'Income Statement'!AR2</f>
        <v>46112</v>
      </c>
      <c r="AM2" s="339">
        <f>'Income Statement'!AS2</f>
        <v>46142</v>
      </c>
      <c r="AN2" s="339">
        <f>'Income Statement'!AT2</f>
        <v>46173</v>
      </c>
      <c r="AO2" s="339">
        <f>'Income Statement'!AU2</f>
        <v>46203</v>
      </c>
      <c r="AP2" s="339">
        <f>'Income Statement'!AV2</f>
        <v>46234</v>
      </c>
      <c r="AQ2" s="339">
        <f>'Income Statement'!AW2</f>
        <v>46265</v>
      </c>
      <c r="AR2" s="339">
        <f>'Income Statement'!AX2</f>
        <v>46295</v>
      </c>
      <c r="AS2" s="339">
        <f>'Income Statement'!AY2</f>
        <v>46326</v>
      </c>
      <c r="AT2" s="339">
        <f>'Income Statement'!AZ2</f>
        <v>46356</v>
      </c>
      <c r="AU2" s="339">
        <f>'Income Statement'!BA2</f>
        <v>46387</v>
      </c>
      <c r="AV2" s="339">
        <f>'Income Statement'!BB2</f>
        <v>46418</v>
      </c>
      <c r="AW2" s="339">
        <f>'Income Statement'!BC2</f>
        <v>46446</v>
      </c>
      <c r="AX2" s="339">
        <f>'Income Statement'!BD2</f>
        <v>46477</v>
      </c>
      <c r="AY2" s="339">
        <f>'Income Statement'!BE2</f>
        <v>46507</v>
      </c>
      <c r="AZ2" s="339">
        <f>'Income Statement'!BF2</f>
        <v>46538</v>
      </c>
      <c r="BA2" s="339">
        <f>'Income Statement'!BG2</f>
        <v>46568</v>
      </c>
      <c r="BB2" s="339">
        <f>'Income Statement'!BH2</f>
        <v>46599</v>
      </c>
      <c r="BC2" s="339">
        <f>'Income Statement'!BI2</f>
        <v>46630</v>
      </c>
      <c r="BD2" s="339">
        <f>'Income Statement'!BJ2</f>
        <v>46660</v>
      </c>
      <c r="BE2" s="339">
        <f>'Income Statement'!BK2</f>
        <v>46691</v>
      </c>
      <c r="BF2" s="339">
        <f>'Income Statement'!BL2</f>
        <v>46721</v>
      </c>
      <c r="BG2" s="339">
        <f>'Income Statement'!BM2</f>
        <v>46752</v>
      </c>
      <c r="BH2" s="339">
        <f>'Income Statement'!BN2</f>
        <v>46783</v>
      </c>
      <c r="BI2" s="339">
        <f>'Income Statement'!BO2</f>
        <v>46812</v>
      </c>
      <c r="BJ2" s="339">
        <f>'Income Statement'!BP2</f>
        <v>46843</v>
      </c>
      <c r="BK2" s="339">
        <f>'Income Statement'!BQ2</f>
        <v>46873</v>
      </c>
      <c r="BL2" s="338"/>
      <c r="BM2" s="338"/>
      <c r="BN2" s="338"/>
      <c r="BO2" s="338"/>
      <c r="BP2" s="338"/>
      <c r="BQ2" s="338"/>
      <c r="BR2" s="338"/>
      <c r="BS2" s="338"/>
      <c r="BT2" s="338"/>
      <c r="BU2" s="338"/>
      <c r="BV2" s="338"/>
      <c r="BW2" s="338"/>
      <c r="BX2" s="338"/>
      <c r="BY2" s="338"/>
      <c r="BZ2" s="338"/>
      <c r="CA2" s="338"/>
      <c r="CB2" s="338"/>
      <c r="CC2" s="338"/>
      <c r="CD2" s="338"/>
      <c r="CE2" s="338"/>
      <c r="CF2" s="338"/>
      <c r="CG2" s="338"/>
      <c r="CH2" s="338"/>
      <c r="CI2" s="338"/>
      <c r="CJ2" s="338"/>
      <c r="CK2" s="338"/>
      <c r="CL2" s="338"/>
      <c r="CM2" s="338"/>
      <c r="CN2" s="338"/>
      <c r="CO2" s="338"/>
      <c r="CP2" s="338"/>
      <c r="CQ2" s="338"/>
      <c r="CR2" s="338"/>
      <c r="CS2" s="338"/>
      <c r="CT2" s="338"/>
      <c r="CU2" s="338"/>
      <c r="CV2" s="338"/>
      <c r="CW2" s="338"/>
      <c r="CX2" s="338"/>
      <c r="CY2" s="338"/>
      <c r="CZ2" s="338"/>
      <c r="DA2" s="338"/>
      <c r="DB2" s="338"/>
      <c r="DC2" s="338"/>
      <c r="DD2" s="338"/>
      <c r="DE2" s="338"/>
      <c r="DF2" s="338"/>
      <c r="DG2" s="338"/>
      <c r="DH2" s="338"/>
      <c r="DI2" s="338"/>
      <c r="DJ2" s="338"/>
      <c r="DK2" s="338"/>
      <c r="DL2" s="338"/>
      <c r="DM2" s="338"/>
      <c r="DN2" s="338"/>
      <c r="DO2" s="338"/>
      <c r="DP2" s="338"/>
      <c r="DQ2" s="338"/>
      <c r="DR2" s="338"/>
      <c r="DS2" s="338"/>
      <c r="DT2" s="338"/>
      <c r="DU2" s="338"/>
      <c r="DV2" s="338"/>
      <c r="DW2" s="338"/>
      <c r="DX2" s="338"/>
      <c r="DY2" s="338"/>
      <c r="DZ2" s="338"/>
      <c r="EA2" s="338"/>
      <c r="EB2" s="338"/>
      <c r="EC2" s="338"/>
      <c r="ED2" s="338"/>
      <c r="EE2" s="338"/>
      <c r="EF2" s="338"/>
      <c r="EG2" s="338"/>
      <c r="EH2" s="338"/>
      <c r="EI2" s="338"/>
      <c r="EJ2" s="338"/>
      <c r="EK2" s="338"/>
      <c r="EL2" s="338"/>
      <c r="EM2" s="338"/>
      <c r="EN2" s="338"/>
      <c r="EO2" s="338"/>
      <c r="EP2" s="338"/>
      <c r="EQ2" s="338"/>
      <c r="ER2" s="338"/>
      <c r="ES2" s="338"/>
      <c r="ET2" s="338"/>
      <c r="EU2" s="338"/>
      <c r="EV2" s="338"/>
      <c r="EW2" s="338"/>
      <c r="EX2" s="338"/>
      <c r="EY2" s="338"/>
      <c r="EZ2" s="338"/>
      <c r="FA2" s="338"/>
      <c r="FB2" s="338"/>
      <c r="FC2" s="338"/>
      <c r="FD2" s="338"/>
      <c r="FE2" s="338"/>
      <c r="FF2" s="338"/>
      <c r="FG2" s="338"/>
      <c r="FH2" s="338"/>
      <c r="FI2" s="338"/>
      <c r="FJ2" s="338"/>
      <c r="FK2" s="338"/>
      <c r="FL2" s="338"/>
      <c r="FM2" s="338"/>
      <c r="FN2" s="338"/>
      <c r="FO2" s="338"/>
      <c r="FP2" s="338"/>
      <c r="FQ2" s="338"/>
      <c r="FR2" s="338"/>
      <c r="FS2" s="338"/>
      <c r="FT2" s="338"/>
      <c r="FU2" s="338"/>
      <c r="FV2" s="338"/>
      <c r="FW2" s="338"/>
      <c r="FX2" s="338"/>
      <c r="FY2" s="338"/>
      <c r="FZ2" s="338"/>
      <c r="GA2" s="338"/>
      <c r="GB2" s="338"/>
      <c r="GC2" s="338"/>
      <c r="GD2" s="338"/>
      <c r="GE2" s="338"/>
      <c r="GF2" s="338"/>
      <c r="GG2" s="338"/>
      <c r="GH2" s="338"/>
      <c r="GI2" s="338"/>
      <c r="GJ2" s="338"/>
      <c r="GK2" s="338"/>
      <c r="GL2" s="338"/>
      <c r="GM2" s="338"/>
      <c r="GN2" s="338"/>
      <c r="GO2" s="338"/>
      <c r="GP2" s="338"/>
      <c r="GQ2" s="338"/>
      <c r="GR2" s="338"/>
      <c r="GS2" s="338"/>
      <c r="GT2" s="338"/>
      <c r="GU2" s="338"/>
      <c r="GV2" s="338"/>
      <c r="GW2" s="338"/>
      <c r="GX2" s="338"/>
      <c r="GY2" s="338"/>
      <c r="GZ2" s="338"/>
      <c r="HA2" s="338"/>
      <c r="HB2" s="338"/>
      <c r="HC2" s="338"/>
      <c r="HD2" s="338"/>
      <c r="HE2" s="338"/>
      <c r="HF2" s="338"/>
      <c r="HG2" s="338"/>
      <c r="HH2" s="338"/>
      <c r="HI2" s="338"/>
      <c r="HJ2" s="338"/>
      <c r="HK2" s="338"/>
      <c r="HL2" s="338"/>
      <c r="HM2" s="338"/>
      <c r="HN2" s="338"/>
      <c r="HO2" s="338"/>
      <c r="HP2" s="338"/>
      <c r="HQ2" s="338"/>
      <c r="HR2" s="338"/>
      <c r="HS2" s="338"/>
      <c r="HT2" s="338"/>
      <c r="HU2" s="338"/>
      <c r="HV2" s="338"/>
      <c r="HW2" s="338"/>
      <c r="HX2" s="338"/>
      <c r="HY2" s="338"/>
      <c r="HZ2" s="338"/>
      <c r="IA2" s="338"/>
      <c r="IB2" s="338"/>
      <c r="IC2" s="338"/>
      <c r="ID2" s="338"/>
      <c r="IE2" s="338"/>
      <c r="IF2" s="338"/>
      <c r="IG2" s="338"/>
      <c r="IH2" s="338"/>
      <c r="II2" s="338"/>
      <c r="IJ2" s="338"/>
      <c r="IK2" s="338"/>
      <c r="IL2" s="338"/>
      <c r="IM2" s="338"/>
      <c r="IN2" s="338"/>
      <c r="IO2" s="338"/>
      <c r="IP2" s="338"/>
      <c r="IQ2" s="338"/>
      <c r="IR2" s="338"/>
    </row>
    <row r="3" spans="1:252">
      <c r="A3" s="323"/>
      <c r="B3" s="323"/>
      <c r="C3" s="324"/>
      <c r="D3" s="323"/>
      <c r="E3" s="323"/>
      <c r="F3" s="323"/>
      <c r="G3" s="323"/>
      <c r="H3" s="323"/>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323"/>
      <c r="CF3" s="323"/>
      <c r="CG3" s="323"/>
      <c r="CH3" s="323"/>
      <c r="CI3" s="323"/>
      <c r="CJ3" s="323"/>
      <c r="CK3" s="323"/>
      <c r="CL3" s="323"/>
      <c r="CM3" s="323"/>
      <c r="CN3" s="323"/>
      <c r="CO3" s="323"/>
      <c r="CP3" s="323"/>
      <c r="CQ3" s="323"/>
      <c r="CR3" s="323"/>
      <c r="CS3" s="323"/>
      <c r="CT3" s="323"/>
      <c r="CU3" s="323"/>
      <c r="CV3" s="323"/>
      <c r="CW3" s="323"/>
      <c r="CX3" s="323"/>
      <c r="CY3" s="323"/>
      <c r="CZ3" s="323"/>
      <c r="DA3" s="323"/>
      <c r="DB3" s="323"/>
      <c r="DC3" s="323"/>
      <c r="DD3" s="323"/>
      <c r="DE3" s="323"/>
      <c r="DF3" s="323"/>
      <c r="DG3" s="323"/>
      <c r="DH3" s="323"/>
      <c r="DI3" s="323"/>
      <c r="DJ3" s="323"/>
      <c r="DK3" s="323"/>
      <c r="DL3" s="323"/>
      <c r="DM3" s="323"/>
      <c r="DN3" s="323"/>
      <c r="DO3" s="323"/>
      <c r="DP3" s="323"/>
      <c r="DQ3" s="323"/>
      <c r="DR3" s="323"/>
      <c r="DS3" s="323"/>
      <c r="DT3" s="323"/>
      <c r="DU3" s="323"/>
      <c r="DV3" s="323"/>
      <c r="DW3" s="323"/>
      <c r="DX3" s="323"/>
      <c r="DY3" s="323"/>
      <c r="DZ3" s="323"/>
      <c r="EA3" s="323"/>
      <c r="EB3" s="323"/>
      <c r="EC3" s="323"/>
      <c r="ED3" s="323"/>
      <c r="EE3" s="323"/>
      <c r="EF3" s="323"/>
      <c r="EG3" s="323"/>
      <c r="EH3" s="323"/>
      <c r="EI3" s="323"/>
      <c r="EJ3" s="323"/>
      <c r="EK3" s="323"/>
      <c r="EL3" s="323"/>
      <c r="EM3" s="323"/>
      <c r="EN3" s="323"/>
      <c r="EO3" s="323"/>
      <c r="EP3" s="323"/>
      <c r="EQ3" s="323"/>
      <c r="ER3" s="323"/>
      <c r="ES3" s="323"/>
      <c r="ET3" s="323"/>
      <c r="EU3" s="323"/>
      <c r="EV3" s="323"/>
      <c r="EW3" s="323"/>
      <c r="EX3" s="323"/>
      <c r="EY3" s="323"/>
      <c r="EZ3" s="323"/>
      <c r="FA3" s="323"/>
      <c r="FB3" s="323"/>
      <c r="FC3" s="323"/>
      <c r="FD3" s="323"/>
      <c r="FE3" s="323"/>
      <c r="FF3" s="323"/>
      <c r="FG3" s="323"/>
      <c r="FH3" s="323"/>
      <c r="FI3" s="323"/>
      <c r="FJ3" s="323"/>
      <c r="FK3" s="323"/>
      <c r="FL3" s="323"/>
      <c r="FM3" s="323"/>
      <c r="FN3" s="323"/>
      <c r="FO3" s="323"/>
      <c r="FP3" s="323"/>
      <c r="FQ3" s="323"/>
      <c r="FR3" s="323"/>
      <c r="FS3" s="323"/>
      <c r="FT3" s="323"/>
      <c r="FU3" s="323"/>
      <c r="FV3" s="323"/>
      <c r="FW3" s="323"/>
      <c r="FX3" s="323"/>
      <c r="FY3" s="323"/>
      <c r="FZ3" s="323"/>
      <c r="GA3" s="323"/>
      <c r="GB3" s="323"/>
      <c r="GC3" s="323"/>
      <c r="GD3" s="323"/>
      <c r="GE3" s="323"/>
      <c r="GF3" s="323"/>
      <c r="GG3" s="323"/>
      <c r="GH3" s="323"/>
      <c r="GI3" s="323"/>
      <c r="GJ3" s="323"/>
      <c r="GK3" s="323"/>
      <c r="GL3" s="323"/>
      <c r="GM3" s="323"/>
      <c r="GN3" s="323"/>
      <c r="GO3" s="323"/>
      <c r="GP3" s="323"/>
      <c r="GQ3" s="323"/>
      <c r="GR3" s="323"/>
      <c r="GS3" s="323"/>
      <c r="GT3" s="323"/>
      <c r="GU3" s="323"/>
      <c r="GV3" s="323"/>
      <c r="GW3" s="323"/>
      <c r="GX3" s="323"/>
      <c r="GY3" s="323"/>
      <c r="GZ3" s="323"/>
      <c r="HA3" s="323"/>
      <c r="HB3" s="323"/>
      <c r="HC3" s="323"/>
      <c r="HD3" s="323"/>
      <c r="HE3" s="323"/>
      <c r="HF3" s="323"/>
      <c r="HG3" s="323"/>
      <c r="HH3" s="323"/>
      <c r="HI3" s="323"/>
      <c r="HJ3" s="323"/>
      <c r="HK3" s="323"/>
      <c r="HL3" s="323"/>
      <c r="HM3" s="323"/>
      <c r="HN3" s="323"/>
      <c r="HO3" s="323"/>
      <c r="HP3" s="323"/>
      <c r="HQ3" s="323"/>
      <c r="HR3" s="323"/>
      <c r="HS3" s="323"/>
      <c r="HT3" s="323"/>
      <c r="HU3" s="323"/>
      <c r="HV3" s="323"/>
      <c r="HW3" s="323"/>
      <c r="HX3" s="323"/>
      <c r="HY3" s="323"/>
      <c r="HZ3" s="323"/>
      <c r="IA3" s="323"/>
      <c r="IB3" s="323"/>
      <c r="IC3" s="323"/>
      <c r="ID3" s="323"/>
      <c r="IE3" s="323"/>
      <c r="IF3" s="323"/>
      <c r="IG3" s="323"/>
      <c r="IH3" s="323"/>
      <c r="II3" s="323"/>
      <c r="IJ3" s="323"/>
      <c r="IK3" s="323"/>
      <c r="IL3" s="323"/>
      <c r="IM3" s="323"/>
      <c r="IN3" s="323"/>
      <c r="IO3" s="323"/>
      <c r="IP3" s="323"/>
      <c r="IQ3" s="323"/>
      <c r="IR3" s="323"/>
    </row>
    <row r="4" spans="1:252">
      <c r="B4" s="327" t="str">
        <f>'Income Statement'!E8</f>
        <v>Income</v>
      </c>
      <c r="C4" s="324"/>
      <c r="D4" s="328">
        <f ca="1">'Income Statement'!J8</f>
        <v>0</v>
      </c>
      <c r="E4" s="328">
        <f ca="1">'Income Statement'!K8</f>
        <v>0</v>
      </c>
      <c r="F4" s="328">
        <f ca="1">'Income Statement'!L8</f>
        <v>0</v>
      </c>
      <c r="G4" s="328">
        <f ca="1">'Income Statement'!M8</f>
        <v>0</v>
      </c>
      <c r="H4" s="328">
        <f ca="1">'Income Statement'!N8</f>
        <v>0</v>
      </c>
      <c r="I4" s="328">
        <f ca="1">'Income Statement'!O8</f>
        <v>0</v>
      </c>
      <c r="J4" s="328">
        <f ca="1">'Income Statement'!P8</f>
        <v>0</v>
      </c>
      <c r="K4" s="328">
        <f ca="1">'Income Statement'!Q8</f>
        <v>50357.312450014142</v>
      </c>
      <c r="L4" s="328">
        <f ca="1">'Income Statement'!R8</f>
        <v>59365.6686271574</v>
      </c>
      <c r="M4" s="328">
        <f ca="1">'Income Statement'!S8</f>
        <v>60000</v>
      </c>
      <c r="N4" s="328">
        <f ca="1">'Income Statement'!T8</f>
        <v>60000</v>
      </c>
      <c r="O4" s="328">
        <f ca="1">'Income Statement'!U8</f>
        <v>60000</v>
      </c>
      <c r="P4" s="328">
        <f ca="1">'Income Statement'!V8</f>
        <v>60000</v>
      </c>
      <c r="Q4" s="328">
        <f ca="1">'Income Statement'!W8</f>
        <v>113082.23999637403</v>
      </c>
      <c r="R4" s="328">
        <f ca="1">'Income Statement'!X8</f>
        <v>120000</v>
      </c>
      <c r="S4" s="328">
        <f ca="1">'Income Statement'!Y8</f>
        <v>120000</v>
      </c>
      <c r="T4" s="328">
        <f ca="1">'Income Statement'!Z8</f>
        <v>120000</v>
      </c>
      <c r="U4" s="328">
        <f ca="1">'Income Statement'!AA8</f>
        <v>120000</v>
      </c>
      <c r="V4" s="328">
        <f ca="1">'Income Statement'!AB8</f>
        <v>120000</v>
      </c>
      <c r="W4" s="328">
        <f ca="1">'Income Statement'!AC8</f>
        <v>180000</v>
      </c>
      <c r="X4" s="328">
        <f ca="1">'Income Statement'!AD8</f>
        <v>180000</v>
      </c>
      <c r="Y4" s="328">
        <f ca="1">'Income Statement'!AE8</f>
        <v>180000</v>
      </c>
      <c r="Z4" s="328">
        <f ca="1">'Income Statement'!AF8</f>
        <v>180000</v>
      </c>
      <c r="AA4" s="328">
        <f ca="1">'Income Statement'!AG8</f>
        <v>240000</v>
      </c>
      <c r="AB4" s="328">
        <f ca="1">'Income Statement'!AH8</f>
        <v>234000</v>
      </c>
      <c r="AC4" s="328">
        <f ca="1">'Income Statement'!AI8</f>
        <v>239636.17568683118</v>
      </c>
      <c r="AD4" s="328">
        <f ca="1">'Income Statement'!AJ8</f>
        <v>245626.92009305855</v>
      </c>
      <c r="AE4" s="328">
        <f ca="1">'Income Statement'!AK8</f>
        <v>311955.31605470786</v>
      </c>
      <c r="AF4" s="328">
        <f ca="1">'Income Statement'!AL8</f>
        <v>318667.44940205838</v>
      </c>
      <c r="AG4" s="328">
        <f ca="1">'Income Statement'!AM8</f>
        <v>325801.83937475621</v>
      </c>
      <c r="AH4" s="328">
        <f ca="1">'Income Statement'!AN8</f>
        <v>393338.33928704081</v>
      </c>
      <c r="AI4" s="328">
        <f ca="1">'Income Statement'!AO8</f>
        <v>401348.95627287088</v>
      </c>
      <c r="AJ4" s="328">
        <f ca="1">'Income Statement'!AP8</f>
        <v>469811.06928352593</v>
      </c>
      <c r="AK4" s="328">
        <f ca="1">'Income Statement'!AQ8</f>
        <v>478786.30270319071</v>
      </c>
      <c r="AL4" s="328">
        <f ca="1">'Income Statement'!AR8</f>
        <v>488363.44862070272</v>
      </c>
      <c r="AM4" s="328">
        <f ca="1">'Income Statement'!AS8</f>
        <v>558407.79571576777</v>
      </c>
      <c r="AN4" s="328">
        <f ca="1">'Income Statement'!AT8</f>
        <v>569082.239996374</v>
      </c>
      <c r="AO4" s="328">
        <f ca="1">'Income Statement'!AU8</f>
        <v>580343.54299793672</v>
      </c>
      <c r="AP4" s="328">
        <f ca="1">'Income Statement'!AV8</f>
        <v>652336.48343181284</v>
      </c>
      <c r="AQ4" s="328">
        <f ca="1">'Income Statement'!AW8</f>
        <v>665004.42673942214</v>
      </c>
      <c r="AR4" s="328">
        <f ca="1">'Income Statement'!AX8</f>
        <v>738439.43899624969</v>
      </c>
      <c r="AS4" s="328">
        <f ca="1">'Income Statement'!AY8</f>
        <v>752718.44357102388</v>
      </c>
      <c r="AT4" s="328">
        <f ca="1">'Income Statement'!AZ8</f>
        <v>827801.11836955743</v>
      </c>
      <c r="AU4" s="328">
        <f ca="1">'Income Statement'!BA8</f>
        <v>903831.29224146029</v>
      </c>
      <c r="AV4" s="328">
        <f ca="1">'Income Statement'!BB8</f>
        <v>920753.59080051072</v>
      </c>
      <c r="AW4" s="328">
        <f ca="1">'Income Statement'!BC8</f>
        <v>998720.23832714895</v>
      </c>
      <c r="AX4" s="328">
        <f ca="1">'Income Statement'!BD8</f>
        <v>1077897.4131257366</v>
      </c>
      <c r="AY4" s="328">
        <f ca="1">'Income Statement'!BE8</f>
        <v>1097992.1485961662</v>
      </c>
      <c r="AZ4" s="328">
        <f ca="1">'Income Statement'!BF8</f>
        <v>1173949.8387853671</v>
      </c>
      <c r="BA4" s="328">
        <f ca="1">'Income Statement'!BG8</f>
        <v>1261582.7303092666</v>
      </c>
      <c r="BB4" s="328">
        <f ca="1">'Income Statement'!BH8</f>
        <v>1350952.6513025677</v>
      </c>
      <c r="BC4" s="328">
        <f ca="1">'Income Statement'!BI8</f>
        <v>1441976.6646725067</v>
      </c>
      <c r="BD4" s="328">
        <f ca="1">'Income Statement'!BJ8</f>
        <v>1534880.4501635674</v>
      </c>
      <c r="BE4" s="328">
        <f ca="1">'Income Statement'!BK8</f>
        <v>1629852.5985074346</v>
      </c>
      <c r="BF4" s="328">
        <f ca="1">'Income Statement'!BL8</f>
        <v>1726794.3526011482</v>
      </c>
      <c r="BG4" s="328">
        <f ca="1">'Income Statement'!BM8</f>
        <v>1826058.3000804824</v>
      </c>
      <c r="BH4" s="328">
        <f ca="1">'Income Statement'!BN8</f>
        <v>1927517.4107336544</v>
      </c>
      <c r="BI4" s="328">
        <f ca="1">'Income Statement'!BO8</f>
        <v>2031520.3283493733</v>
      </c>
      <c r="BJ4" s="328">
        <f ca="1">'Income Statement'!BP8</f>
        <v>2138486.0539437877</v>
      </c>
      <c r="BK4" s="328">
        <f ca="1">'Income Statement'!BQ8</f>
        <v>2247707.4180277009</v>
      </c>
      <c r="IR4" s="327"/>
    </row>
    <row r="5" spans="1:252">
      <c r="B5" s="327" t="str">
        <f>'Income Statement'!E9</f>
        <v xml:space="preserve">Variable Operating expense </v>
      </c>
      <c r="C5" s="324"/>
      <c r="D5" s="328">
        <f ca="1">'Income Statement'!J9</f>
        <v>-7200</v>
      </c>
      <c r="E5" s="328">
        <f ca="1">'Income Statement'!K9</f>
        <v>-7636.5891758025509</v>
      </c>
      <c r="F5" s="328">
        <f ca="1">'Income Statement'!L9</f>
        <v>-8084.2850641322384</v>
      </c>
      <c r="G5" s="328">
        <f ca="1">'Income Statement'!M9</f>
        <v>-8574.4949742853441</v>
      </c>
      <c r="H5" s="328">
        <f ca="1">'Income Statement'!N9</f>
        <v>-9094.4299317501118</v>
      </c>
      <c r="I5" s="328">
        <f ca="1">'Income Statement'!O9</f>
        <v>-9627.5918962627675</v>
      </c>
      <c r="J5" s="328">
        <f ca="1">'Income Statement'!P9</f>
        <v>-10211.383897783971</v>
      </c>
      <c r="K5" s="328">
        <f ca="1">'Income Statement'!Q9</f>
        <v>-10810.027412571899</v>
      </c>
      <c r="L5" s="328">
        <f ca="1">'Income Statement'!R9</f>
        <v>-11465.519212357696</v>
      </c>
      <c r="M5" s="328">
        <f ca="1">'Income Statement'!S9</f>
        <v>-12160.758321117633</v>
      </c>
      <c r="N5" s="328">
        <f ca="1">'Income Statement'!T9</f>
        <v>-12828.941541220887</v>
      </c>
      <c r="O5" s="328">
        <f ca="1">'Income Statement'!U9</f>
        <v>-13604.666568363735</v>
      </c>
      <c r="P5" s="328">
        <f ca="1">'Income Statement'!V9</f>
        <v>-14400</v>
      </c>
      <c r="Q5" s="328">
        <f ca="1">'Income Statement'!W9</f>
        <v>-15286.43639812469</v>
      </c>
      <c r="R5" s="328">
        <f ca="1">'Income Statement'!X9</f>
        <v>-16181.344275598138</v>
      </c>
      <c r="S5" s="328">
        <f ca="1">'Income Statement'!Y9</f>
        <v>-17161.156582065021</v>
      </c>
      <c r="T5" s="328">
        <f ca="1">'Income Statement'!Z9</f>
        <v>-18200.298455936998</v>
      </c>
      <c r="U5" s="328">
        <f ca="1">'Income Statement'!AA9</f>
        <v>-19265.791422144866</v>
      </c>
      <c r="V5" s="328">
        <f ca="1">'Income Statement'!AB9</f>
        <v>-20432.373086049545</v>
      </c>
      <c r="W5" s="328">
        <f ca="1">'Income Statement'!AC9</f>
        <v>-21628.537525815598</v>
      </c>
      <c r="X5" s="328">
        <f ca="1">'Income Statement'!AD9</f>
        <v>-22950.316780770718</v>
      </c>
      <c r="Y5" s="328">
        <f ca="1">'Income Statement'!AE9</f>
        <v>-24340.656529575466</v>
      </c>
      <c r="Z5" s="328">
        <f ca="1">'Income Statement'!AF9</f>
        <v>-25668.703300845769</v>
      </c>
      <c r="AA5" s="328">
        <f ca="1">'Income Statement'!AG9</f>
        <v>-27223.724037175791</v>
      </c>
      <c r="AB5" s="328">
        <f ca="1">'Income Statement'!AH9</f>
        <v>-35298.219847310618</v>
      </c>
      <c r="AC5" s="328">
        <f ca="1">'Income Statement'!AI9</f>
        <v>-37436.969865941661</v>
      </c>
      <c r="AD5" s="328">
        <f ca="1">'Income Statement'!AJ9</f>
        <v>-39630.034539922111</v>
      </c>
      <c r="AE5" s="328">
        <f ca="1">'Income Statement'!AK9</f>
        <v>-42031.253035917427</v>
      </c>
      <c r="AF5" s="328">
        <f ca="1">'Income Statement'!AL9</f>
        <v>-44577.963482561958</v>
      </c>
      <c r="AG5" s="328">
        <f ca="1">'Income Statement'!AM9</f>
        <v>-47189.348952483386</v>
      </c>
      <c r="AH5" s="328">
        <f ca="1">'Income Statement'!AN9</f>
        <v>-50048.592992511149</v>
      </c>
      <c r="AI5" s="328">
        <f ca="1">'Income Statement'!AO9</f>
        <v>-52980.449009821335</v>
      </c>
      <c r="AJ5" s="328">
        <f ca="1">'Income Statement'!AP9</f>
        <v>-56209.965235836076</v>
      </c>
      <c r="AK5" s="328">
        <f ca="1">'Income Statement'!AQ9</f>
        <v>-59616.42933280985</v>
      </c>
      <c r="AL5" s="328">
        <f ca="1">'Income Statement'!AR9</f>
        <v>-62873.987952322634</v>
      </c>
      <c r="AM5" s="328">
        <f ca="1">'Income Statement'!AS9</f>
        <v>-66682.33900394915</v>
      </c>
      <c r="AN5" s="328">
        <f ca="1">'Income Statement'!AT9</f>
        <v>-70587.333846708134</v>
      </c>
      <c r="AO5" s="328">
        <f ca="1">'Income Statement'!AU9</f>
        <v>-74877.03465515186</v>
      </c>
      <c r="AP5" s="328">
        <f ca="1">'Income Statement'!AV9</f>
        <v>-79263.051098438416</v>
      </c>
      <c r="AQ5" s="328">
        <f ca="1">'Income Statement'!AW9</f>
        <v>-84065.346325966166</v>
      </c>
      <c r="AR5" s="328">
        <f ca="1">'Income Statement'!AX9</f>
        <v>-89158.597312183934</v>
      </c>
      <c r="AS5" s="328">
        <f ca="1">'Income Statement'!AY9</f>
        <v>-94381.174309272974</v>
      </c>
      <c r="AT5" s="328">
        <f ca="1">'Income Statement'!AZ9</f>
        <v>-100099.42843134473</v>
      </c>
      <c r="AU5" s="328">
        <f ca="1">'Income Statement'!BA9</f>
        <v>-105962.87842355632</v>
      </c>
      <c r="AV5" s="328">
        <f ca="1">'Income Statement'!BB9</f>
        <v>-112425.71597327135</v>
      </c>
      <c r="AW5" s="328">
        <f ca="1">'Income Statement'!BC9</f>
        <v>-119238.60272028444</v>
      </c>
      <c r="AX5" s="328">
        <f ca="1">'Income Statement'!BD9</f>
        <v>-125746.35238671978</v>
      </c>
      <c r="AY5" s="328">
        <f ca="1">'Income Statement'!BE9</f>
        <v>-133366.45649028415</v>
      </c>
      <c r="AZ5" s="328">
        <f ca="1">'Income Statement'!BF9</f>
        <v>-141180.13593087136</v>
      </c>
      <c r="BA5" s="328">
        <f ca="1">'Income Statement'!BG9</f>
        <v>-149735.51201368691</v>
      </c>
      <c r="BB5" s="328">
        <f ca="1">'Income Statement'!BH9</f>
        <v>-158508.22237370175</v>
      </c>
      <c r="BC5" s="328">
        <f ca="1">'Income Statement'!BI9</f>
        <v>-168113.66331561311</v>
      </c>
      <c r="BD5" s="328">
        <f ca="1">'Income Statement'!BJ9</f>
        <v>-178301.18445665308</v>
      </c>
      <c r="BE5" s="328">
        <f ca="1">'Income Statement'!BK9</f>
        <v>-188747.50165063617</v>
      </c>
      <c r="BF5" s="328">
        <f ca="1">'Income Statement'!BL9</f>
        <v>-200185.41294255387</v>
      </c>
      <c r="BG5" s="328">
        <f ca="1">'Income Statement'!BM9</f>
        <v>-211913.88425111026</v>
      </c>
      <c r="BH5" s="328">
        <f ca="1">'Income Statement'!BN9</f>
        <v>-224556.41343663895</v>
      </c>
      <c r="BI5" s="328">
        <f ca="1">'Income Statement'!BO9</f>
        <v>-238160.7223027338</v>
      </c>
      <c r="BJ5" s="328">
        <f ca="1">'Income Statement'!BP9</f>
        <v>-251544.77291546759</v>
      </c>
      <c r="BK5" s="328">
        <f ca="1">'Income Statement'!BQ9</f>
        <v>-266784.11748058593</v>
      </c>
      <c r="IR5" s="327"/>
    </row>
    <row r="6" spans="1:252">
      <c r="B6" s="327" t="str">
        <f>'Income Statement'!E10</f>
        <v xml:space="preserve">Fixed operating expense </v>
      </c>
      <c r="C6" s="324"/>
      <c r="D6" s="328">
        <f>'Income Statement'!J10</f>
        <v>-45000</v>
      </c>
      <c r="E6" s="328">
        <f>'Income Statement'!K10</f>
        <v>-45000</v>
      </c>
      <c r="F6" s="328">
        <f>'Income Statement'!L10</f>
        <v>-45000</v>
      </c>
      <c r="G6" s="328">
        <f>'Income Statement'!M10</f>
        <v>-46094.142332421929</v>
      </c>
      <c r="H6" s="328">
        <f>'Income Statement'!N10</f>
        <v>-46094.142332421929</v>
      </c>
      <c r="I6" s="328">
        <f>'Income Statement'!O10</f>
        <v>-46094.142332421929</v>
      </c>
      <c r="J6" s="328">
        <f>'Income Statement'!P10</f>
        <v>-47214.887941368259</v>
      </c>
      <c r="K6" s="328">
        <f>'Income Statement'!Q10</f>
        <v>-47214.887941368259</v>
      </c>
      <c r="L6" s="328">
        <f>'Income Statement'!R10</f>
        <v>-47214.887941368259</v>
      </c>
      <c r="M6" s="328">
        <f>'Income Statement'!S10</f>
        <v>-48362.883666195121</v>
      </c>
      <c r="N6" s="328">
        <f>'Income Statement'!T10</f>
        <v>-48362.883666195121</v>
      </c>
      <c r="O6" s="328">
        <f>'Income Statement'!U10</f>
        <v>-48362.883666195121</v>
      </c>
      <c r="P6" s="328">
        <f>'Income Statement'!V10</f>
        <v>-49500.000000000007</v>
      </c>
      <c r="Q6" s="328">
        <f>'Income Statement'!W10</f>
        <v>-49500.000000000007</v>
      </c>
      <c r="R6" s="328">
        <f>'Income Statement'!X10</f>
        <v>-49500.000000000007</v>
      </c>
      <c r="S6" s="328">
        <f>'Income Statement'!Y10</f>
        <v>-50708.501394855797</v>
      </c>
      <c r="T6" s="328">
        <f>'Income Statement'!Z10</f>
        <v>-50708.501394855797</v>
      </c>
      <c r="U6" s="328">
        <f>'Income Statement'!AA10</f>
        <v>-50708.501394855797</v>
      </c>
      <c r="V6" s="328">
        <f>'Income Statement'!AB10</f>
        <v>-51939.73483307648</v>
      </c>
      <c r="W6" s="328">
        <f>'Income Statement'!AC10</f>
        <v>-51939.73483307648</v>
      </c>
      <c r="X6" s="328">
        <f>'Income Statement'!AD10</f>
        <v>-51939.73483307648</v>
      </c>
      <c r="Y6" s="328">
        <f>'Income Statement'!AE10</f>
        <v>-53204.926698313757</v>
      </c>
      <c r="Z6" s="328">
        <f>'Income Statement'!AF10</f>
        <v>-53204.926698313757</v>
      </c>
      <c r="AA6" s="328">
        <f>'Income Statement'!AG10</f>
        <v>-53204.926698313757</v>
      </c>
      <c r="AB6" s="328">
        <f>'Income Statement'!AH10</f>
        <v>-54454.735278236491</v>
      </c>
      <c r="AC6" s="328">
        <f>'Income Statement'!AI10</f>
        <v>-54454.735278236491</v>
      </c>
      <c r="AD6" s="328">
        <f>'Income Statement'!AJ10</f>
        <v>-54454.735278236491</v>
      </c>
      <c r="AE6" s="328">
        <f>'Income Statement'!AK10</f>
        <v>-55777.540025685339</v>
      </c>
      <c r="AF6" s="328">
        <f>'Income Statement'!AL10</f>
        <v>-55777.540025685339</v>
      </c>
      <c r="AG6" s="328">
        <f>'Income Statement'!AM10</f>
        <v>-55777.540025685339</v>
      </c>
      <c r="AH6" s="328">
        <f>'Income Statement'!AN10</f>
        <v>-57132.478110867487</v>
      </c>
      <c r="AI6" s="328">
        <f>'Income Statement'!AO10</f>
        <v>-57132.478110867487</v>
      </c>
      <c r="AJ6" s="328">
        <f>'Income Statement'!AP10</f>
        <v>-57132.478110867487</v>
      </c>
      <c r="AK6" s="328">
        <f>'Income Statement'!AQ10</f>
        <v>-58523.837854155172</v>
      </c>
      <c r="AL6" s="328">
        <f>'Income Statement'!AR10</f>
        <v>-58523.837854155172</v>
      </c>
      <c r="AM6" s="328">
        <f>'Income Statement'!AS10</f>
        <v>-58523.837854155172</v>
      </c>
      <c r="AN6" s="328">
        <f>'Income Statement'!AT10</f>
        <v>-59898.907453406857</v>
      </c>
      <c r="AO6" s="328">
        <f>'Income Statement'!AU10</f>
        <v>-59898.907453406857</v>
      </c>
      <c r="AP6" s="328">
        <f>'Income Statement'!AV10</f>
        <v>-59898.907453406857</v>
      </c>
      <c r="AQ6" s="328">
        <f>'Income Statement'!AW10</f>
        <v>-61354.297040832636</v>
      </c>
      <c r="AR6" s="328">
        <f>'Income Statement'!AX10</f>
        <v>-61354.297040832636</v>
      </c>
      <c r="AS6" s="328">
        <f>'Income Statement'!AY10</f>
        <v>-61354.297040832636</v>
      </c>
      <c r="AT6" s="328">
        <f>'Income Statement'!AZ10</f>
        <v>-62845.048856740366</v>
      </c>
      <c r="AU6" s="328">
        <f>'Income Statement'!BA10</f>
        <v>-62845.048856740366</v>
      </c>
      <c r="AV6" s="328">
        <f>'Income Statement'!BB10</f>
        <v>-62845.048856740366</v>
      </c>
      <c r="AW6" s="328">
        <f>'Income Statement'!BC10</f>
        <v>-64375.177481826024</v>
      </c>
      <c r="AX6" s="328">
        <f>'Income Statement'!BD10</f>
        <v>-64375.177481826024</v>
      </c>
      <c r="AY6" s="328">
        <f>'Income Statement'!BE10</f>
        <v>-64375.177481826024</v>
      </c>
      <c r="AZ6" s="328">
        <f>'Income Statement'!BF10</f>
        <v>-65887.939007352761</v>
      </c>
      <c r="BA6" s="328">
        <f>'Income Statement'!BG10</f>
        <v>-65887.939007352761</v>
      </c>
      <c r="BB6" s="328">
        <f>'Income Statement'!BH10</f>
        <v>-65887.939007352761</v>
      </c>
      <c r="BC6" s="328">
        <f>'Income Statement'!BI10</f>
        <v>-67489.068501538102</v>
      </c>
      <c r="BD6" s="328">
        <f>'Income Statement'!BJ10</f>
        <v>-67489.068501538102</v>
      </c>
      <c r="BE6" s="328">
        <f>'Income Statement'!BK10</f>
        <v>-67489.068501538102</v>
      </c>
      <c r="BF6" s="328">
        <f>'Income Statement'!BL10</f>
        <v>-69129.106720078344</v>
      </c>
      <c r="BG6" s="328">
        <f>'Income Statement'!BM10</f>
        <v>-69129.106720078344</v>
      </c>
      <c r="BH6" s="328">
        <f>'Income Statement'!BN10</f>
        <v>-69129.106720078344</v>
      </c>
      <c r="BI6" s="328">
        <f>'Income Statement'!BO10</f>
        <v>-70797.285038834758</v>
      </c>
      <c r="BJ6" s="328">
        <f>'Income Statement'!BP10</f>
        <v>-70797.285038834758</v>
      </c>
      <c r="BK6" s="328">
        <f>'Income Statement'!BQ10</f>
        <v>-70797.285038834758</v>
      </c>
      <c r="IR6" s="327"/>
    </row>
    <row r="7" spans="1:252" s="332" customFormat="1">
      <c r="A7" s="327"/>
      <c r="B7" s="329" t="str">
        <f>'Income Statement'!E11</f>
        <v>EBITDA</v>
      </c>
      <c r="C7" s="330"/>
      <c r="D7" s="331">
        <f ca="1">'Income Statement'!J11</f>
        <v>-52200</v>
      </c>
      <c r="E7" s="331">
        <f ca="1">'Income Statement'!K11</f>
        <v>-52636.589175802554</v>
      </c>
      <c r="F7" s="331">
        <f ca="1">'Income Statement'!L11</f>
        <v>-53084.285064132237</v>
      </c>
      <c r="G7" s="331">
        <f ca="1">'Income Statement'!M11</f>
        <v>-54668.637306707271</v>
      </c>
      <c r="H7" s="331">
        <f ca="1">'Income Statement'!N11</f>
        <v>-55188.572264172042</v>
      </c>
      <c r="I7" s="331">
        <f ca="1">'Income Statement'!O11</f>
        <v>-55721.734228684698</v>
      </c>
      <c r="J7" s="331">
        <f ca="1">'Income Statement'!P11</f>
        <v>-57426.271839152228</v>
      </c>
      <c r="K7" s="331">
        <f ca="1">'Income Statement'!Q11</f>
        <v>-7667.6029039260175</v>
      </c>
      <c r="L7" s="331">
        <f ca="1">'Income Statement'!R11</f>
        <v>685.26147343144112</v>
      </c>
      <c r="M7" s="331">
        <f ca="1">'Income Statement'!S11</f>
        <v>-523.64198731275246</v>
      </c>
      <c r="N7" s="331">
        <f ca="1">'Income Statement'!T11</f>
        <v>-1191.8252074160118</v>
      </c>
      <c r="O7" s="331">
        <f ca="1">'Income Statement'!U11</f>
        <v>-1967.5502345588538</v>
      </c>
      <c r="P7" s="331">
        <f ca="1">'Income Statement'!V11</f>
        <v>-3900.0000000000073</v>
      </c>
      <c r="Q7" s="331">
        <f ca="1">'Income Statement'!W11</f>
        <v>48295.803598249338</v>
      </c>
      <c r="R7" s="331">
        <f ca="1">'Income Statement'!X11</f>
        <v>54318.655724401855</v>
      </c>
      <c r="S7" s="331">
        <f ca="1">'Income Statement'!Y11</f>
        <v>52130.342023079189</v>
      </c>
      <c r="T7" s="331">
        <f ca="1">'Income Statement'!Z11</f>
        <v>51091.200149207209</v>
      </c>
      <c r="U7" s="331">
        <f ca="1">'Income Statement'!AA11</f>
        <v>50025.707182999344</v>
      </c>
      <c r="V7" s="331">
        <f ca="1">'Income Statement'!AB11</f>
        <v>47627.892080873979</v>
      </c>
      <c r="W7" s="331">
        <f ca="1">'Income Statement'!AC11</f>
        <v>106431.72764110792</v>
      </c>
      <c r="X7" s="331">
        <f ca="1">'Income Statement'!AD11</f>
        <v>105109.9483861528</v>
      </c>
      <c r="Y7" s="331">
        <f ca="1">'Income Statement'!AE11</f>
        <v>102454.41677211077</v>
      </c>
      <c r="Z7" s="331">
        <f ca="1">'Income Statement'!AF11</f>
        <v>101126.37000084046</v>
      </c>
      <c r="AA7" s="331">
        <f ca="1">'Income Statement'!AG11</f>
        <v>159571.34926451044</v>
      </c>
      <c r="AB7" s="331">
        <f ca="1">'Income Statement'!AH11</f>
        <v>144247.04487445287</v>
      </c>
      <c r="AC7" s="331">
        <f ca="1">'Income Statement'!AI11</f>
        <v>147744.470542653</v>
      </c>
      <c r="AD7" s="331">
        <f ca="1">'Income Statement'!AJ11</f>
        <v>151542.15027489996</v>
      </c>
      <c r="AE7" s="331">
        <f ca="1">'Income Statement'!AK11</f>
        <v>214146.52299310511</v>
      </c>
      <c r="AF7" s="331">
        <f ca="1">'Income Statement'!AL11</f>
        <v>218311.94589381106</v>
      </c>
      <c r="AG7" s="331">
        <f ca="1">'Income Statement'!AM11</f>
        <v>222834.95039658749</v>
      </c>
      <c r="AH7" s="331">
        <f ca="1">'Income Statement'!AN11</f>
        <v>286157.26818366215</v>
      </c>
      <c r="AI7" s="331">
        <f ca="1">'Income Statement'!AO11</f>
        <v>291236.02915218205</v>
      </c>
      <c r="AJ7" s="331">
        <f ca="1">'Income Statement'!AP11</f>
        <v>356468.62593682233</v>
      </c>
      <c r="AK7" s="331">
        <f ca="1">'Income Statement'!AQ11</f>
        <v>360646.03551622567</v>
      </c>
      <c r="AL7" s="331">
        <f ca="1">'Income Statement'!AR11</f>
        <v>366965.62281422492</v>
      </c>
      <c r="AM7" s="331">
        <f ca="1">'Income Statement'!AS11</f>
        <v>433201.61885766347</v>
      </c>
      <c r="AN7" s="331">
        <f ca="1">'Income Statement'!AT11</f>
        <v>438595.99869625905</v>
      </c>
      <c r="AO7" s="331">
        <f ca="1">'Income Statement'!AU11</f>
        <v>445567.60088937799</v>
      </c>
      <c r="AP7" s="331">
        <f ca="1">'Income Statement'!AV11</f>
        <v>513174.52487996756</v>
      </c>
      <c r="AQ7" s="331">
        <f ca="1">'Income Statement'!AW11</f>
        <v>519584.78337262332</v>
      </c>
      <c r="AR7" s="331">
        <f ca="1">'Income Statement'!AX11</f>
        <v>587926.54464323306</v>
      </c>
      <c r="AS7" s="331">
        <f ca="1">'Income Statement'!AY11</f>
        <v>596982.97222091816</v>
      </c>
      <c r="AT7" s="331">
        <f ca="1">'Income Statement'!AZ11</f>
        <v>664856.64108147239</v>
      </c>
      <c r="AU7" s="331">
        <f ca="1">'Income Statement'!BA11</f>
        <v>735023.36496116361</v>
      </c>
      <c r="AV7" s="331">
        <f ca="1">'Income Statement'!BB11</f>
        <v>745482.82597049908</v>
      </c>
      <c r="AW7" s="331">
        <f ca="1">'Income Statement'!BC11</f>
        <v>815106.45812503842</v>
      </c>
      <c r="AX7" s="331">
        <f ca="1">'Income Statement'!BD11</f>
        <v>887775.88325719081</v>
      </c>
      <c r="AY7" s="331">
        <f ca="1">'Income Statement'!BE11</f>
        <v>900250.51462405594</v>
      </c>
      <c r="AZ7" s="331">
        <f ca="1">'Income Statement'!BF11</f>
        <v>966881.76384714292</v>
      </c>
      <c r="BA7" s="331">
        <f ca="1">'Income Statement'!BG11</f>
        <v>1045959.279288227</v>
      </c>
      <c r="BB7" s="331">
        <f ca="1">'Income Statement'!BH11</f>
        <v>1126556.4899215132</v>
      </c>
      <c r="BC7" s="331">
        <f ca="1">'Income Statement'!BI11</f>
        <v>1206373.9328553556</v>
      </c>
      <c r="BD7" s="331">
        <f ca="1">'Income Statement'!BJ11</f>
        <v>1289090.1972053763</v>
      </c>
      <c r="BE7" s="331">
        <f ca="1">'Income Statement'!BK11</f>
        <v>1373616.0283552604</v>
      </c>
      <c r="BF7" s="331">
        <f ca="1">'Income Statement'!BL11</f>
        <v>1457479.832938516</v>
      </c>
      <c r="BG7" s="331">
        <f ca="1">'Income Statement'!BM11</f>
        <v>1545015.3091092939</v>
      </c>
      <c r="BH7" s="331">
        <f ca="1">'Income Statement'!BN11</f>
        <v>1633831.8905769372</v>
      </c>
      <c r="BI7" s="331">
        <f ca="1">'Income Statement'!BO11</f>
        <v>1722562.3210078047</v>
      </c>
      <c r="BJ7" s="331">
        <f ca="1">'Income Statement'!BP11</f>
        <v>1816143.9959894854</v>
      </c>
      <c r="BK7" s="331">
        <f ca="1">'Income Statement'!BQ11</f>
        <v>1910126.0155082804</v>
      </c>
      <c r="BL7" s="327"/>
      <c r="BM7" s="327"/>
      <c r="BN7" s="327"/>
      <c r="BO7" s="327"/>
      <c r="BP7" s="327"/>
      <c r="BQ7" s="327"/>
      <c r="BR7" s="327"/>
      <c r="BS7" s="329"/>
      <c r="BT7" s="329"/>
      <c r="BU7" s="329"/>
      <c r="BV7" s="329"/>
      <c r="BW7" s="329"/>
      <c r="BX7" s="329"/>
      <c r="BY7" s="329"/>
      <c r="BZ7" s="329"/>
      <c r="CA7" s="329"/>
      <c r="CB7" s="329"/>
      <c r="CC7" s="329"/>
      <c r="CD7" s="329"/>
      <c r="CE7" s="329"/>
      <c r="CF7" s="329"/>
      <c r="CG7" s="329"/>
      <c r="CH7" s="329"/>
      <c r="CI7" s="329"/>
      <c r="CJ7" s="329"/>
      <c r="CK7" s="329"/>
      <c r="CL7" s="329"/>
      <c r="CM7" s="329"/>
      <c r="CN7" s="329"/>
      <c r="CO7" s="329"/>
      <c r="CP7" s="329"/>
      <c r="CQ7" s="329"/>
      <c r="CR7" s="329"/>
      <c r="CS7" s="329"/>
      <c r="CT7" s="329"/>
      <c r="CU7" s="329"/>
      <c r="CV7" s="329"/>
      <c r="CW7" s="329"/>
      <c r="CX7" s="329"/>
      <c r="CY7" s="329"/>
      <c r="CZ7" s="329"/>
      <c r="DA7" s="329"/>
      <c r="DB7" s="329"/>
      <c r="DC7" s="329"/>
      <c r="DD7" s="329"/>
      <c r="DE7" s="329"/>
      <c r="DF7" s="329"/>
      <c r="DG7" s="329"/>
      <c r="DH7" s="329"/>
      <c r="DI7" s="329"/>
      <c r="DJ7" s="329"/>
      <c r="DK7" s="329"/>
      <c r="DL7" s="329"/>
      <c r="DM7" s="329"/>
      <c r="DN7" s="329"/>
      <c r="DO7" s="329"/>
      <c r="DP7" s="329"/>
      <c r="DQ7" s="329"/>
      <c r="DR7" s="329"/>
      <c r="DS7" s="329"/>
      <c r="DT7" s="329"/>
      <c r="DU7" s="329"/>
      <c r="DV7" s="329"/>
      <c r="DW7" s="329"/>
      <c r="DX7" s="329"/>
      <c r="DY7" s="329"/>
      <c r="DZ7" s="329"/>
      <c r="EA7" s="329"/>
      <c r="EB7" s="329"/>
      <c r="EC7" s="329"/>
      <c r="ED7" s="329"/>
      <c r="EE7" s="329"/>
      <c r="EF7" s="329"/>
      <c r="EG7" s="329"/>
      <c r="EH7" s="329"/>
      <c r="EI7" s="329"/>
      <c r="EJ7" s="329"/>
      <c r="EK7" s="329"/>
      <c r="EL7" s="329"/>
      <c r="EM7" s="329"/>
      <c r="EN7" s="329"/>
      <c r="EO7" s="329"/>
      <c r="EP7" s="329"/>
      <c r="EQ7" s="329"/>
      <c r="ER7" s="329"/>
      <c r="ES7" s="329"/>
      <c r="ET7" s="329"/>
      <c r="EU7" s="329"/>
      <c r="EV7" s="329"/>
      <c r="EW7" s="329"/>
      <c r="EX7" s="329"/>
      <c r="EY7" s="329"/>
      <c r="EZ7" s="329"/>
      <c r="FA7" s="329"/>
      <c r="FB7" s="329"/>
      <c r="FC7" s="329"/>
      <c r="FD7" s="329"/>
      <c r="FE7" s="329"/>
      <c r="FF7" s="329"/>
      <c r="FG7" s="329"/>
      <c r="FH7" s="329"/>
      <c r="FI7" s="329"/>
      <c r="FJ7" s="329"/>
      <c r="FK7" s="329"/>
      <c r="FL7" s="329"/>
      <c r="FM7" s="329"/>
      <c r="FN7" s="329"/>
      <c r="FO7" s="329"/>
      <c r="FP7" s="329"/>
      <c r="FQ7" s="329"/>
      <c r="FR7" s="329"/>
      <c r="FS7" s="329"/>
      <c r="FT7" s="329"/>
      <c r="FU7" s="329"/>
      <c r="FV7" s="329"/>
      <c r="FW7" s="329"/>
      <c r="FX7" s="329"/>
      <c r="FY7" s="329"/>
      <c r="FZ7" s="329"/>
      <c r="GA7" s="329"/>
      <c r="GB7" s="329"/>
      <c r="GC7" s="329"/>
      <c r="GD7" s="329"/>
      <c r="GE7" s="329"/>
      <c r="GF7" s="329"/>
      <c r="GG7" s="329"/>
      <c r="GH7" s="329"/>
      <c r="GI7" s="329"/>
      <c r="GJ7" s="329"/>
      <c r="GK7" s="329"/>
      <c r="GL7" s="329"/>
      <c r="GM7" s="329"/>
      <c r="GN7" s="329"/>
      <c r="GO7" s="329"/>
      <c r="GP7" s="329"/>
      <c r="GQ7" s="329"/>
      <c r="GR7" s="329"/>
      <c r="GS7" s="329"/>
      <c r="GT7" s="329"/>
      <c r="GU7" s="329"/>
      <c r="GV7" s="329"/>
      <c r="GW7" s="329"/>
      <c r="GX7" s="329"/>
      <c r="GY7" s="329"/>
      <c r="GZ7" s="329"/>
      <c r="HA7" s="329"/>
      <c r="HB7" s="329"/>
      <c r="HC7" s="329"/>
      <c r="HD7" s="329"/>
      <c r="HE7" s="329"/>
      <c r="HF7" s="329"/>
      <c r="HG7" s="329"/>
      <c r="HH7" s="329"/>
      <c r="HI7" s="329"/>
      <c r="HJ7" s="329"/>
      <c r="HK7" s="329"/>
      <c r="HL7" s="329"/>
      <c r="HM7" s="329"/>
      <c r="HN7" s="329"/>
      <c r="HO7" s="329"/>
      <c r="HP7" s="329"/>
      <c r="HQ7" s="329"/>
      <c r="HR7" s="329"/>
      <c r="HS7" s="329"/>
      <c r="HT7" s="329"/>
      <c r="HU7" s="329"/>
      <c r="HV7" s="329"/>
      <c r="HW7" s="329"/>
      <c r="HX7" s="329"/>
      <c r="HY7" s="329"/>
      <c r="HZ7" s="329"/>
      <c r="IA7" s="329"/>
      <c r="IB7" s="329"/>
      <c r="IC7" s="329"/>
      <c r="ID7" s="329"/>
      <c r="IE7" s="329"/>
      <c r="IF7" s="329"/>
      <c r="IG7" s="329"/>
      <c r="IH7" s="329"/>
      <c r="II7" s="329"/>
      <c r="IJ7" s="329"/>
      <c r="IK7" s="329"/>
      <c r="IL7" s="329"/>
      <c r="IM7" s="329"/>
      <c r="IN7" s="329"/>
      <c r="IO7" s="329"/>
      <c r="IP7" s="329"/>
      <c r="IQ7" s="329"/>
      <c r="IR7" s="329"/>
    </row>
    <row r="8" spans="1:252">
      <c r="A8" s="323"/>
      <c r="C8" s="324"/>
      <c r="D8" s="328"/>
      <c r="E8" s="328"/>
      <c r="F8" s="328"/>
      <c r="G8" s="328"/>
      <c r="H8" s="328"/>
      <c r="I8" s="328"/>
      <c r="J8" s="328"/>
      <c r="K8" s="328"/>
      <c r="L8" s="328"/>
      <c r="M8" s="328"/>
      <c r="N8" s="328"/>
      <c r="O8" s="328"/>
      <c r="P8" s="328"/>
      <c r="Q8" s="328"/>
      <c r="R8" s="328"/>
      <c r="S8" s="328"/>
      <c r="T8" s="328"/>
      <c r="U8" s="328"/>
      <c r="V8" s="328"/>
      <c r="W8" s="328"/>
      <c r="X8" s="328"/>
      <c r="Y8" s="328"/>
      <c r="Z8" s="328"/>
      <c r="AA8" s="328"/>
      <c r="AB8" s="328"/>
      <c r="AC8" s="328"/>
      <c r="AD8" s="328"/>
      <c r="AE8" s="328"/>
      <c r="AF8" s="328"/>
      <c r="AG8" s="328"/>
      <c r="AH8" s="328"/>
      <c r="AI8" s="328"/>
      <c r="AJ8" s="328"/>
      <c r="AK8" s="328"/>
      <c r="AL8" s="328"/>
      <c r="AM8" s="328"/>
      <c r="AN8" s="328"/>
      <c r="AO8" s="328"/>
      <c r="AP8" s="328"/>
      <c r="AQ8" s="328"/>
      <c r="AR8" s="328"/>
      <c r="AS8" s="328"/>
      <c r="AT8" s="328"/>
      <c r="AU8" s="328"/>
      <c r="AV8" s="328"/>
      <c r="AW8" s="328"/>
      <c r="AX8" s="328"/>
      <c r="AY8" s="328"/>
      <c r="AZ8" s="328"/>
      <c r="BA8" s="328"/>
      <c r="BB8" s="328"/>
      <c r="BC8" s="328"/>
      <c r="BD8" s="328"/>
      <c r="BE8" s="328"/>
      <c r="BF8" s="328"/>
      <c r="BG8" s="328"/>
      <c r="BH8" s="328"/>
      <c r="BI8" s="328"/>
      <c r="BJ8" s="328"/>
      <c r="BK8" s="328"/>
      <c r="BL8" s="323"/>
      <c r="BM8" s="323"/>
      <c r="BN8" s="323"/>
      <c r="BO8" s="323"/>
      <c r="BP8" s="323"/>
      <c r="BQ8" s="323"/>
      <c r="BR8" s="323"/>
      <c r="BS8" s="323"/>
      <c r="BT8" s="323"/>
      <c r="BU8" s="323"/>
      <c r="BV8" s="323"/>
      <c r="BW8" s="323"/>
      <c r="BX8" s="323"/>
      <c r="BY8" s="323"/>
      <c r="BZ8" s="323"/>
      <c r="CA8" s="323"/>
      <c r="CB8" s="323"/>
      <c r="CC8" s="323"/>
      <c r="CD8" s="323"/>
      <c r="CE8" s="323"/>
      <c r="CF8" s="323"/>
      <c r="CG8" s="323"/>
      <c r="CH8" s="323"/>
      <c r="CI8" s="323"/>
      <c r="CJ8" s="323"/>
      <c r="CK8" s="323"/>
      <c r="CL8" s="323"/>
      <c r="CM8" s="323"/>
      <c r="CN8" s="323"/>
      <c r="CO8" s="323"/>
      <c r="CP8" s="323"/>
      <c r="CQ8" s="323"/>
      <c r="CR8" s="323"/>
      <c r="CS8" s="323"/>
      <c r="CT8" s="323"/>
      <c r="CU8" s="323"/>
      <c r="CV8" s="323"/>
      <c r="CW8" s="323"/>
      <c r="CX8" s="323"/>
      <c r="CY8" s="323"/>
      <c r="CZ8" s="323"/>
      <c r="DA8" s="323"/>
      <c r="DB8" s="323"/>
      <c r="DC8" s="323"/>
      <c r="DD8" s="323"/>
      <c r="DE8" s="323"/>
      <c r="DF8" s="323"/>
      <c r="DG8" s="323"/>
      <c r="DH8" s="323"/>
      <c r="DI8" s="323"/>
      <c r="DJ8" s="323"/>
      <c r="DK8" s="323"/>
      <c r="DL8" s="323"/>
      <c r="DM8" s="323"/>
      <c r="DN8" s="323"/>
      <c r="DO8" s="323"/>
      <c r="DP8" s="323"/>
      <c r="DQ8" s="323"/>
      <c r="DR8" s="323"/>
      <c r="DS8" s="323"/>
      <c r="DT8" s="323"/>
      <c r="DU8" s="323"/>
      <c r="DV8" s="323"/>
      <c r="DW8" s="323"/>
      <c r="DX8" s="323"/>
      <c r="DY8" s="323"/>
      <c r="DZ8" s="323"/>
      <c r="EA8" s="323"/>
      <c r="EB8" s="323"/>
      <c r="EC8" s="323"/>
      <c r="ED8" s="323"/>
      <c r="EE8" s="323"/>
      <c r="EF8" s="323"/>
      <c r="EG8" s="323"/>
      <c r="EH8" s="323"/>
      <c r="EI8" s="323"/>
      <c r="EJ8" s="323"/>
      <c r="EK8" s="323"/>
      <c r="EL8" s="323"/>
      <c r="EM8" s="323"/>
      <c r="EN8" s="323"/>
      <c r="EO8" s="323"/>
      <c r="EP8" s="323"/>
      <c r="EQ8" s="323"/>
      <c r="ER8" s="323"/>
      <c r="ES8" s="323"/>
      <c r="ET8" s="323"/>
      <c r="EU8" s="323"/>
      <c r="EV8" s="323"/>
      <c r="EW8" s="323"/>
      <c r="EX8" s="323"/>
      <c r="EY8" s="323"/>
      <c r="EZ8" s="323"/>
      <c r="FA8" s="323"/>
      <c r="FB8" s="323"/>
      <c r="FC8" s="323"/>
      <c r="FD8" s="323"/>
      <c r="FE8" s="323"/>
      <c r="FF8" s="323"/>
      <c r="FG8" s="323"/>
      <c r="FH8" s="323"/>
      <c r="FI8" s="323"/>
      <c r="FJ8" s="323"/>
      <c r="FK8" s="323"/>
      <c r="FL8" s="323"/>
      <c r="FM8" s="323"/>
      <c r="FN8" s="323"/>
      <c r="FO8" s="323"/>
      <c r="FP8" s="323"/>
      <c r="FQ8" s="323"/>
      <c r="FR8" s="323"/>
      <c r="FS8" s="323"/>
      <c r="FT8" s="323"/>
      <c r="FU8" s="323"/>
      <c r="FV8" s="323"/>
      <c r="FW8" s="323"/>
      <c r="FX8" s="323"/>
      <c r="FY8" s="323"/>
      <c r="FZ8" s="323"/>
      <c r="GA8" s="323"/>
      <c r="GB8" s="323"/>
      <c r="GC8" s="323"/>
      <c r="GD8" s="323"/>
      <c r="GE8" s="323"/>
      <c r="GF8" s="323"/>
      <c r="GG8" s="323"/>
      <c r="GH8" s="323"/>
      <c r="GI8" s="323"/>
      <c r="GJ8" s="323"/>
      <c r="GK8" s="323"/>
      <c r="GL8" s="323"/>
      <c r="GM8" s="323"/>
      <c r="GN8" s="323"/>
      <c r="GO8" s="323"/>
      <c r="GP8" s="323"/>
      <c r="GQ8" s="323"/>
      <c r="GR8" s="323"/>
      <c r="GS8" s="323"/>
      <c r="GT8" s="323"/>
      <c r="GU8" s="323"/>
      <c r="GV8" s="323"/>
      <c r="GW8" s="323"/>
      <c r="GX8" s="323"/>
      <c r="GY8" s="323"/>
      <c r="GZ8" s="323"/>
      <c r="HA8" s="323"/>
      <c r="HB8" s="323"/>
      <c r="HC8" s="323"/>
      <c r="HD8" s="323"/>
      <c r="HE8" s="323"/>
      <c r="HF8" s="323"/>
      <c r="HG8" s="323"/>
      <c r="HH8" s="323"/>
      <c r="HI8" s="323"/>
      <c r="HJ8" s="323"/>
      <c r="HK8" s="323"/>
      <c r="HL8" s="323"/>
      <c r="HM8" s="323"/>
      <c r="HN8" s="323"/>
      <c r="HO8" s="323"/>
      <c r="HP8" s="323"/>
      <c r="HQ8" s="323"/>
      <c r="HR8" s="323"/>
      <c r="HS8" s="323"/>
      <c r="HT8" s="323"/>
      <c r="HU8" s="323"/>
      <c r="HV8" s="323"/>
      <c r="HW8" s="323"/>
      <c r="HX8" s="323"/>
      <c r="HY8" s="323"/>
      <c r="HZ8" s="323"/>
      <c r="IA8" s="323"/>
      <c r="IB8" s="323"/>
      <c r="IC8" s="323"/>
      <c r="ID8" s="323"/>
      <c r="IE8" s="323"/>
      <c r="IF8" s="323"/>
      <c r="IG8" s="323"/>
      <c r="IH8" s="323"/>
      <c r="II8" s="323"/>
      <c r="IJ8" s="323"/>
      <c r="IK8" s="323"/>
      <c r="IL8" s="323"/>
      <c r="IM8" s="323"/>
      <c r="IN8" s="323"/>
      <c r="IO8" s="323"/>
      <c r="IP8" s="323"/>
      <c r="IQ8" s="323"/>
      <c r="IR8" s="323"/>
    </row>
    <row r="9" spans="1:252">
      <c r="B9" s="327" t="str">
        <f>'Income Statement'!E13</f>
        <v xml:space="preserve">Depreciation this period </v>
      </c>
      <c r="C9" s="324"/>
      <c r="D9" s="328">
        <f>'Income Statement'!J13</f>
        <v>0</v>
      </c>
      <c r="E9" s="328">
        <f ca="1">'Income Statement'!K13</f>
        <v>-7291.666666666667</v>
      </c>
      <c r="F9" s="328">
        <f ca="1">'Income Statement'!L13</f>
        <v>-7291.666666666667</v>
      </c>
      <c r="G9" s="328">
        <f ca="1">'Income Statement'!M13</f>
        <v>-7291.666666666667</v>
      </c>
      <c r="H9" s="328">
        <f ca="1">'Income Statement'!N13</f>
        <v>-7291.666666666667</v>
      </c>
      <c r="I9" s="328">
        <f ca="1">'Income Statement'!O13</f>
        <v>-7291.666666666667</v>
      </c>
      <c r="J9" s="328">
        <f ca="1">'Income Statement'!P13</f>
        <v>-7291.666666666667</v>
      </c>
      <c r="K9" s="328">
        <f ca="1">'Income Statement'!Q13</f>
        <v>-14583.333333333334</v>
      </c>
      <c r="L9" s="328">
        <f ca="1">'Income Statement'!R13</f>
        <v>-14583.333333333334</v>
      </c>
      <c r="M9" s="328">
        <f ca="1">'Income Statement'!S13</f>
        <v>-14583.333333333334</v>
      </c>
      <c r="N9" s="328">
        <f ca="1">'Income Statement'!T13</f>
        <v>-14583.333333333334</v>
      </c>
      <c r="O9" s="328">
        <f ca="1">'Income Statement'!U13</f>
        <v>-14583.333333333334</v>
      </c>
      <c r="P9" s="328">
        <f ca="1">'Income Statement'!V13</f>
        <v>-14583.333333333334</v>
      </c>
      <c r="Q9" s="328">
        <f ca="1">'Income Statement'!W13</f>
        <v>-21875</v>
      </c>
      <c r="R9" s="328">
        <f ca="1">'Income Statement'!X13</f>
        <v>-21875</v>
      </c>
      <c r="S9" s="328">
        <f ca="1">'Income Statement'!Y13</f>
        <v>-21875</v>
      </c>
      <c r="T9" s="328">
        <f ca="1">'Income Statement'!Z13</f>
        <v>-21875</v>
      </c>
      <c r="U9" s="328">
        <f ca="1">'Income Statement'!AA13</f>
        <v>-29166.666666666668</v>
      </c>
      <c r="V9" s="328">
        <f ca="1">'Income Statement'!AB13</f>
        <v>-29166.666666666668</v>
      </c>
      <c r="W9" s="328">
        <f ca="1">'Income Statement'!AC13</f>
        <v>-29166.666666666668</v>
      </c>
      <c r="X9" s="328">
        <f ca="1">'Income Statement'!AD13</f>
        <v>-29166.666666666668</v>
      </c>
      <c r="Y9" s="328">
        <f ca="1">'Income Statement'!AE13</f>
        <v>-36458.333333333336</v>
      </c>
      <c r="Z9" s="328">
        <f ca="1">'Income Statement'!AF13</f>
        <v>-36458.333333333336</v>
      </c>
      <c r="AA9" s="328">
        <f ca="1">'Income Statement'!AG13</f>
        <v>-36458.333333333336</v>
      </c>
      <c r="AB9" s="328">
        <f ca="1">'Income Statement'!AH13</f>
        <v>-43750</v>
      </c>
      <c r="AC9" s="328">
        <f ca="1">'Income Statement'!AI13</f>
        <v>-43020.833333333336</v>
      </c>
      <c r="AD9" s="328">
        <f ca="1">'Income Statement'!AJ13</f>
        <v>-49539.118573052401</v>
      </c>
      <c r="AE9" s="328">
        <f ca="1">'Income Statement'!AK13</f>
        <v>-48720.397574080678</v>
      </c>
      <c r="AF9" s="328">
        <f ca="1">'Income Statement'!AL13</f>
        <v>-47852.031474254327</v>
      </c>
      <c r="AG9" s="328">
        <f ca="1">'Income Statement'!AM13</f>
        <v>-54222.676591119911</v>
      </c>
      <c r="AH9" s="328">
        <f ca="1">'Income Statement'!AN13</f>
        <v>-53247.660050699786</v>
      </c>
      <c r="AI9" s="328">
        <f ca="1">'Income Statement'!AO13</f>
        <v>-52213.521056421894</v>
      </c>
      <c r="AJ9" s="328">
        <f ca="1">'Income Statement'!AP13</f>
        <v>-58410.422215449624</v>
      </c>
      <c r="AK9" s="328">
        <f ca="1">'Income Statement'!AQ13</f>
        <v>-57249.272989661084</v>
      </c>
      <c r="AL9" s="328">
        <f ca="1">'Income Statement'!AR13</f>
        <v>-63309.38137727938</v>
      </c>
      <c r="AM9" s="328">
        <f ca="1">'Income Statement'!AS13</f>
        <v>-62010.154079991386</v>
      </c>
      <c r="AN9" s="328">
        <f ca="1">'Income Statement'!AT13</f>
        <v>-67924.033333774001</v>
      </c>
      <c r="AO9" s="328">
        <f ca="1">'Income Statement'!AU13</f>
        <v>-73757.36666710733</v>
      </c>
      <c r="AP9" s="328">
        <f ca="1">'Income Statement'!AV13</f>
        <v>-72209.261129102801</v>
      </c>
      <c r="AQ9" s="328">
        <f ca="1">'Income Statement'!AW13</f>
        <v>-77862.192119710628</v>
      </c>
      <c r="AR9" s="328">
        <f ca="1">'Income Statement'!AX13</f>
        <v>-83415.894433448266</v>
      </c>
      <c r="AS9" s="328">
        <f ca="1">'Income Statement'!AY13</f>
        <v>-81572.692911579637</v>
      </c>
      <c r="AT9" s="328">
        <f ca="1">'Income Statement'!AZ13</f>
        <v>-86913.252229360107</v>
      </c>
      <c r="AU9" s="328">
        <f ca="1">'Income Statement'!BA13</f>
        <v>-92135.66814946504</v>
      </c>
      <c r="AV9" s="328">
        <f ca="1">'Income Statement'!BB13</f>
        <v>-97236.94473105199</v>
      </c>
      <c r="AW9" s="328">
        <f ca="1">'Income Statement'!BC13</f>
        <v>-102204.36056633275</v>
      </c>
      <c r="AX9" s="328">
        <f ca="1">'Income Statement'!BD13</f>
        <v>-107030.97231825652</v>
      </c>
      <c r="AY9" s="328">
        <f ca="1">'Income Statement'!BE13</f>
        <v>-111723.08859276578</v>
      </c>
      <c r="AZ9" s="328">
        <f ca="1">'Income Statement'!BF13</f>
        <v>-116257.72302187124</v>
      </c>
      <c r="BA9" s="328">
        <f ca="1">'Income Statement'!BG13</f>
        <v>-119974.62784057531</v>
      </c>
      <c r="BB9" s="328">
        <f ca="1">'Income Statement'!BH13</f>
        <v>-123474.93471179072</v>
      </c>
      <c r="BC9" s="328">
        <f ca="1">'Income Statement'!BI13</f>
        <v>-126753.14301937963</v>
      </c>
      <c r="BD9" s="328">
        <f ca="1">'Income Statement'!BJ13</f>
        <v>-129788.17237048752</v>
      </c>
      <c r="BE9" s="328">
        <f ca="1">'Income Statement'!BK13</f>
        <v>-132565.28833724195</v>
      </c>
      <c r="BF9" s="328">
        <f ca="1">'Income Statement'!BL13</f>
        <v>-135077.9410764291</v>
      </c>
      <c r="BG9" s="328">
        <f ca="1">'Income Statement'!BM13</f>
        <v>-137301.02917035882</v>
      </c>
      <c r="BH9" s="328">
        <f ca="1">'Income Statement'!BN13</f>
        <v>-139227.19897549841</v>
      </c>
      <c r="BI9" s="328">
        <f ca="1">'Income Statement'!BO13</f>
        <v>-140826.30550543399</v>
      </c>
      <c r="BJ9" s="328">
        <f ca="1">'Income Statement'!BP13</f>
        <v>-142080.42869221538</v>
      </c>
      <c r="BK9" s="328">
        <f ca="1">'Income Statement'!BQ13</f>
        <v>-143004.64866232162</v>
      </c>
      <c r="IR9" s="327"/>
    </row>
    <row r="10" spans="1:252" s="332" customFormat="1">
      <c r="A10" s="327"/>
      <c r="B10" s="329" t="str">
        <f>'Income Statement'!E14</f>
        <v>EBIT</v>
      </c>
      <c r="C10" s="330"/>
      <c r="D10" s="331">
        <f ca="1">'Income Statement'!J14</f>
        <v>-52200</v>
      </c>
      <c r="E10" s="331">
        <f ca="1">'Income Statement'!K14</f>
        <v>-59928.255842469218</v>
      </c>
      <c r="F10" s="331">
        <f ca="1">'Income Statement'!L14</f>
        <v>-60375.951730798901</v>
      </c>
      <c r="G10" s="331">
        <f ca="1">'Income Statement'!M14</f>
        <v>-61960.303973373935</v>
      </c>
      <c r="H10" s="331">
        <f ca="1">'Income Statement'!N14</f>
        <v>-62480.238930838706</v>
      </c>
      <c r="I10" s="331">
        <f ca="1">'Income Statement'!O14</f>
        <v>-63013.400895351362</v>
      </c>
      <c r="J10" s="331">
        <f ca="1">'Income Statement'!P14</f>
        <v>-64717.938505818893</v>
      </c>
      <c r="K10" s="331">
        <f ca="1">'Income Statement'!Q14</f>
        <v>-22250.936237259353</v>
      </c>
      <c r="L10" s="331">
        <f ca="1">'Income Statement'!R14</f>
        <v>-13898.071859901893</v>
      </c>
      <c r="M10" s="331">
        <f ca="1">'Income Statement'!S14</f>
        <v>-15106.975320646086</v>
      </c>
      <c r="N10" s="331">
        <f ca="1">'Income Statement'!T14</f>
        <v>-15775.158540749346</v>
      </c>
      <c r="O10" s="331">
        <f ca="1">'Income Statement'!U14</f>
        <v>-16550.88356789219</v>
      </c>
      <c r="P10" s="331">
        <f ca="1">'Income Statement'!V14</f>
        <v>-18483.333333333343</v>
      </c>
      <c r="Q10" s="331">
        <f ca="1">'Income Statement'!W14</f>
        <v>26420.803598249338</v>
      </c>
      <c r="R10" s="331">
        <f ca="1">'Income Statement'!X14</f>
        <v>32443.655724401855</v>
      </c>
      <c r="S10" s="331">
        <f ca="1">'Income Statement'!Y14</f>
        <v>30255.342023079189</v>
      </c>
      <c r="T10" s="331">
        <f ca="1">'Income Statement'!Z14</f>
        <v>29216.200149207209</v>
      </c>
      <c r="U10" s="331">
        <f ca="1">'Income Statement'!AA14</f>
        <v>20859.040516332676</v>
      </c>
      <c r="V10" s="331">
        <f ca="1">'Income Statement'!AB14</f>
        <v>18461.225414207311</v>
      </c>
      <c r="W10" s="331">
        <f ca="1">'Income Statement'!AC14</f>
        <v>77265.06097444125</v>
      </c>
      <c r="X10" s="331">
        <f ca="1">'Income Statement'!AD14</f>
        <v>75943.281719486127</v>
      </c>
      <c r="Y10" s="331">
        <f ca="1">'Income Statement'!AE14</f>
        <v>65996.083438777423</v>
      </c>
      <c r="Z10" s="331">
        <f ca="1">'Income Statement'!AF14</f>
        <v>64668.03666750712</v>
      </c>
      <c r="AA10" s="331">
        <f ca="1">'Income Statement'!AG14</f>
        <v>123113.0159311771</v>
      </c>
      <c r="AB10" s="331">
        <f ca="1">'Income Statement'!AH14</f>
        <v>100497.04487445287</v>
      </c>
      <c r="AC10" s="331">
        <f ca="1">'Income Statement'!AI14</f>
        <v>104723.63720931966</v>
      </c>
      <c r="AD10" s="331">
        <f ca="1">'Income Statement'!AJ14</f>
        <v>102003.03170184756</v>
      </c>
      <c r="AE10" s="331">
        <f ca="1">'Income Statement'!AK14</f>
        <v>165426.12541902444</v>
      </c>
      <c r="AF10" s="331">
        <f ca="1">'Income Statement'!AL14</f>
        <v>170459.91441955674</v>
      </c>
      <c r="AG10" s="331">
        <f ca="1">'Income Statement'!AM14</f>
        <v>168612.27380546759</v>
      </c>
      <c r="AH10" s="331">
        <f ca="1">'Income Statement'!AN14</f>
        <v>232909.60813296237</v>
      </c>
      <c r="AI10" s="331">
        <f ca="1">'Income Statement'!AO14</f>
        <v>239022.50809576016</v>
      </c>
      <c r="AJ10" s="331">
        <f ca="1">'Income Statement'!AP14</f>
        <v>298058.2037213727</v>
      </c>
      <c r="AK10" s="331">
        <f ca="1">'Income Statement'!AQ14</f>
        <v>303396.76252656459</v>
      </c>
      <c r="AL10" s="331">
        <f ca="1">'Income Statement'!AR14</f>
        <v>303656.24143694551</v>
      </c>
      <c r="AM10" s="331">
        <f ca="1">'Income Statement'!AS14</f>
        <v>371191.46477767208</v>
      </c>
      <c r="AN10" s="331">
        <f ca="1">'Income Statement'!AT14</f>
        <v>370671.96536248503</v>
      </c>
      <c r="AO10" s="331">
        <f ca="1">'Income Statement'!AU14</f>
        <v>371810.23422227066</v>
      </c>
      <c r="AP10" s="331">
        <f ca="1">'Income Statement'!AV14</f>
        <v>440965.26375086477</v>
      </c>
      <c r="AQ10" s="331">
        <f ca="1">'Income Statement'!AW14</f>
        <v>441722.59125291271</v>
      </c>
      <c r="AR10" s="331">
        <f ca="1">'Income Statement'!AX14</f>
        <v>504510.6502097848</v>
      </c>
      <c r="AS10" s="331">
        <f ca="1">'Income Statement'!AY14</f>
        <v>515410.27930933854</v>
      </c>
      <c r="AT10" s="331">
        <f ca="1">'Income Statement'!AZ14</f>
        <v>577943.38885211223</v>
      </c>
      <c r="AU10" s="331">
        <f ca="1">'Income Statement'!BA14</f>
        <v>642887.69681169861</v>
      </c>
      <c r="AV10" s="331">
        <f ca="1">'Income Statement'!BB14</f>
        <v>648245.88123944704</v>
      </c>
      <c r="AW10" s="331">
        <f ca="1">'Income Statement'!BC14</f>
        <v>712902.09755870572</v>
      </c>
      <c r="AX10" s="331">
        <f ca="1">'Income Statement'!BD14</f>
        <v>780744.91093893431</v>
      </c>
      <c r="AY10" s="331">
        <f ca="1">'Income Statement'!BE14</f>
        <v>788527.4260312902</v>
      </c>
      <c r="AZ10" s="331">
        <f ca="1">'Income Statement'!BF14</f>
        <v>850624.04082527175</v>
      </c>
      <c r="BA10" s="331">
        <f ca="1">'Income Statement'!BG14</f>
        <v>925984.65144765167</v>
      </c>
      <c r="BB10" s="331">
        <f ca="1">'Income Statement'!BH14</f>
        <v>1003081.5552097225</v>
      </c>
      <c r="BC10" s="331">
        <f ca="1">'Income Statement'!BI14</f>
        <v>1079620.789835976</v>
      </c>
      <c r="BD10" s="331">
        <f ca="1">'Income Statement'!BJ14</f>
        <v>1159302.0248348888</v>
      </c>
      <c r="BE10" s="331">
        <f ca="1">'Income Statement'!BK14</f>
        <v>1241050.7400180185</v>
      </c>
      <c r="BF10" s="331">
        <f ca="1">'Income Statement'!BL14</f>
        <v>1322401.891862087</v>
      </c>
      <c r="BG10" s="331">
        <f ca="1">'Income Statement'!BM14</f>
        <v>1407714.2799389351</v>
      </c>
      <c r="BH10" s="331">
        <f ca="1">'Income Statement'!BN14</f>
        <v>1494604.6916014389</v>
      </c>
      <c r="BI10" s="331">
        <f ca="1">'Income Statement'!BO14</f>
        <v>1581736.0155023707</v>
      </c>
      <c r="BJ10" s="331">
        <f ca="1">'Income Statement'!BP14</f>
        <v>1674063.5672972701</v>
      </c>
      <c r="BK10" s="331">
        <f ca="1">'Income Statement'!BQ14</f>
        <v>1767121.3668459589</v>
      </c>
      <c r="BL10" s="327"/>
      <c r="BM10" s="327"/>
      <c r="BN10" s="327"/>
      <c r="BO10" s="327"/>
      <c r="BP10" s="327"/>
      <c r="BQ10" s="327"/>
      <c r="BR10" s="327"/>
      <c r="BS10" s="329"/>
      <c r="BT10" s="329"/>
      <c r="BU10" s="329"/>
      <c r="BV10" s="329"/>
      <c r="BW10" s="329"/>
      <c r="BX10" s="329"/>
      <c r="BY10" s="329"/>
      <c r="BZ10" s="329"/>
      <c r="CA10" s="329"/>
      <c r="CB10" s="329"/>
      <c r="CC10" s="329"/>
      <c r="CD10" s="329"/>
      <c r="CE10" s="329"/>
      <c r="CF10" s="329"/>
      <c r="CG10" s="329"/>
      <c r="CH10" s="329"/>
      <c r="CI10" s="329"/>
      <c r="CJ10" s="329"/>
      <c r="CK10" s="329"/>
      <c r="CL10" s="329"/>
      <c r="CM10" s="329"/>
      <c r="CN10" s="329"/>
      <c r="CO10" s="329"/>
      <c r="CP10" s="329"/>
      <c r="CQ10" s="329"/>
      <c r="CR10" s="329"/>
      <c r="CS10" s="329"/>
      <c r="CT10" s="329"/>
      <c r="CU10" s="329"/>
      <c r="CV10" s="329"/>
      <c r="CW10" s="329"/>
      <c r="CX10" s="329"/>
      <c r="CY10" s="329"/>
      <c r="CZ10" s="329"/>
      <c r="DA10" s="329"/>
      <c r="DB10" s="329"/>
      <c r="DC10" s="329"/>
      <c r="DD10" s="329"/>
      <c r="DE10" s="329"/>
      <c r="DF10" s="329"/>
      <c r="DG10" s="329"/>
      <c r="DH10" s="329"/>
      <c r="DI10" s="329"/>
      <c r="DJ10" s="329"/>
      <c r="DK10" s="329"/>
      <c r="DL10" s="329"/>
      <c r="DM10" s="329"/>
      <c r="DN10" s="329"/>
      <c r="DO10" s="329"/>
      <c r="DP10" s="329"/>
      <c r="DQ10" s="329"/>
      <c r="DR10" s="329"/>
      <c r="DS10" s="329"/>
      <c r="DT10" s="329"/>
      <c r="DU10" s="329"/>
      <c r="DV10" s="329"/>
      <c r="DW10" s="329"/>
      <c r="DX10" s="329"/>
      <c r="DY10" s="329"/>
      <c r="DZ10" s="329"/>
      <c r="EA10" s="329"/>
      <c r="EB10" s="329"/>
      <c r="EC10" s="329"/>
      <c r="ED10" s="329"/>
      <c r="EE10" s="329"/>
      <c r="EF10" s="329"/>
      <c r="EG10" s="329"/>
      <c r="EH10" s="329"/>
      <c r="EI10" s="329"/>
      <c r="EJ10" s="329"/>
      <c r="EK10" s="329"/>
      <c r="EL10" s="329"/>
      <c r="EM10" s="329"/>
      <c r="EN10" s="329"/>
      <c r="EO10" s="329"/>
      <c r="EP10" s="329"/>
      <c r="EQ10" s="329"/>
      <c r="ER10" s="329"/>
      <c r="ES10" s="329"/>
      <c r="ET10" s="329"/>
      <c r="EU10" s="329"/>
      <c r="EV10" s="329"/>
      <c r="EW10" s="329"/>
      <c r="EX10" s="329"/>
      <c r="EY10" s="329"/>
      <c r="EZ10" s="329"/>
      <c r="FA10" s="329"/>
      <c r="FB10" s="329"/>
      <c r="FC10" s="329"/>
      <c r="FD10" s="329"/>
      <c r="FE10" s="329"/>
      <c r="FF10" s="329"/>
      <c r="FG10" s="329"/>
      <c r="FH10" s="329"/>
      <c r="FI10" s="329"/>
      <c r="FJ10" s="329"/>
      <c r="FK10" s="329"/>
      <c r="FL10" s="329"/>
      <c r="FM10" s="329"/>
      <c r="FN10" s="329"/>
      <c r="FO10" s="329"/>
      <c r="FP10" s="329"/>
      <c r="FQ10" s="329"/>
      <c r="FR10" s="329"/>
      <c r="FS10" s="329"/>
      <c r="FT10" s="329"/>
      <c r="FU10" s="329"/>
      <c r="FV10" s="329"/>
      <c r="FW10" s="329"/>
      <c r="FX10" s="329"/>
      <c r="FY10" s="329"/>
      <c r="FZ10" s="329"/>
      <c r="GA10" s="329"/>
      <c r="GB10" s="329"/>
      <c r="GC10" s="329"/>
      <c r="GD10" s="329"/>
      <c r="GE10" s="329"/>
      <c r="GF10" s="329"/>
      <c r="GG10" s="329"/>
      <c r="GH10" s="329"/>
      <c r="GI10" s="329"/>
      <c r="GJ10" s="329"/>
      <c r="GK10" s="329"/>
      <c r="GL10" s="329"/>
      <c r="GM10" s="329"/>
      <c r="GN10" s="329"/>
      <c r="GO10" s="329"/>
      <c r="GP10" s="329"/>
      <c r="GQ10" s="329"/>
      <c r="GR10" s="329"/>
      <c r="GS10" s="329"/>
      <c r="GT10" s="329"/>
      <c r="GU10" s="329"/>
      <c r="GV10" s="329"/>
      <c r="GW10" s="329"/>
      <c r="GX10" s="329"/>
      <c r="GY10" s="329"/>
      <c r="GZ10" s="329"/>
      <c r="HA10" s="329"/>
      <c r="HB10" s="329"/>
      <c r="HC10" s="329"/>
      <c r="HD10" s="329"/>
      <c r="HE10" s="329"/>
      <c r="HF10" s="329"/>
      <c r="HG10" s="329"/>
      <c r="HH10" s="329"/>
      <c r="HI10" s="329"/>
      <c r="HJ10" s="329"/>
      <c r="HK10" s="329"/>
      <c r="HL10" s="329"/>
      <c r="HM10" s="329"/>
      <c r="HN10" s="329"/>
      <c r="HO10" s="329"/>
      <c r="HP10" s="329"/>
      <c r="HQ10" s="329"/>
      <c r="HR10" s="329"/>
      <c r="HS10" s="329"/>
      <c r="HT10" s="329"/>
      <c r="HU10" s="329"/>
      <c r="HV10" s="329"/>
      <c r="HW10" s="329"/>
      <c r="HX10" s="329"/>
      <c r="HY10" s="329"/>
      <c r="HZ10" s="329"/>
      <c r="IA10" s="329"/>
      <c r="IB10" s="329"/>
      <c r="IC10" s="329"/>
      <c r="ID10" s="329"/>
      <c r="IE10" s="329"/>
      <c r="IF10" s="329"/>
      <c r="IG10" s="329"/>
      <c r="IH10" s="329"/>
      <c r="II10" s="329"/>
      <c r="IJ10" s="329"/>
      <c r="IK10" s="329"/>
      <c r="IL10" s="329"/>
      <c r="IM10" s="329"/>
      <c r="IN10" s="329"/>
      <c r="IO10" s="329"/>
      <c r="IP10" s="329"/>
      <c r="IQ10" s="329"/>
      <c r="IR10" s="329"/>
    </row>
    <row r="11" spans="1:252">
      <c r="A11" s="323"/>
      <c r="C11" s="324"/>
      <c r="D11" s="328"/>
      <c r="E11" s="328"/>
      <c r="F11" s="328"/>
      <c r="G11" s="328"/>
      <c r="H11" s="328"/>
      <c r="I11" s="328"/>
      <c r="J11" s="328"/>
      <c r="K11" s="328"/>
      <c r="L11" s="328"/>
      <c r="M11" s="328"/>
      <c r="N11" s="328"/>
      <c r="O11" s="328"/>
      <c r="P11" s="328"/>
      <c r="Q11" s="328"/>
      <c r="R11" s="328"/>
      <c r="S11" s="328"/>
      <c r="T11" s="328"/>
      <c r="U11" s="328"/>
      <c r="V11" s="328"/>
      <c r="W11" s="328"/>
      <c r="X11" s="328"/>
      <c r="Y11" s="328"/>
      <c r="Z11" s="328"/>
      <c r="AA11" s="328"/>
      <c r="AB11" s="328"/>
      <c r="AC11" s="328"/>
      <c r="AD11" s="328"/>
      <c r="AE11" s="328"/>
      <c r="AF11" s="328"/>
      <c r="AG11" s="328"/>
      <c r="AH11" s="328"/>
      <c r="AI11" s="328"/>
      <c r="AJ11" s="328"/>
      <c r="AK11" s="328"/>
      <c r="AL11" s="328"/>
      <c r="AM11" s="328"/>
      <c r="AN11" s="328"/>
      <c r="AO11" s="328"/>
      <c r="AP11" s="328"/>
      <c r="AQ11" s="328"/>
      <c r="AR11" s="328"/>
      <c r="AS11" s="328"/>
      <c r="AT11" s="328"/>
      <c r="AU11" s="328"/>
      <c r="AV11" s="328"/>
      <c r="AW11" s="328"/>
      <c r="AX11" s="328"/>
      <c r="AY11" s="328"/>
      <c r="AZ11" s="328"/>
      <c r="BA11" s="328"/>
      <c r="BB11" s="328"/>
      <c r="BC11" s="328"/>
      <c r="BD11" s="328"/>
      <c r="BE11" s="328"/>
      <c r="BF11" s="328"/>
      <c r="BG11" s="328"/>
      <c r="BH11" s="328"/>
      <c r="BI11" s="328"/>
      <c r="BJ11" s="328"/>
      <c r="BK11" s="328"/>
      <c r="BL11" s="323"/>
      <c r="BM11" s="323"/>
      <c r="BN11" s="323"/>
      <c r="BO11" s="323"/>
      <c r="BP11" s="323"/>
      <c r="BQ11" s="323"/>
      <c r="BR11" s="323"/>
      <c r="BS11" s="323"/>
      <c r="BT11" s="323"/>
      <c r="BU11" s="323"/>
      <c r="BV11" s="323"/>
      <c r="BW11" s="323"/>
      <c r="BX11" s="323"/>
      <c r="BY11" s="323"/>
      <c r="BZ11" s="323"/>
      <c r="CA11" s="323"/>
      <c r="CB11" s="323"/>
      <c r="CC11" s="323"/>
      <c r="CD11" s="323"/>
      <c r="CE11" s="323"/>
      <c r="CF11" s="323"/>
      <c r="CG11" s="323"/>
      <c r="CH11" s="323"/>
      <c r="CI11" s="323"/>
      <c r="CJ11" s="323"/>
      <c r="CK11" s="323"/>
      <c r="CL11" s="323"/>
      <c r="CM11" s="323"/>
      <c r="CN11" s="323"/>
      <c r="CO11" s="323"/>
      <c r="CP11" s="323"/>
      <c r="CQ11" s="323"/>
      <c r="CR11" s="323"/>
      <c r="CS11" s="323"/>
      <c r="CT11" s="323"/>
      <c r="CU11" s="323"/>
      <c r="CV11" s="323"/>
      <c r="CW11" s="323"/>
      <c r="CX11" s="323"/>
      <c r="CY11" s="323"/>
      <c r="CZ11" s="323"/>
      <c r="DA11" s="323"/>
      <c r="DB11" s="323"/>
      <c r="DC11" s="323"/>
      <c r="DD11" s="323"/>
      <c r="DE11" s="323"/>
      <c r="DF11" s="323"/>
      <c r="DG11" s="323"/>
      <c r="DH11" s="323"/>
      <c r="DI11" s="323"/>
      <c r="DJ11" s="323"/>
      <c r="DK11" s="323"/>
      <c r="DL11" s="323"/>
      <c r="DM11" s="323"/>
      <c r="DN11" s="323"/>
      <c r="DO11" s="323"/>
      <c r="DP11" s="323"/>
      <c r="DQ11" s="323"/>
      <c r="DR11" s="323"/>
      <c r="DS11" s="323"/>
      <c r="DT11" s="323"/>
      <c r="DU11" s="323"/>
      <c r="DV11" s="323"/>
      <c r="DW11" s="323"/>
      <c r="DX11" s="323"/>
      <c r="DY11" s="323"/>
      <c r="DZ11" s="323"/>
      <c r="EA11" s="323"/>
      <c r="EB11" s="323"/>
      <c r="EC11" s="323"/>
      <c r="ED11" s="323"/>
      <c r="EE11" s="323"/>
      <c r="EF11" s="323"/>
      <c r="EG11" s="323"/>
      <c r="EH11" s="323"/>
      <c r="EI11" s="323"/>
      <c r="EJ11" s="323"/>
      <c r="EK11" s="323"/>
      <c r="EL11" s="323"/>
      <c r="EM11" s="323"/>
      <c r="EN11" s="323"/>
      <c r="EO11" s="323"/>
      <c r="EP11" s="323"/>
      <c r="EQ11" s="323"/>
      <c r="ER11" s="323"/>
      <c r="ES11" s="323"/>
      <c r="ET11" s="323"/>
      <c r="EU11" s="323"/>
      <c r="EV11" s="323"/>
      <c r="EW11" s="323"/>
      <c r="EX11" s="323"/>
      <c r="EY11" s="323"/>
      <c r="EZ11" s="323"/>
      <c r="FA11" s="323"/>
      <c r="FB11" s="323"/>
      <c r="FC11" s="323"/>
      <c r="FD11" s="323"/>
      <c r="FE11" s="323"/>
      <c r="FF11" s="323"/>
      <c r="FG11" s="323"/>
      <c r="FH11" s="323"/>
      <c r="FI11" s="323"/>
      <c r="FJ11" s="323"/>
      <c r="FK11" s="323"/>
      <c r="FL11" s="323"/>
      <c r="FM11" s="323"/>
      <c r="FN11" s="323"/>
      <c r="FO11" s="323"/>
      <c r="FP11" s="323"/>
      <c r="FQ11" s="323"/>
      <c r="FR11" s="323"/>
      <c r="FS11" s="323"/>
      <c r="FT11" s="323"/>
      <c r="FU11" s="323"/>
      <c r="FV11" s="323"/>
      <c r="FW11" s="323"/>
      <c r="FX11" s="323"/>
      <c r="FY11" s="323"/>
      <c r="FZ11" s="323"/>
      <c r="GA11" s="323"/>
      <c r="GB11" s="323"/>
      <c r="GC11" s="323"/>
      <c r="GD11" s="323"/>
      <c r="GE11" s="323"/>
      <c r="GF11" s="323"/>
      <c r="GG11" s="323"/>
      <c r="GH11" s="323"/>
      <c r="GI11" s="323"/>
      <c r="GJ11" s="323"/>
      <c r="GK11" s="323"/>
      <c r="GL11" s="323"/>
      <c r="GM11" s="323"/>
      <c r="GN11" s="323"/>
      <c r="GO11" s="323"/>
      <c r="GP11" s="323"/>
      <c r="GQ11" s="323"/>
      <c r="GR11" s="323"/>
      <c r="GS11" s="323"/>
      <c r="GT11" s="323"/>
      <c r="GU11" s="323"/>
      <c r="GV11" s="323"/>
      <c r="GW11" s="323"/>
      <c r="GX11" s="323"/>
      <c r="GY11" s="323"/>
      <c r="GZ11" s="323"/>
      <c r="HA11" s="323"/>
      <c r="HB11" s="323"/>
      <c r="HC11" s="323"/>
      <c r="HD11" s="323"/>
      <c r="HE11" s="323"/>
      <c r="HF11" s="323"/>
      <c r="HG11" s="323"/>
      <c r="HH11" s="323"/>
      <c r="HI11" s="323"/>
      <c r="HJ11" s="323"/>
      <c r="HK11" s="323"/>
      <c r="HL11" s="323"/>
      <c r="HM11" s="323"/>
      <c r="HN11" s="323"/>
      <c r="HO11" s="323"/>
      <c r="HP11" s="323"/>
      <c r="HQ11" s="323"/>
      <c r="HR11" s="323"/>
      <c r="HS11" s="323"/>
      <c r="HT11" s="323"/>
      <c r="HU11" s="323"/>
      <c r="HV11" s="323"/>
      <c r="HW11" s="323"/>
      <c r="HX11" s="323"/>
      <c r="HY11" s="323"/>
      <c r="HZ11" s="323"/>
      <c r="IA11" s="323"/>
      <c r="IB11" s="323"/>
      <c r="IC11" s="323"/>
      <c r="ID11" s="323"/>
      <c r="IE11" s="323"/>
      <c r="IF11" s="323"/>
      <c r="IG11" s="323"/>
      <c r="IH11" s="323"/>
      <c r="II11" s="323"/>
      <c r="IJ11" s="323"/>
      <c r="IK11" s="323"/>
      <c r="IL11" s="323"/>
      <c r="IM11" s="323"/>
      <c r="IN11" s="323"/>
      <c r="IO11" s="323"/>
      <c r="IP11" s="323"/>
      <c r="IQ11" s="323"/>
      <c r="IR11" s="323"/>
    </row>
    <row r="12" spans="1:252">
      <c r="B12" s="327" t="str">
        <f>'Income Statement'!E16</f>
        <v xml:space="preserve">Supply Chain Finance interest </v>
      </c>
      <c r="C12" s="324"/>
      <c r="D12" s="328">
        <f>'Income Statement'!J16</f>
        <v>0</v>
      </c>
      <c r="E12" s="328">
        <f ca="1">'Income Statement'!K16</f>
        <v>0</v>
      </c>
      <c r="F12" s="328">
        <f ca="1">'Income Statement'!L16</f>
        <v>0</v>
      </c>
      <c r="G12" s="328">
        <f ca="1">'Income Statement'!M16</f>
        <v>0</v>
      </c>
      <c r="H12" s="328">
        <f ca="1">'Income Statement'!N16</f>
        <v>0</v>
      </c>
      <c r="I12" s="328">
        <f ca="1">'Income Statement'!O16</f>
        <v>0</v>
      </c>
      <c r="J12" s="328">
        <f ca="1">'Income Statement'!P16</f>
        <v>0</v>
      </c>
      <c r="K12" s="328">
        <f ca="1">'Income Statement'!Q16</f>
        <v>0</v>
      </c>
      <c r="L12" s="328">
        <f ca="1">'Income Statement'!R16</f>
        <v>0</v>
      </c>
      <c r="M12" s="328">
        <f ca="1">'Income Statement'!S16</f>
        <v>0</v>
      </c>
      <c r="N12" s="328">
        <f ca="1">'Income Statement'!T16</f>
        <v>0</v>
      </c>
      <c r="O12" s="328">
        <f ca="1">'Income Statement'!U16</f>
        <v>0</v>
      </c>
      <c r="P12" s="328">
        <f ca="1">'Income Statement'!V16</f>
        <v>0</v>
      </c>
      <c r="Q12" s="328">
        <f ca="1">'Income Statement'!W16</f>
        <v>0</v>
      </c>
      <c r="R12" s="328">
        <f ca="1">'Income Statement'!X16</f>
        <v>0</v>
      </c>
      <c r="S12" s="328">
        <f ca="1">'Income Statement'!Y16</f>
        <v>0</v>
      </c>
      <c r="T12" s="328">
        <f ca="1">'Income Statement'!Z16</f>
        <v>0</v>
      </c>
      <c r="U12" s="328">
        <f ca="1">'Income Statement'!AA16</f>
        <v>0</v>
      </c>
      <c r="V12" s="328">
        <f ca="1">'Income Statement'!AB16</f>
        <v>0</v>
      </c>
      <c r="W12" s="328">
        <f ca="1">'Income Statement'!AC16</f>
        <v>0</v>
      </c>
      <c r="X12" s="328">
        <f ca="1">'Income Statement'!AD16</f>
        <v>0</v>
      </c>
      <c r="Y12" s="328">
        <f ca="1">'Income Statement'!AE16</f>
        <v>0</v>
      </c>
      <c r="Z12" s="328">
        <f ca="1">'Income Statement'!AF16</f>
        <v>0</v>
      </c>
      <c r="AA12" s="328">
        <f ca="1">'Income Statement'!AG16</f>
        <v>0</v>
      </c>
      <c r="AB12" s="328">
        <f ca="1">'Income Statement'!AH16</f>
        <v>0</v>
      </c>
      <c r="AC12" s="328">
        <f ca="1">'Income Statement'!AI16</f>
        <v>0</v>
      </c>
      <c r="AD12" s="328">
        <f ca="1">'Income Statement'!AJ16</f>
        <v>0</v>
      </c>
      <c r="AE12" s="328">
        <f ca="1">'Income Statement'!AK16</f>
        <v>0</v>
      </c>
      <c r="AF12" s="328">
        <f ca="1">'Income Statement'!AL16</f>
        <v>0</v>
      </c>
      <c r="AG12" s="328">
        <f ca="1">'Income Statement'!AM16</f>
        <v>0</v>
      </c>
      <c r="AH12" s="328">
        <f ca="1">'Income Statement'!AN16</f>
        <v>0</v>
      </c>
      <c r="AI12" s="328">
        <f ca="1">'Income Statement'!AO16</f>
        <v>0</v>
      </c>
      <c r="AJ12" s="328">
        <f ca="1">'Income Statement'!AP16</f>
        <v>0</v>
      </c>
      <c r="AK12" s="328">
        <f ca="1">'Income Statement'!AQ16</f>
        <v>0</v>
      </c>
      <c r="AL12" s="328">
        <f ca="1">'Income Statement'!AR16</f>
        <v>0</v>
      </c>
      <c r="AM12" s="328">
        <f ca="1">'Income Statement'!AS16</f>
        <v>0</v>
      </c>
      <c r="AN12" s="328">
        <f ca="1">'Income Statement'!AT16</f>
        <v>0</v>
      </c>
      <c r="AO12" s="328">
        <f ca="1">'Income Statement'!AU16</f>
        <v>0</v>
      </c>
      <c r="AP12" s="328">
        <f ca="1">'Income Statement'!AV16</f>
        <v>0</v>
      </c>
      <c r="AQ12" s="328">
        <f ca="1">'Income Statement'!AW16</f>
        <v>0</v>
      </c>
      <c r="AR12" s="328">
        <f ca="1">'Income Statement'!AX16</f>
        <v>0</v>
      </c>
      <c r="AS12" s="328">
        <f ca="1">'Income Statement'!AY16</f>
        <v>0</v>
      </c>
      <c r="AT12" s="328">
        <f ca="1">'Income Statement'!AZ16</f>
        <v>0</v>
      </c>
      <c r="AU12" s="328">
        <f ca="1">'Income Statement'!BA16</f>
        <v>0</v>
      </c>
      <c r="AV12" s="328">
        <f ca="1">'Income Statement'!BB16</f>
        <v>0</v>
      </c>
      <c r="AW12" s="328">
        <f ca="1">'Income Statement'!BC16</f>
        <v>0</v>
      </c>
      <c r="AX12" s="328">
        <f ca="1">'Income Statement'!BD16</f>
        <v>0</v>
      </c>
      <c r="AY12" s="328">
        <f ca="1">'Income Statement'!BE16</f>
        <v>0</v>
      </c>
      <c r="AZ12" s="328">
        <f ca="1">'Income Statement'!BF16</f>
        <v>0</v>
      </c>
      <c r="BA12" s="328">
        <f ca="1">'Income Statement'!BG16</f>
        <v>0</v>
      </c>
      <c r="BB12" s="328">
        <f ca="1">'Income Statement'!BH16</f>
        <v>0</v>
      </c>
      <c r="BC12" s="328">
        <f ca="1">'Income Statement'!BI16</f>
        <v>0</v>
      </c>
      <c r="BD12" s="328">
        <f ca="1">'Income Statement'!BJ16</f>
        <v>0</v>
      </c>
      <c r="BE12" s="328">
        <f ca="1">'Income Statement'!BK16</f>
        <v>0</v>
      </c>
      <c r="BF12" s="328">
        <f ca="1">'Income Statement'!BL16</f>
        <v>0</v>
      </c>
      <c r="BG12" s="328">
        <f ca="1">'Income Statement'!BM16</f>
        <v>0</v>
      </c>
      <c r="BH12" s="328">
        <f ca="1">'Income Statement'!BN16</f>
        <v>0</v>
      </c>
      <c r="BI12" s="328">
        <f ca="1">'Income Statement'!BO16</f>
        <v>0</v>
      </c>
      <c r="BJ12" s="328">
        <f ca="1">'Income Statement'!BP16</f>
        <v>0</v>
      </c>
      <c r="BK12" s="328">
        <f ca="1">'Income Statement'!BQ16</f>
        <v>0</v>
      </c>
      <c r="IR12" s="327"/>
    </row>
    <row r="13" spans="1:252">
      <c r="B13" s="327" t="str">
        <f>'Income Statement'!E17</f>
        <v xml:space="preserve">Invoice finance interest </v>
      </c>
      <c r="C13" s="324"/>
      <c r="D13" s="328">
        <f>'Income Statement'!J17</f>
        <v>0</v>
      </c>
      <c r="E13" s="328">
        <f ca="1">'Income Statement'!K17</f>
        <v>0</v>
      </c>
      <c r="F13" s="328">
        <f ca="1">'Income Statement'!L17</f>
        <v>0</v>
      </c>
      <c r="G13" s="328">
        <f ca="1">'Income Statement'!M17</f>
        <v>0</v>
      </c>
      <c r="H13" s="328">
        <f ca="1">'Income Statement'!N17</f>
        <v>0</v>
      </c>
      <c r="I13" s="328">
        <f ca="1">'Income Statement'!O17</f>
        <v>0</v>
      </c>
      <c r="J13" s="328">
        <f ca="1">'Income Statement'!P17</f>
        <v>0</v>
      </c>
      <c r="K13" s="328">
        <f ca="1">'Income Statement'!Q17</f>
        <v>0</v>
      </c>
      <c r="L13" s="328">
        <f ca="1">'Income Statement'!R17</f>
        <v>0</v>
      </c>
      <c r="M13" s="328">
        <f ca="1">'Income Statement'!S17</f>
        <v>0</v>
      </c>
      <c r="N13" s="328">
        <f ca="1">'Income Statement'!T17</f>
        <v>0</v>
      </c>
      <c r="O13" s="328">
        <f ca="1">'Income Statement'!U17</f>
        <v>0</v>
      </c>
      <c r="P13" s="328">
        <f ca="1">'Income Statement'!V17</f>
        <v>0</v>
      </c>
      <c r="Q13" s="328">
        <f ca="1">'Income Statement'!W17</f>
        <v>0</v>
      </c>
      <c r="R13" s="328">
        <f ca="1">'Income Statement'!X17</f>
        <v>0</v>
      </c>
      <c r="S13" s="328">
        <f ca="1">'Income Statement'!Y17</f>
        <v>0</v>
      </c>
      <c r="T13" s="328">
        <f ca="1">'Income Statement'!Z17</f>
        <v>0</v>
      </c>
      <c r="U13" s="328">
        <f ca="1">'Income Statement'!AA17</f>
        <v>0</v>
      </c>
      <c r="V13" s="328">
        <f ca="1">'Income Statement'!AB17</f>
        <v>0</v>
      </c>
      <c r="W13" s="328">
        <f ca="1">'Income Statement'!AC17</f>
        <v>0</v>
      </c>
      <c r="X13" s="328">
        <f ca="1">'Income Statement'!AD17</f>
        <v>0</v>
      </c>
      <c r="Y13" s="328">
        <f ca="1">'Income Statement'!AE17</f>
        <v>0</v>
      </c>
      <c r="Z13" s="328">
        <f ca="1">'Income Statement'!AF17</f>
        <v>0</v>
      </c>
      <c r="AA13" s="328">
        <f ca="1">'Income Statement'!AG17</f>
        <v>0</v>
      </c>
      <c r="AB13" s="328">
        <f ca="1">'Income Statement'!AH17</f>
        <v>0</v>
      </c>
      <c r="AC13" s="328">
        <f ca="1">'Income Statement'!AI17</f>
        <v>0</v>
      </c>
      <c r="AD13" s="328">
        <f ca="1">'Income Statement'!AJ17</f>
        <v>0</v>
      </c>
      <c r="AE13" s="328">
        <f ca="1">'Income Statement'!AK17</f>
        <v>0</v>
      </c>
      <c r="AF13" s="328">
        <f ca="1">'Income Statement'!AL17</f>
        <v>0</v>
      </c>
      <c r="AG13" s="328">
        <f ca="1">'Income Statement'!AM17</f>
        <v>0</v>
      </c>
      <c r="AH13" s="328">
        <f ca="1">'Income Statement'!AN17</f>
        <v>0</v>
      </c>
      <c r="AI13" s="328">
        <f ca="1">'Income Statement'!AO17</f>
        <v>0</v>
      </c>
      <c r="AJ13" s="328">
        <f ca="1">'Income Statement'!AP17</f>
        <v>0</v>
      </c>
      <c r="AK13" s="328">
        <f ca="1">'Income Statement'!AQ17</f>
        <v>0</v>
      </c>
      <c r="AL13" s="328">
        <f ca="1">'Income Statement'!AR17</f>
        <v>0</v>
      </c>
      <c r="AM13" s="328">
        <f ca="1">'Income Statement'!AS17</f>
        <v>0</v>
      </c>
      <c r="AN13" s="328">
        <f ca="1">'Income Statement'!AT17</f>
        <v>0</v>
      </c>
      <c r="AO13" s="328">
        <f ca="1">'Income Statement'!AU17</f>
        <v>0</v>
      </c>
      <c r="AP13" s="328">
        <f ca="1">'Income Statement'!AV17</f>
        <v>0</v>
      </c>
      <c r="AQ13" s="328">
        <f ca="1">'Income Statement'!AW17</f>
        <v>0</v>
      </c>
      <c r="AR13" s="328">
        <f ca="1">'Income Statement'!AX17</f>
        <v>0</v>
      </c>
      <c r="AS13" s="328">
        <f ca="1">'Income Statement'!AY17</f>
        <v>0</v>
      </c>
      <c r="AT13" s="328">
        <f ca="1">'Income Statement'!AZ17</f>
        <v>0</v>
      </c>
      <c r="AU13" s="328">
        <f ca="1">'Income Statement'!BA17</f>
        <v>0</v>
      </c>
      <c r="AV13" s="328">
        <f ca="1">'Income Statement'!BB17</f>
        <v>0</v>
      </c>
      <c r="AW13" s="328">
        <f ca="1">'Income Statement'!BC17</f>
        <v>0</v>
      </c>
      <c r="AX13" s="328">
        <f ca="1">'Income Statement'!BD17</f>
        <v>0</v>
      </c>
      <c r="AY13" s="328">
        <f ca="1">'Income Statement'!BE17</f>
        <v>0</v>
      </c>
      <c r="AZ13" s="328">
        <f ca="1">'Income Statement'!BF17</f>
        <v>0</v>
      </c>
      <c r="BA13" s="328">
        <f ca="1">'Income Statement'!BG17</f>
        <v>0</v>
      </c>
      <c r="BB13" s="328">
        <f ca="1">'Income Statement'!BH17</f>
        <v>0</v>
      </c>
      <c r="BC13" s="328">
        <f ca="1">'Income Statement'!BI17</f>
        <v>0</v>
      </c>
      <c r="BD13" s="328">
        <f ca="1">'Income Statement'!BJ17</f>
        <v>0</v>
      </c>
      <c r="BE13" s="328">
        <f ca="1">'Income Statement'!BK17</f>
        <v>0</v>
      </c>
      <c r="BF13" s="328">
        <f ca="1">'Income Statement'!BL17</f>
        <v>0</v>
      </c>
      <c r="BG13" s="328">
        <f ca="1">'Income Statement'!BM17</f>
        <v>0</v>
      </c>
      <c r="BH13" s="328">
        <f ca="1">'Income Statement'!BN17</f>
        <v>0</v>
      </c>
      <c r="BI13" s="328">
        <f ca="1">'Income Statement'!BO17</f>
        <v>0</v>
      </c>
      <c r="BJ13" s="328">
        <f ca="1">'Income Statement'!BP17</f>
        <v>0</v>
      </c>
      <c r="BK13" s="328">
        <f ca="1">'Income Statement'!BQ17</f>
        <v>0</v>
      </c>
      <c r="IR13" s="327"/>
    </row>
    <row r="14" spans="1:252">
      <c r="B14" s="327" t="str">
        <f>'Income Statement'!E18</f>
        <v xml:space="preserve">Asset Finance interest </v>
      </c>
      <c r="C14" s="324"/>
      <c r="D14" s="328">
        <f>'Income Statement'!J18</f>
        <v>0</v>
      </c>
      <c r="E14" s="328">
        <f ca="1">'Income Statement'!K18</f>
        <v>-1166.6666666666667</v>
      </c>
      <c r="F14" s="328">
        <f ca="1">'Income Statement'!L18</f>
        <v>-1118.0555555555557</v>
      </c>
      <c r="G14" s="328">
        <f ca="1">'Income Statement'!M18</f>
        <v>-1071.4699074074076</v>
      </c>
      <c r="H14" s="328">
        <f ca="1">'Income Statement'!N18</f>
        <v>-1026.8253279320988</v>
      </c>
      <c r="I14" s="328">
        <f ca="1">'Income Statement'!O18</f>
        <v>-984.04093926826147</v>
      </c>
      <c r="J14" s="328">
        <f ca="1">'Income Statement'!P18</f>
        <v>-943.03923346541728</v>
      </c>
      <c r="K14" s="328">
        <f ca="1">'Income Statement'!Q18</f>
        <v>-2070.412598737692</v>
      </c>
      <c r="L14" s="328">
        <f ca="1">'Income Statement'!R18</f>
        <v>-1984.1454071236212</v>
      </c>
      <c r="M14" s="328">
        <f ca="1">'Income Statement'!S18</f>
        <v>-1901.4726818268036</v>
      </c>
      <c r="N14" s="328">
        <f ca="1">'Income Statement'!T18</f>
        <v>-1822.2446534173537</v>
      </c>
      <c r="O14" s="328">
        <f ca="1">'Income Statement'!U18</f>
        <v>-1746.3177928582975</v>
      </c>
      <c r="P14" s="328">
        <f ca="1">'Income Statement'!V18</f>
        <v>-1673.5545514892017</v>
      </c>
      <c r="Q14" s="328">
        <f ca="1">'Income Statement'!W18</f>
        <v>-2770.4897785104854</v>
      </c>
      <c r="R14" s="328">
        <f ca="1">'Income Statement'!X18</f>
        <v>-2655.0527044058817</v>
      </c>
      <c r="S14" s="328">
        <f ca="1">'Income Statement'!Y18</f>
        <v>-2544.4255083889702</v>
      </c>
      <c r="T14" s="328">
        <f ca="1">'Income Statement'!Z18</f>
        <v>-2438.4077788727632</v>
      </c>
      <c r="U14" s="328">
        <f ca="1">'Income Statement'!AA18</f>
        <v>-3503.4741214197315</v>
      </c>
      <c r="V14" s="328">
        <f ca="1">'Income Statement'!AB18</f>
        <v>-3357.4960330272429</v>
      </c>
      <c r="W14" s="328">
        <f ca="1">'Income Statement'!AC18</f>
        <v>-3217.6003649844411</v>
      </c>
      <c r="X14" s="328">
        <f ca="1">'Income Statement'!AD18</f>
        <v>-3083.5336831100894</v>
      </c>
      <c r="Y14" s="328">
        <f ca="1">'Income Statement'!AE18</f>
        <v>-4121.7197796471692</v>
      </c>
      <c r="Z14" s="328">
        <f ca="1">'Income Statement'!AF18</f>
        <v>-3949.981455495204</v>
      </c>
      <c r="AA14" s="328">
        <f ca="1">'Income Statement'!AG18</f>
        <v>-3785.3988948495703</v>
      </c>
      <c r="AB14" s="328">
        <f ca="1">'Income Statement'!AH18</f>
        <v>-4794.3406075641715</v>
      </c>
      <c r="AC14" s="328">
        <f ca="1">'Income Statement'!AI18</f>
        <v>-4594.5764155823317</v>
      </c>
      <c r="AD14" s="328">
        <f ca="1">'Income Statement'!AJ18</f>
        <v>-5569.8023982664008</v>
      </c>
      <c r="AE14" s="328">
        <f ca="1">'Income Statement'!AK18</f>
        <v>-5337.7272983386338</v>
      </c>
      <c r="AF14" s="328">
        <f ca="1">'Income Statement'!AL18</f>
        <v>-5115.3219942411906</v>
      </c>
      <c r="AG14" s="328">
        <f ca="1">'Income Statement'!AM18</f>
        <v>-6068.8502444811411</v>
      </c>
      <c r="AH14" s="328">
        <f ca="1">'Income Statement'!AN18</f>
        <v>-5815.981484294427</v>
      </c>
      <c r="AI14" s="328">
        <f ca="1">'Income Statement'!AO18</f>
        <v>-5573.6489224488259</v>
      </c>
      <c r="AJ14" s="328">
        <f ca="1">'Income Statement'!AP18</f>
        <v>-6508.0802173467919</v>
      </c>
      <c r="AK14" s="328">
        <f ca="1">'Income Statement'!AQ18</f>
        <v>-6236.9102082906757</v>
      </c>
      <c r="AL14" s="328">
        <f ca="1">'Income Statement'!AR18</f>
        <v>-7143.7056162785648</v>
      </c>
      <c r="AM14" s="328">
        <f ca="1">'Income Statement'!AS18</f>
        <v>-6846.0512156002915</v>
      </c>
      <c r="AN14" s="328">
        <f ca="1">'Income Statement'!AT18</f>
        <v>-7727.4657482836119</v>
      </c>
      <c r="AO14" s="328">
        <f ca="1">'Income Statement'!AU18</f>
        <v>-8572.1546754384617</v>
      </c>
      <c r="AP14" s="328">
        <f ca="1">'Income Statement'!AV18</f>
        <v>-8214.9815639618591</v>
      </c>
      <c r="AQ14" s="328">
        <f ca="1">'Income Statement'!AW18</f>
        <v>-9039.3573321301155</v>
      </c>
      <c r="AR14" s="328">
        <f ca="1">'Income Statement'!AX18</f>
        <v>-9829.3841099580277</v>
      </c>
      <c r="AS14" s="328">
        <f ca="1">'Income Statement'!AY18</f>
        <v>-9419.8264387097752</v>
      </c>
      <c r="AT14" s="328">
        <f ca="1">'Income Statement'!AZ18</f>
        <v>-10194.00033709687</v>
      </c>
      <c r="AU14" s="328">
        <f ca="1">'Income Statement'!BA18</f>
        <v>-10935.916989717833</v>
      </c>
      <c r="AV14" s="328">
        <f ca="1">'Income Statement'!BB18</f>
        <v>-11646.920448479592</v>
      </c>
      <c r="AW14" s="328">
        <f ca="1">'Income Statement'!BC18</f>
        <v>-12328.298763126275</v>
      </c>
      <c r="AX14" s="328">
        <f ca="1">'Income Statement'!BD18</f>
        <v>-12981.286314662681</v>
      </c>
      <c r="AY14" s="328">
        <f ca="1">'Income Statement'!BE18</f>
        <v>-13607.066051551734</v>
      </c>
      <c r="AZ14" s="328">
        <f ca="1">'Income Statement'!BF18</f>
        <v>-14206.77163273708</v>
      </c>
      <c r="BA14" s="328">
        <f ca="1">'Income Statement'!BG18</f>
        <v>-14781.489481373035</v>
      </c>
      <c r="BB14" s="328">
        <f ca="1">'Income Statement'!BH18</f>
        <v>-15332.260752982493</v>
      </c>
      <c r="BC14" s="328">
        <f ca="1">'Income Statement'!BI18</f>
        <v>-15860.083221608222</v>
      </c>
      <c r="BD14" s="328">
        <f ca="1">'Income Statement'!BJ18</f>
        <v>-16365.913087374543</v>
      </c>
      <c r="BE14" s="328">
        <f ca="1">'Income Statement'!BK18</f>
        <v>-16850.666708733937</v>
      </c>
      <c r="BF14" s="328">
        <f ca="1">'Income Statement'!BL18</f>
        <v>-17315.222262536689</v>
      </c>
      <c r="BG14" s="328">
        <f ca="1">'Income Statement'!BM18</f>
        <v>-17760.421334930994</v>
      </c>
      <c r="BH14" s="328">
        <f ca="1">'Income Statement'!BN18</f>
        <v>-18187.07044597554</v>
      </c>
      <c r="BI14" s="328">
        <f ca="1">'Income Statement'!BO18</f>
        <v>-18595.94251072656</v>
      </c>
      <c r="BJ14" s="328">
        <f ca="1">'Income Statement'!BP18</f>
        <v>-18987.778239446288</v>
      </c>
      <c r="BK14" s="328">
        <f ca="1">'Income Statement'!BQ18</f>
        <v>-19363.28747946936</v>
      </c>
      <c r="IR14" s="327"/>
    </row>
    <row r="15" spans="1:252">
      <c r="B15" s="329" t="str">
        <f>'Income Statement'!E19</f>
        <v>Profit before tax</v>
      </c>
      <c r="C15" s="330"/>
      <c r="D15" s="331">
        <f ca="1">'Income Statement'!J19</f>
        <v>-52200</v>
      </c>
      <c r="E15" s="331">
        <f ca="1">'Income Statement'!K19</f>
        <v>-61094.922509135882</v>
      </c>
      <c r="F15" s="331">
        <f ca="1">'Income Statement'!L19</f>
        <v>-61494.007286354456</v>
      </c>
      <c r="G15" s="331">
        <f ca="1">'Income Statement'!M19</f>
        <v>-63031.773880781344</v>
      </c>
      <c r="H15" s="331">
        <f ca="1">'Income Statement'!N19</f>
        <v>-63507.064258770806</v>
      </c>
      <c r="I15" s="331">
        <f ca="1">'Income Statement'!O19</f>
        <v>-63997.441834619625</v>
      </c>
      <c r="J15" s="331">
        <f ca="1">'Income Statement'!P19</f>
        <v>-65660.97773928431</v>
      </c>
      <c r="K15" s="331">
        <f ca="1">'Income Statement'!Q19</f>
        <v>-24321.348835997043</v>
      </c>
      <c r="L15" s="331">
        <f ca="1">'Income Statement'!R19</f>
        <v>-15882.217267025513</v>
      </c>
      <c r="M15" s="331">
        <f ca="1">'Income Statement'!S19</f>
        <v>-17008.448002472891</v>
      </c>
      <c r="N15" s="331">
        <f ca="1">'Income Statement'!T19</f>
        <v>-17597.403194166698</v>
      </c>
      <c r="O15" s="331">
        <f ca="1">'Income Statement'!U19</f>
        <v>-18297.201360750489</v>
      </c>
      <c r="P15" s="331">
        <f ca="1">'Income Statement'!V19</f>
        <v>-20156.887884822543</v>
      </c>
      <c r="Q15" s="331">
        <f ca="1">'Income Statement'!W19</f>
        <v>23650.313819738854</v>
      </c>
      <c r="R15" s="331">
        <f ca="1">'Income Statement'!X19</f>
        <v>29788.603019995971</v>
      </c>
      <c r="S15" s="331">
        <f ca="1">'Income Statement'!Y19</f>
        <v>27710.91651469022</v>
      </c>
      <c r="T15" s="331">
        <f ca="1">'Income Statement'!Z19</f>
        <v>26777.792370334446</v>
      </c>
      <c r="U15" s="331">
        <f ca="1">'Income Statement'!AA19</f>
        <v>17355.566394912945</v>
      </c>
      <c r="V15" s="331">
        <f ca="1">'Income Statement'!AB19</f>
        <v>15103.729381180068</v>
      </c>
      <c r="W15" s="331">
        <f ca="1">'Income Statement'!AC19</f>
        <v>74047.460609456815</v>
      </c>
      <c r="X15" s="331">
        <f ca="1">'Income Statement'!AD19</f>
        <v>72859.748036376041</v>
      </c>
      <c r="Y15" s="331">
        <f ca="1">'Income Statement'!AE19</f>
        <v>61874.363659130257</v>
      </c>
      <c r="Z15" s="331">
        <f ca="1">'Income Statement'!AF19</f>
        <v>60718.055212011917</v>
      </c>
      <c r="AA15" s="331">
        <f ca="1">'Income Statement'!AG19</f>
        <v>119327.61703632753</v>
      </c>
      <c r="AB15" s="331">
        <f ca="1">'Income Statement'!AH19</f>
        <v>95702.704266888701</v>
      </c>
      <c r="AC15" s="331">
        <f ca="1">'Income Statement'!AI19</f>
        <v>100129.06079373733</v>
      </c>
      <c r="AD15" s="331">
        <f ca="1">'Income Statement'!AJ19</f>
        <v>96433.22930358116</v>
      </c>
      <c r="AE15" s="331">
        <f ca="1">'Income Statement'!AK19</f>
        <v>160088.3981206858</v>
      </c>
      <c r="AF15" s="331">
        <f ca="1">'Income Statement'!AL19</f>
        <v>165344.59242531555</v>
      </c>
      <c r="AG15" s="331">
        <f ca="1">'Income Statement'!AM19</f>
        <v>162543.42356098644</v>
      </c>
      <c r="AH15" s="331">
        <f ca="1">'Income Statement'!AN19</f>
        <v>227093.62664866794</v>
      </c>
      <c r="AI15" s="331">
        <f ca="1">'Income Statement'!AO19</f>
        <v>233448.85917331133</v>
      </c>
      <c r="AJ15" s="331">
        <f ca="1">'Income Statement'!AP19</f>
        <v>291550.12350402592</v>
      </c>
      <c r="AK15" s="331">
        <f ca="1">'Income Statement'!AQ19</f>
        <v>297159.85231827392</v>
      </c>
      <c r="AL15" s="331">
        <f ca="1">'Income Statement'!AR19</f>
        <v>296512.53582066693</v>
      </c>
      <c r="AM15" s="331">
        <f ca="1">'Income Statement'!AS19</f>
        <v>364345.4135620718</v>
      </c>
      <c r="AN15" s="331">
        <f ca="1">'Income Statement'!AT19</f>
        <v>362944.49961420143</v>
      </c>
      <c r="AO15" s="331">
        <f ca="1">'Income Statement'!AU19</f>
        <v>363238.07954683219</v>
      </c>
      <c r="AP15" s="331">
        <f ca="1">'Income Statement'!AV19</f>
        <v>432750.28218690294</v>
      </c>
      <c r="AQ15" s="331">
        <f ca="1">'Income Statement'!AW19</f>
        <v>432683.23392078257</v>
      </c>
      <c r="AR15" s="331">
        <f ca="1">'Income Statement'!AX19</f>
        <v>494681.26609982678</v>
      </c>
      <c r="AS15" s="331">
        <f ca="1">'Income Statement'!AY19</f>
        <v>505990.45287062874</v>
      </c>
      <c r="AT15" s="331">
        <f ca="1">'Income Statement'!AZ19</f>
        <v>567749.38851501537</v>
      </c>
      <c r="AU15" s="331">
        <f ca="1">'Income Statement'!BA19</f>
        <v>631951.77982198074</v>
      </c>
      <c r="AV15" s="331">
        <f ca="1">'Income Statement'!BB19</f>
        <v>636598.96079096745</v>
      </c>
      <c r="AW15" s="331">
        <f ca="1">'Income Statement'!BC19</f>
        <v>700573.79879557947</v>
      </c>
      <c r="AX15" s="331">
        <f ca="1">'Income Statement'!BD19</f>
        <v>767763.62462427164</v>
      </c>
      <c r="AY15" s="331">
        <f ca="1">'Income Statement'!BE19</f>
        <v>774920.35997973848</v>
      </c>
      <c r="AZ15" s="331">
        <f ca="1">'Income Statement'!BF19</f>
        <v>836417.26919253462</v>
      </c>
      <c r="BA15" s="331">
        <f ca="1">'Income Statement'!BG19</f>
        <v>911203.16196627868</v>
      </c>
      <c r="BB15" s="331">
        <f ca="1">'Income Statement'!BH19</f>
        <v>987749.29445674003</v>
      </c>
      <c r="BC15" s="331">
        <f ca="1">'Income Statement'!BI19</f>
        <v>1063760.7066143677</v>
      </c>
      <c r="BD15" s="331">
        <f ca="1">'Income Statement'!BJ19</f>
        <v>1142936.1117475142</v>
      </c>
      <c r="BE15" s="331">
        <f ca="1">'Income Statement'!BK19</f>
        <v>1224200.0733092846</v>
      </c>
      <c r="BF15" s="331">
        <f ca="1">'Income Statement'!BL19</f>
        <v>1305086.6695995503</v>
      </c>
      <c r="BG15" s="331">
        <f ca="1">'Income Statement'!BM19</f>
        <v>1389953.8586040041</v>
      </c>
      <c r="BH15" s="331">
        <f ca="1">'Income Statement'!BN19</f>
        <v>1476417.6211554634</v>
      </c>
      <c r="BI15" s="331">
        <f ca="1">'Income Statement'!BO19</f>
        <v>1563140.072991644</v>
      </c>
      <c r="BJ15" s="331">
        <f ca="1">'Income Statement'!BP19</f>
        <v>1655075.7890578238</v>
      </c>
      <c r="BK15" s="331">
        <f ca="1">'Income Statement'!BQ19</f>
        <v>1747758.0793664895</v>
      </c>
      <c r="IR15" s="327"/>
    </row>
    <row r="16" spans="1:252">
      <c r="C16" s="324"/>
      <c r="D16" s="328"/>
      <c r="E16" s="328"/>
      <c r="F16" s="328"/>
      <c r="G16" s="328"/>
      <c r="H16" s="328"/>
      <c r="I16" s="328"/>
      <c r="J16" s="328"/>
      <c r="K16" s="328"/>
      <c r="L16" s="328"/>
      <c r="M16" s="328"/>
      <c r="N16" s="328"/>
      <c r="O16" s="328"/>
      <c r="P16" s="328"/>
      <c r="Q16" s="328"/>
      <c r="R16" s="328"/>
      <c r="S16" s="328"/>
      <c r="T16" s="328"/>
      <c r="U16" s="328"/>
      <c r="V16" s="328"/>
      <c r="W16" s="328"/>
      <c r="X16" s="328"/>
      <c r="Y16" s="328"/>
      <c r="Z16" s="328"/>
      <c r="AA16" s="328"/>
      <c r="AB16" s="328"/>
      <c r="AC16" s="328"/>
      <c r="AD16" s="328"/>
      <c r="AE16" s="328"/>
      <c r="AF16" s="328"/>
      <c r="AG16" s="328"/>
      <c r="AH16" s="328"/>
      <c r="AI16" s="328"/>
      <c r="AJ16" s="328"/>
      <c r="AK16" s="328"/>
      <c r="AL16" s="328"/>
      <c r="AM16" s="328"/>
      <c r="AN16" s="328"/>
      <c r="AO16" s="328"/>
      <c r="AP16" s="328"/>
      <c r="AQ16" s="328"/>
      <c r="AR16" s="328"/>
      <c r="AS16" s="328"/>
      <c r="AT16" s="328"/>
      <c r="AU16" s="328"/>
      <c r="AV16" s="328"/>
      <c r="AW16" s="328"/>
      <c r="AX16" s="328"/>
      <c r="AY16" s="328"/>
      <c r="AZ16" s="328"/>
      <c r="BA16" s="328"/>
      <c r="BB16" s="328"/>
      <c r="BC16" s="328"/>
      <c r="BD16" s="328"/>
      <c r="BE16" s="328"/>
      <c r="BF16" s="328"/>
      <c r="BG16" s="328"/>
      <c r="BH16" s="328"/>
      <c r="BI16" s="328"/>
      <c r="BJ16" s="328"/>
      <c r="BK16" s="328"/>
      <c r="IR16" s="327"/>
    </row>
    <row r="17" spans="1:252">
      <c r="B17" s="327" t="str">
        <f>'Income Statement'!E21</f>
        <v xml:space="preserve">Corporation tax </v>
      </c>
      <c r="C17" s="324"/>
      <c r="D17" s="328">
        <f ca="1">'Income Statement'!J21</f>
        <v>0</v>
      </c>
      <c r="E17" s="328">
        <f ca="1">'Income Statement'!K21</f>
        <v>0</v>
      </c>
      <c r="F17" s="328">
        <f ca="1">'Income Statement'!L21</f>
        <v>0</v>
      </c>
      <c r="G17" s="328">
        <f ca="1">'Income Statement'!M21</f>
        <v>0</v>
      </c>
      <c r="H17" s="328">
        <f ca="1">'Income Statement'!N21</f>
        <v>0</v>
      </c>
      <c r="I17" s="328">
        <f ca="1">'Income Statement'!O21</f>
        <v>0</v>
      </c>
      <c r="J17" s="328">
        <f ca="1">'Income Statement'!P21</f>
        <v>0</v>
      </c>
      <c r="K17" s="328">
        <f ca="1">'Income Statement'!Q21</f>
        <v>0</v>
      </c>
      <c r="L17" s="328">
        <f ca="1">'Income Statement'!R21</f>
        <v>0</v>
      </c>
      <c r="M17" s="328">
        <f ca="1">'Income Statement'!S21</f>
        <v>0</v>
      </c>
      <c r="N17" s="328">
        <f ca="1">'Income Statement'!T21</f>
        <v>0</v>
      </c>
      <c r="O17" s="328">
        <f ca="1">'Income Statement'!U21</f>
        <v>0</v>
      </c>
      <c r="P17" s="328">
        <f ca="1">'Income Statement'!V21</f>
        <v>0</v>
      </c>
      <c r="Q17" s="328">
        <f ca="1">'Income Statement'!W21</f>
        <v>0</v>
      </c>
      <c r="R17" s="328">
        <f ca="1">'Income Statement'!X21</f>
        <v>0</v>
      </c>
      <c r="S17" s="328">
        <f ca="1">'Income Statement'!Y21</f>
        <v>0</v>
      </c>
      <c r="T17" s="328">
        <f ca="1">'Income Statement'!Z21</f>
        <v>0</v>
      </c>
      <c r="U17" s="328">
        <f ca="1">'Income Statement'!AA21</f>
        <v>0</v>
      </c>
      <c r="V17" s="328">
        <f ca="1">'Income Statement'!AB21</f>
        <v>0</v>
      </c>
      <c r="W17" s="328">
        <f ca="1">'Income Statement'!AC21</f>
        <v>-13325.975932297117</v>
      </c>
      <c r="X17" s="328">
        <f ca="1">'Income Statement'!AD21</f>
        <v>-21021.989677230562</v>
      </c>
      <c r="Y17" s="328">
        <f ca="1">'Income Statement'!AE21</f>
        <v>-20490.883354422156</v>
      </c>
      <c r="Z17" s="328">
        <f ca="1">'Income Statement'!AF21</f>
        <v>-20225.274000168094</v>
      </c>
      <c r="AA17" s="328">
        <f ca="1">'Income Statement'!AG21</f>
        <v>-31914.269852902089</v>
      </c>
      <c r="AB17" s="328">
        <f ca="1">'Income Statement'!AH21</f>
        <v>-28849.408974890575</v>
      </c>
      <c r="AC17" s="328">
        <f ca="1">'Income Statement'!AI21</f>
        <v>-29548.8941085306</v>
      </c>
      <c r="AD17" s="328">
        <f ca="1">'Income Statement'!AJ21</f>
        <v>-30308.430054979995</v>
      </c>
      <c r="AE17" s="328">
        <f ca="1">'Income Statement'!AK21</f>
        <v>-42829.304598621027</v>
      </c>
      <c r="AF17" s="328">
        <f ca="1">'Income Statement'!AL21</f>
        <v>-43662.389178762212</v>
      </c>
      <c r="AG17" s="328">
        <f ca="1">'Income Statement'!AM21</f>
        <v>-44566.990079317504</v>
      </c>
      <c r="AH17" s="328">
        <f ca="1">'Income Statement'!AN21</f>
        <v>-57231.453636732433</v>
      </c>
      <c r="AI17" s="328">
        <f ca="1">'Income Statement'!AO21</f>
        <v>-58247.205830436411</v>
      </c>
      <c r="AJ17" s="328">
        <f ca="1">'Income Statement'!AP21</f>
        <v>-71293.725187364471</v>
      </c>
      <c r="AK17" s="328">
        <f ca="1">'Income Statement'!AQ21</f>
        <v>-72129.207103245135</v>
      </c>
      <c r="AL17" s="328">
        <f ca="1">'Income Statement'!AR21</f>
        <v>-73393.124562844983</v>
      </c>
      <c r="AM17" s="328">
        <f ca="1">'Income Statement'!AS21</f>
        <v>-86640.323771532698</v>
      </c>
      <c r="AN17" s="328">
        <f ca="1">'Income Statement'!AT21</f>
        <v>-87719.19973925181</v>
      </c>
      <c r="AO17" s="328">
        <f ca="1">'Income Statement'!AU21</f>
        <v>-89113.520177875602</v>
      </c>
      <c r="AP17" s="328">
        <f ca="1">'Income Statement'!AV21</f>
        <v>-102634.90497599352</v>
      </c>
      <c r="AQ17" s="328">
        <f ca="1">'Income Statement'!AW21</f>
        <v>-103916.95667452467</v>
      </c>
      <c r="AR17" s="328">
        <f ca="1">'Income Statement'!AX21</f>
        <v>-117585.30892864661</v>
      </c>
      <c r="AS17" s="328">
        <f ca="1">'Income Statement'!AY21</f>
        <v>-119396.59444418363</v>
      </c>
      <c r="AT17" s="328">
        <f ca="1">'Income Statement'!AZ21</f>
        <v>-132971.3282162945</v>
      </c>
      <c r="AU17" s="328">
        <f ca="1">'Income Statement'!BA21</f>
        <v>-147004.67299223272</v>
      </c>
      <c r="AV17" s="328">
        <f ca="1">'Income Statement'!BB21</f>
        <v>-149096.56519409982</v>
      </c>
      <c r="AW17" s="328">
        <f ca="1">'Income Statement'!BC21</f>
        <v>-163021.2916250077</v>
      </c>
      <c r="AX17" s="328">
        <f ca="1">'Income Statement'!BD21</f>
        <v>-177555.17665143817</v>
      </c>
      <c r="AY17" s="328">
        <f ca="1">'Income Statement'!BE21</f>
        <v>-180050.10292481119</v>
      </c>
      <c r="AZ17" s="328">
        <f ca="1">'Income Statement'!BF21</f>
        <v>-193376.3527694286</v>
      </c>
      <c r="BA17" s="328">
        <f ca="1">'Income Statement'!BG21</f>
        <v>-209191.85585764539</v>
      </c>
      <c r="BB17" s="328">
        <f ca="1">'Income Statement'!BH21</f>
        <v>-225311.29798430266</v>
      </c>
      <c r="BC17" s="328">
        <f ca="1">'Income Statement'!BI21</f>
        <v>-241274.78657107113</v>
      </c>
      <c r="BD17" s="328">
        <f ca="1">'Income Statement'!BJ21</f>
        <v>-257818.03944107529</v>
      </c>
      <c r="BE17" s="328">
        <f ca="1">'Income Statement'!BK21</f>
        <v>-274723.2056710521</v>
      </c>
      <c r="BF17" s="328">
        <f ca="1">'Income Statement'!BL21</f>
        <v>-291495.96658770321</v>
      </c>
      <c r="BG17" s="328">
        <f ca="1">'Income Statement'!BM21</f>
        <v>-309003.06182185881</v>
      </c>
      <c r="BH17" s="328">
        <f ca="1">'Income Statement'!BN21</f>
        <v>-326766.37811538746</v>
      </c>
      <c r="BI17" s="328">
        <f ca="1">'Income Statement'!BO21</f>
        <v>-344512.46420156094</v>
      </c>
      <c r="BJ17" s="328">
        <f ca="1">'Income Statement'!BP21</f>
        <v>-363228.79919789708</v>
      </c>
      <c r="BK17" s="328">
        <f ca="1">'Income Statement'!BQ21</f>
        <v>-382025.20310165611</v>
      </c>
      <c r="IR17" s="327"/>
    </row>
    <row r="18" spans="1:252">
      <c r="B18" s="329" t="str">
        <f>'Income Statement'!E22</f>
        <v>Retained Earnings this period</v>
      </c>
      <c r="C18" s="330"/>
      <c r="D18" s="331">
        <f ca="1">'Income Statement'!J22</f>
        <v>-52200</v>
      </c>
      <c r="E18" s="331">
        <f ca="1">'Income Statement'!K22</f>
        <v>-61094.922509135882</v>
      </c>
      <c r="F18" s="331">
        <f ca="1">'Income Statement'!L22</f>
        <v>-61494.007286354456</v>
      </c>
      <c r="G18" s="331">
        <f ca="1">'Income Statement'!M22</f>
        <v>-63031.773880781344</v>
      </c>
      <c r="H18" s="331">
        <f ca="1">'Income Statement'!N22</f>
        <v>-63507.064258770806</v>
      </c>
      <c r="I18" s="331">
        <f ca="1">'Income Statement'!O22</f>
        <v>-63997.441834619625</v>
      </c>
      <c r="J18" s="331">
        <f ca="1">'Income Statement'!P22</f>
        <v>-65660.97773928431</v>
      </c>
      <c r="K18" s="331">
        <f ca="1">'Income Statement'!Q22</f>
        <v>-24321.348835997043</v>
      </c>
      <c r="L18" s="331">
        <f ca="1">'Income Statement'!R22</f>
        <v>-15882.217267025513</v>
      </c>
      <c r="M18" s="331">
        <f ca="1">'Income Statement'!S22</f>
        <v>-17008.448002472891</v>
      </c>
      <c r="N18" s="331">
        <f ca="1">'Income Statement'!T22</f>
        <v>-17597.403194166698</v>
      </c>
      <c r="O18" s="331">
        <f ca="1">'Income Statement'!U22</f>
        <v>-18297.201360750489</v>
      </c>
      <c r="P18" s="331">
        <f ca="1">'Income Statement'!V22</f>
        <v>-20156.887884822543</v>
      </c>
      <c r="Q18" s="331">
        <f ca="1">'Income Statement'!W22</f>
        <v>23650.313819738854</v>
      </c>
      <c r="R18" s="331">
        <f ca="1">'Income Statement'!X22</f>
        <v>29788.603019995971</v>
      </c>
      <c r="S18" s="331">
        <f ca="1">'Income Statement'!Y22</f>
        <v>27710.91651469022</v>
      </c>
      <c r="T18" s="331">
        <f ca="1">'Income Statement'!Z22</f>
        <v>26777.792370334446</v>
      </c>
      <c r="U18" s="331">
        <f ca="1">'Income Statement'!AA22</f>
        <v>17355.566394912945</v>
      </c>
      <c r="V18" s="331">
        <f ca="1">'Income Statement'!AB22</f>
        <v>15103.729381180068</v>
      </c>
      <c r="W18" s="331">
        <f ca="1">'Income Statement'!AC22</f>
        <v>60721.4846771597</v>
      </c>
      <c r="X18" s="331">
        <f ca="1">'Income Statement'!AD22</f>
        <v>51837.758359145475</v>
      </c>
      <c r="Y18" s="331">
        <f ca="1">'Income Statement'!AE22</f>
        <v>41383.4803047081</v>
      </c>
      <c r="Z18" s="331">
        <f ca="1">'Income Statement'!AF22</f>
        <v>40492.781211843823</v>
      </c>
      <c r="AA18" s="331">
        <f ca="1">'Income Statement'!AG22</f>
        <v>87413.347183425445</v>
      </c>
      <c r="AB18" s="331">
        <f ca="1">'Income Statement'!AH22</f>
        <v>66853.295291998133</v>
      </c>
      <c r="AC18" s="331">
        <f ca="1">'Income Statement'!AI22</f>
        <v>70580.166685206728</v>
      </c>
      <c r="AD18" s="331">
        <f ca="1">'Income Statement'!AJ22</f>
        <v>66124.799248601164</v>
      </c>
      <c r="AE18" s="331">
        <f ca="1">'Income Statement'!AK22</f>
        <v>117259.09352206477</v>
      </c>
      <c r="AF18" s="331">
        <f ca="1">'Income Statement'!AL22</f>
        <v>121682.20324655334</v>
      </c>
      <c r="AG18" s="331">
        <f ca="1">'Income Statement'!AM22</f>
        <v>117976.43348166894</v>
      </c>
      <c r="AH18" s="331">
        <f ca="1">'Income Statement'!AN22</f>
        <v>169862.17301193549</v>
      </c>
      <c r="AI18" s="331">
        <f ca="1">'Income Statement'!AO22</f>
        <v>175201.65334287492</v>
      </c>
      <c r="AJ18" s="331">
        <f ca="1">'Income Statement'!AP22</f>
        <v>220256.39831666145</v>
      </c>
      <c r="AK18" s="331">
        <f ca="1">'Income Statement'!AQ22</f>
        <v>225030.64521502878</v>
      </c>
      <c r="AL18" s="331">
        <f ca="1">'Income Statement'!AR22</f>
        <v>223119.41125782195</v>
      </c>
      <c r="AM18" s="331">
        <f ca="1">'Income Statement'!AS22</f>
        <v>277705.08979053912</v>
      </c>
      <c r="AN18" s="331">
        <f ca="1">'Income Statement'!AT22</f>
        <v>275225.29987494962</v>
      </c>
      <c r="AO18" s="331">
        <f ca="1">'Income Statement'!AU22</f>
        <v>274124.5593689566</v>
      </c>
      <c r="AP18" s="331">
        <f ca="1">'Income Statement'!AV22</f>
        <v>330115.37721090944</v>
      </c>
      <c r="AQ18" s="331">
        <f ca="1">'Income Statement'!AW22</f>
        <v>328766.27724625787</v>
      </c>
      <c r="AR18" s="331">
        <f ca="1">'Income Statement'!AX22</f>
        <v>377095.95717118017</v>
      </c>
      <c r="AS18" s="331">
        <f ca="1">'Income Statement'!AY22</f>
        <v>386593.85842644511</v>
      </c>
      <c r="AT18" s="331">
        <f ca="1">'Income Statement'!AZ22</f>
        <v>434778.06029872084</v>
      </c>
      <c r="AU18" s="331">
        <f ca="1">'Income Statement'!BA22</f>
        <v>484947.10682974802</v>
      </c>
      <c r="AV18" s="331">
        <f ca="1">'Income Statement'!BB22</f>
        <v>487502.39559686766</v>
      </c>
      <c r="AW18" s="331">
        <f ca="1">'Income Statement'!BC22</f>
        <v>537552.50717057171</v>
      </c>
      <c r="AX18" s="331">
        <f ca="1">'Income Statement'!BD22</f>
        <v>590208.44797283341</v>
      </c>
      <c r="AY18" s="331">
        <f ca="1">'Income Statement'!BE22</f>
        <v>594870.25705492729</v>
      </c>
      <c r="AZ18" s="331">
        <f ca="1">'Income Statement'!BF22</f>
        <v>643040.91642310598</v>
      </c>
      <c r="BA18" s="331">
        <f ca="1">'Income Statement'!BG22</f>
        <v>702011.30610863329</v>
      </c>
      <c r="BB18" s="331">
        <f ca="1">'Income Statement'!BH22</f>
        <v>762437.9964724374</v>
      </c>
      <c r="BC18" s="331">
        <f ca="1">'Income Statement'!BI22</f>
        <v>822485.92004329653</v>
      </c>
      <c r="BD18" s="331">
        <f ca="1">'Income Statement'!BJ22</f>
        <v>885118.07230643893</v>
      </c>
      <c r="BE18" s="331">
        <f ca="1">'Income Statement'!BK22</f>
        <v>949476.86763823254</v>
      </c>
      <c r="BF18" s="331">
        <f ca="1">'Income Statement'!BL22</f>
        <v>1013590.7030118471</v>
      </c>
      <c r="BG18" s="331">
        <f ca="1">'Income Statement'!BM22</f>
        <v>1080950.7967821453</v>
      </c>
      <c r="BH18" s="331">
        <f ca="1">'Income Statement'!BN22</f>
        <v>1149651.243040076</v>
      </c>
      <c r="BI18" s="331">
        <f ca="1">'Income Statement'!BO22</f>
        <v>1218627.6087900831</v>
      </c>
      <c r="BJ18" s="331">
        <f ca="1">'Income Statement'!BP22</f>
        <v>1291846.9898599267</v>
      </c>
      <c r="BK18" s="331">
        <f ca="1">'Income Statement'!BQ22</f>
        <v>1365732.8762648334</v>
      </c>
      <c r="IR18" s="327"/>
    </row>
    <row r="19" spans="1:252">
      <c r="C19" s="324"/>
      <c r="D19" s="328"/>
      <c r="E19" s="328"/>
      <c r="F19" s="328"/>
      <c r="G19" s="328"/>
      <c r="H19" s="328"/>
      <c r="I19" s="328"/>
      <c r="J19" s="328"/>
      <c r="K19" s="328"/>
      <c r="L19" s="328"/>
      <c r="M19" s="328"/>
      <c r="N19" s="328"/>
      <c r="O19" s="328"/>
      <c r="P19" s="328"/>
      <c r="Q19" s="328"/>
      <c r="R19" s="328"/>
      <c r="S19" s="328"/>
      <c r="T19" s="328"/>
      <c r="U19" s="328"/>
      <c r="V19" s="328"/>
      <c r="W19" s="328"/>
      <c r="X19" s="328"/>
      <c r="Y19" s="328"/>
      <c r="Z19" s="328"/>
      <c r="AA19" s="328"/>
      <c r="AB19" s="328"/>
      <c r="AC19" s="328"/>
      <c r="AD19" s="328"/>
      <c r="AE19" s="328"/>
      <c r="AF19" s="328"/>
      <c r="AG19" s="328"/>
      <c r="AH19" s="328"/>
      <c r="AI19" s="328"/>
      <c r="AJ19" s="328"/>
      <c r="AK19" s="328"/>
      <c r="AL19" s="328"/>
      <c r="AM19" s="328"/>
      <c r="AN19" s="328"/>
      <c r="AO19" s="328"/>
      <c r="AP19" s="328"/>
      <c r="AQ19" s="328"/>
      <c r="AR19" s="328"/>
      <c r="AS19" s="328"/>
      <c r="AT19" s="328"/>
      <c r="AU19" s="328"/>
      <c r="AV19" s="328"/>
      <c r="AW19" s="328"/>
      <c r="AX19" s="328"/>
      <c r="AY19" s="328"/>
      <c r="AZ19" s="328"/>
      <c r="BA19" s="328"/>
      <c r="BB19" s="328"/>
      <c r="BC19" s="328"/>
      <c r="BD19" s="328"/>
      <c r="BE19" s="328"/>
      <c r="BF19" s="328"/>
      <c r="BG19" s="328"/>
      <c r="BH19" s="328"/>
      <c r="BI19" s="328"/>
      <c r="BJ19" s="328"/>
      <c r="BK19" s="328"/>
      <c r="IR19" s="327"/>
    </row>
    <row r="20" spans="1:252" s="326" customFormat="1">
      <c r="A20" s="323"/>
      <c r="B20" s="323"/>
      <c r="C20" s="324"/>
      <c r="D20" s="333"/>
      <c r="E20" s="333"/>
      <c r="F20" s="333"/>
      <c r="G20" s="333"/>
      <c r="H20" s="333"/>
      <c r="I20" s="333"/>
      <c r="J20" s="333"/>
      <c r="K20" s="333"/>
      <c r="L20" s="333"/>
      <c r="M20" s="333"/>
      <c r="N20" s="333"/>
      <c r="O20" s="333"/>
      <c r="P20" s="333"/>
      <c r="Q20" s="333"/>
      <c r="R20" s="333"/>
      <c r="S20" s="333"/>
      <c r="T20" s="333"/>
      <c r="U20" s="333"/>
      <c r="V20" s="333"/>
      <c r="W20" s="333"/>
      <c r="X20" s="333"/>
      <c r="Y20" s="333"/>
      <c r="Z20" s="333"/>
      <c r="AA20" s="333"/>
      <c r="AB20" s="333"/>
      <c r="AC20" s="333"/>
      <c r="AD20" s="333"/>
      <c r="AE20" s="333"/>
      <c r="AF20" s="333"/>
      <c r="AG20" s="333"/>
      <c r="AH20" s="333"/>
      <c r="AI20" s="333"/>
      <c r="AJ20" s="333"/>
      <c r="AK20" s="333"/>
      <c r="AL20" s="333"/>
      <c r="AM20" s="333"/>
      <c r="AN20" s="333"/>
      <c r="AO20" s="333"/>
      <c r="AP20" s="333"/>
      <c r="AQ20" s="333"/>
      <c r="AR20" s="333"/>
      <c r="AS20" s="333"/>
      <c r="AT20" s="333"/>
      <c r="AU20" s="333"/>
      <c r="AV20" s="333"/>
      <c r="AW20" s="333"/>
      <c r="AX20" s="333"/>
      <c r="AY20" s="333"/>
      <c r="AZ20" s="333"/>
      <c r="BA20" s="333"/>
      <c r="BB20" s="333"/>
      <c r="BC20" s="333"/>
      <c r="BD20" s="333"/>
      <c r="BE20" s="333"/>
      <c r="BF20" s="333"/>
      <c r="BG20" s="333"/>
      <c r="BH20" s="333"/>
      <c r="BI20" s="333"/>
      <c r="BJ20" s="333"/>
      <c r="BK20" s="333"/>
      <c r="BL20" s="323"/>
      <c r="BM20" s="323"/>
      <c r="BN20" s="323"/>
      <c r="BO20" s="323"/>
      <c r="BP20" s="323"/>
      <c r="BQ20" s="323"/>
      <c r="BR20" s="323"/>
      <c r="BS20" s="323"/>
      <c r="BT20" s="323"/>
      <c r="BU20" s="323"/>
      <c r="BV20" s="323"/>
      <c r="BW20" s="323"/>
      <c r="BX20" s="323"/>
      <c r="BY20" s="323"/>
      <c r="BZ20" s="323"/>
      <c r="CA20" s="323"/>
      <c r="CB20" s="323"/>
      <c r="CC20" s="323"/>
      <c r="CD20" s="323"/>
      <c r="CE20" s="323"/>
      <c r="CF20" s="323"/>
      <c r="CG20" s="323"/>
      <c r="CH20" s="323"/>
      <c r="CI20" s="323"/>
      <c r="CJ20" s="323"/>
      <c r="CK20" s="323"/>
      <c r="CL20" s="323"/>
      <c r="CM20" s="323"/>
      <c r="CN20" s="323"/>
      <c r="CO20" s="323"/>
      <c r="CP20" s="323"/>
      <c r="CQ20" s="323"/>
      <c r="CR20" s="323"/>
      <c r="CS20" s="323"/>
      <c r="CT20" s="323"/>
      <c r="CU20" s="323"/>
      <c r="CV20" s="323"/>
      <c r="CW20" s="323"/>
      <c r="CX20" s="323"/>
      <c r="CY20" s="323"/>
      <c r="CZ20" s="323"/>
      <c r="DA20" s="323"/>
      <c r="DB20" s="323"/>
      <c r="DC20" s="323"/>
      <c r="DD20" s="323"/>
      <c r="DE20" s="323"/>
      <c r="DF20" s="323"/>
      <c r="DG20" s="323"/>
      <c r="DH20" s="323"/>
      <c r="DI20" s="323"/>
      <c r="DJ20" s="323"/>
      <c r="DK20" s="323"/>
      <c r="DL20" s="323"/>
      <c r="DM20" s="323"/>
      <c r="DN20" s="323"/>
      <c r="DO20" s="323"/>
      <c r="DP20" s="323"/>
      <c r="DQ20" s="323"/>
      <c r="DR20" s="323"/>
      <c r="DS20" s="323"/>
      <c r="DT20" s="323"/>
      <c r="DU20" s="323"/>
      <c r="DV20" s="323"/>
      <c r="DW20" s="323"/>
      <c r="DX20" s="323"/>
      <c r="DY20" s="323"/>
      <c r="DZ20" s="323"/>
      <c r="EA20" s="323"/>
      <c r="EB20" s="323"/>
      <c r="EC20" s="323"/>
      <c r="ED20" s="323"/>
      <c r="EE20" s="323"/>
      <c r="EF20" s="323"/>
      <c r="EG20" s="323"/>
      <c r="EH20" s="323"/>
      <c r="EI20" s="323"/>
      <c r="EJ20" s="323"/>
      <c r="EK20" s="323"/>
      <c r="EL20" s="323"/>
      <c r="EM20" s="323"/>
      <c r="EN20" s="323"/>
      <c r="EO20" s="323"/>
      <c r="EP20" s="323"/>
      <c r="EQ20" s="323"/>
      <c r="ER20" s="323"/>
      <c r="ES20" s="323"/>
      <c r="ET20" s="323"/>
      <c r="EU20" s="323"/>
      <c r="EV20" s="323"/>
      <c r="EW20" s="323"/>
      <c r="EX20" s="323"/>
      <c r="EY20" s="323"/>
      <c r="EZ20" s="323"/>
      <c r="FA20" s="323"/>
      <c r="FB20" s="323"/>
      <c r="FC20" s="323"/>
      <c r="FD20" s="323"/>
      <c r="FE20" s="323"/>
      <c r="FF20" s="323"/>
      <c r="FG20" s="323"/>
      <c r="FH20" s="323"/>
      <c r="FI20" s="323"/>
      <c r="FJ20" s="323"/>
      <c r="FK20" s="323"/>
      <c r="FL20" s="323"/>
      <c r="FM20" s="323"/>
      <c r="FN20" s="323"/>
      <c r="FO20" s="323"/>
      <c r="FP20" s="323"/>
      <c r="FQ20" s="323"/>
      <c r="FR20" s="323"/>
      <c r="FS20" s="323"/>
      <c r="FT20" s="323"/>
      <c r="FU20" s="323"/>
      <c r="FV20" s="323"/>
      <c r="FW20" s="323"/>
      <c r="FX20" s="323"/>
      <c r="FY20" s="323"/>
      <c r="FZ20" s="323"/>
      <c r="GA20" s="323"/>
      <c r="GB20" s="323"/>
      <c r="GC20" s="323"/>
      <c r="GD20" s="323"/>
      <c r="GE20" s="323"/>
      <c r="GF20" s="323"/>
      <c r="GG20" s="323"/>
      <c r="GH20" s="323"/>
      <c r="GI20" s="323"/>
      <c r="GJ20" s="323"/>
      <c r="GK20" s="323"/>
      <c r="GL20" s="323"/>
      <c r="GM20" s="323"/>
      <c r="GN20" s="323"/>
      <c r="GO20" s="323"/>
      <c r="GP20" s="323"/>
      <c r="GQ20" s="323"/>
      <c r="GR20" s="323"/>
      <c r="GS20" s="323"/>
      <c r="GT20" s="323"/>
      <c r="GU20" s="323"/>
      <c r="GV20" s="323"/>
      <c r="GW20" s="323"/>
      <c r="GX20" s="323"/>
      <c r="GY20" s="323"/>
      <c r="GZ20" s="323"/>
      <c r="HA20" s="323"/>
      <c r="HB20" s="323"/>
      <c r="HC20" s="323"/>
      <c r="HD20" s="323"/>
      <c r="HE20" s="323"/>
      <c r="HF20" s="323"/>
      <c r="HG20" s="323"/>
      <c r="HH20" s="323"/>
      <c r="HI20" s="323"/>
      <c r="HJ20" s="323"/>
      <c r="HK20" s="323"/>
      <c r="HL20" s="323"/>
      <c r="HM20" s="323"/>
      <c r="HN20" s="323"/>
      <c r="HO20" s="323"/>
      <c r="HP20" s="323"/>
      <c r="HQ20" s="323"/>
      <c r="HR20" s="323"/>
      <c r="HS20" s="323"/>
      <c r="HT20" s="323"/>
      <c r="HU20" s="323"/>
      <c r="HV20" s="323"/>
      <c r="HW20" s="323"/>
      <c r="HX20" s="323"/>
      <c r="HY20" s="323"/>
      <c r="HZ20" s="323"/>
      <c r="IA20" s="323"/>
      <c r="IB20" s="323"/>
      <c r="IC20" s="323"/>
      <c r="ID20" s="323"/>
      <c r="IE20" s="323"/>
      <c r="IF20" s="323"/>
      <c r="IG20" s="323"/>
      <c r="IH20" s="323"/>
      <c r="II20" s="323"/>
      <c r="IJ20" s="323"/>
      <c r="IK20" s="323"/>
      <c r="IL20" s="323"/>
      <c r="IM20" s="323"/>
      <c r="IN20" s="323"/>
      <c r="IO20" s="323"/>
      <c r="IP20" s="323"/>
      <c r="IQ20" s="323"/>
      <c r="IR20" s="323"/>
    </row>
    <row r="21" spans="1:252">
      <c r="A21" s="338"/>
      <c r="B21" s="338" t="s">
        <v>345</v>
      </c>
      <c r="C21" s="324"/>
      <c r="D21" s="339">
        <f t="shared" ref="D21:AI21" si="0">D2</f>
        <v>45077</v>
      </c>
      <c r="E21" s="339">
        <f t="shared" si="0"/>
        <v>45107</v>
      </c>
      <c r="F21" s="339">
        <f t="shared" si="0"/>
        <v>45138</v>
      </c>
      <c r="G21" s="339">
        <f t="shared" si="0"/>
        <v>45169</v>
      </c>
      <c r="H21" s="339">
        <f t="shared" si="0"/>
        <v>45199</v>
      </c>
      <c r="I21" s="339">
        <f t="shared" si="0"/>
        <v>45230</v>
      </c>
      <c r="J21" s="339">
        <f t="shared" si="0"/>
        <v>45260</v>
      </c>
      <c r="K21" s="339">
        <f t="shared" si="0"/>
        <v>45291</v>
      </c>
      <c r="L21" s="339">
        <f t="shared" si="0"/>
        <v>45322</v>
      </c>
      <c r="M21" s="339">
        <f t="shared" si="0"/>
        <v>45351</v>
      </c>
      <c r="N21" s="339">
        <f t="shared" si="0"/>
        <v>45382</v>
      </c>
      <c r="O21" s="339">
        <f t="shared" si="0"/>
        <v>45412</v>
      </c>
      <c r="P21" s="339">
        <f t="shared" si="0"/>
        <v>45443</v>
      </c>
      <c r="Q21" s="339">
        <f t="shared" si="0"/>
        <v>45473</v>
      </c>
      <c r="R21" s="339">
        <f t="shared" si="0"/>
        <v>45504</v>
      </c>
      <c r="S21" s="339">
        <f t="shared" si="0"/>
        <v>45535</v>
      </c>
      <c r="T21" s="339">
        <f t="shared" si="0"/>
        <v>45565</v>
      </c>
      <c r="U21" s="339">
        <f t="shared" si="0"/>
        <v>45596</v>
      </c>
      <c r="V21" s="339">
        <f t="shared" si="0"/>
        <v>45626</v>
      </c>
      <c r="W21" s="339">
        <f t="shared" si="0"/>
        <v>45657</v>
      </c>
      <c r="X21" s="339">
        <f t="shared" si="0"/>
        <v>45688</v>
      </c>
      <c r="Y21" s="339">
        <f t="shared" si="0"/>
        <v>45716</v>
      </c>
      <c r="Z21" s="339">
        <f t="shared" si="0"/>
        <v>45747</v>
      </c>
      <c r="AA21" s="339">
        <f t="shared" si="0"/>
        <v>45777</v>
      </c>
      <c r="AB21" s="339">
        <f t="shared" si="0"/>
        <v>45808</v>
      </c>
      <c r="AC21" s="339">
        <f t="shared" si="0"/>
        <v>45838</v>
      </c>
      <c r="AD21" s="339">
        <f t="shared" si="0"/>
        <v>45869</v>
      </c>
      <c r="AE21" s="339">
        <f t="shared" si="0"/>
        <v>45900</v>
      </c>
      <c r="AF21" s="339">
        <f t="shared" si="0"/>
        <v>45930</v>
      </c>
      <c r="AG21" s="339">
        <f t="shared" si="0"/>
        <v>45961</v>
      </c>
      <c r="AH21" s="339">
        <f t="shared" si="0"/>
        <v>45991</v>
      </c>
      <c r="AI21" s="339">
        <f t="shared" si="0"/>
        <v>46022</v>
      </c>
      <c r="AJ21" s="339">
        <f t="shared" ref="AJ21:BK21" si="1">AJ2</f>
        <v>46053</v>
      </c>
      <c r="AK21" s="339">
        <f t="shared" si="1"/>
        <v>46081</v>
      </c>
      <c r="AL21" s="339">
        <f t="shared" si="1"/>
        <v>46112</v>
      </c>
      <c r="AM21" s="339">
        <f t="shared" si="1"/>
        <v>46142</v>
      </c>
      <c r="AN21" s="339">
        <f t="shared" si="1"/>
        <v>46173</v>
      </c>
      <c r="AO21" s="339">
        <f t="shared" si="1"/>
        <v>46203</v>
      </c>
      <c r="AP21" s="339">
        <f t="shared" si="1"/>
        <v>46234</v>
      </c>
      <c r="AQ21" s="339">
        <f t="shared" si="1"/>
        <v>46265</v>
      </c>
      <c r="AR21" s="339">
        <f t="shared" si="1"/>
        <v>46295</v>
      </c>
      <c r="AS21" s="339">
        <f t="shared" si="1"/>
        <v>46326</v>
      </c>
      <c r="AT21" s="339">
        <f t="shared" si="1"/>
        <v>46356</v>
      </c>
      <c r="AU21" s="339">
        <f t="shared" si="1"/>
        <v>46387</v>
      </c>
      <c r="AV21" s="339">
        <f t="shared" si="1"/>
        <v>46418</v>
      </c>
      <c r="AW21" s="339">
        <f t="shared" si="1"/>
        <v>46446</v>
      </c>
      <c r="AX21" s="339">
        <f t="shared" si="1"/>
        <v>46477</v>
      </c>
      <c r="AY21" s="339">
        <f t="shared" si="1"/>
        <v>46507</v>
      </c>
      <c r="AZ21" s="339">
        <f t="shared" si="1"/>
        <v>46538</v>
      </c>
      <c r="BA21" s="339">
        <f t="shared" si="1"/>
        <v>46568</v>
      </c>
      <c r="BB21" s="339">
        <f t="shared" si="1"/>
        <v>46599</v>
      </c>
      <c r="BC21" s="339">
        <f t="shared" si="1"/>
        <v>46630</v>
      </c>
      <c r="BD21" s="339">
        <f t="shared" si="1"/>
        <v>46660</v>
      </c>
      <c r="BE21" s="339">
        <f t="shared" si="1"/>
        <v>46691</v>
      </c>
      <c r="BF21" s="339">
        <f t="shared" si="1"/>
        <v>46721</v>
      </c>
      <c r="BG21" s="339">
        <f t="shared" si="1"/>
        <v>46752</v>
      </c>
      <c r="BH21" s="339">
        <f t="shared" si="1"/>
        <v>46783</v>
      </c>
      <c r="BI21" s="339">
        <f t="shared" si="1"/>
        <v>46812</v>
      </c>
      <c r="BJ21" s="339">
        <f t="shared" si="1"/>
        <v>46843</v>
      </c>
      <c r="BK21" s="339">
        <f t="shared" si="1"/>
        <v>46873</v>
      </c>
      <c r="BL21" s="338"/>
      <c r="BM21" s="338"/>
      <c r="BN21" s="338"/>
      <c r="BO21" s="338"/>
      <c r="BP21" s="338"/>
      <c r="BQ21" s="338"/>
      <c r="BR21" s="338"/>
      <c r="BS21" s="338"/>
      <c r="BT21" s="338"/>
      <c r="BU21" s="338"/>
      <c r="BV21" s="338"/>
      <c r="BW21" s="338"/>
      <c r="BX21" s="338"/>
      <c r="BY21" s="338"/>
      <c r="BZ21" s="338"/>
      <c r="CA21" s="338"/>
      <c r="CB21" s="338"/>
      <c r="CC21" s="338"/>
      <c r="CD21" s="338"/>
      <c r="CE21" s="338"/>
      <c r="CF21" s="338"/>
      <c r="CG21" s="338"/>
      <c r="CH21" s="338"/>
      <c r="CI21" s="338"/>
      <c r="CJ21" s="338"/>
      <c r="CK21" s="338"/>
      <c r="CL21" s="338"/>
      <c r="CM21" s="338"/>
      <c r="CN21" s="338"/>
      <c r="CO21" s="338"/>
      <c r="CP21" s="338"/>
      <c r="CQ21" s="338"/>
      <c r="CR21" s="338"/>
      <c r="CS21" s="338"/>
      <c r="CT21" s="338"/>
      <c r="CU21" s="338"/>
      <c r="CV21" s="338"/>
      <c r="CW21" s="338"/>
      <c r="CX21" s="338"/>
      <c r="CY21" s="338"/>
      <c r="CZ21" s="338"/>
      <c r="DA21" s="338"/>
      <c r="DB21" s="338"/>
      <c r="DC21" s="338"/>
      <c r="DD21" s="338"/>
      <c r="DE21" s="338"/>
      <c r="DF21" s="338"/>
      <c r="DG21" s="338"/>
      <c r="DH21" s="338"/>
      <c r="DI21" s="338"/>
      <c r="DJ21" s="338"/>
      <c r="DK21" s="338"/>
      <c r="DL21" s="338"/>
      <c r="DM21" s="338"/>
      <c r="DN21" s="338"/>
      <c r="DO21" s="338"/>
      <c r="DP21" s="338"/>
      <c r="DQ21" s="338"/>
      <c r="DR21" s="338"/>
      <c r="DS21" s="338"/>
      <c r="DT21" s="338"/>
      <c r="DU21" s="338"/>
      <c r="DV21" s="338"/>
      <c r="DW21" s="338"/>
      <c r="DX21" s="338"/>
      <c r="DY21" s="338"/>
      <c r="DZ21" s="338"/>
      <c r="EA21" s="338"/>
      <c r="EB21" s="338"/>
      <c r="EC21" s="338"/>
      <c r="ED21" s="338"/>
      <c r="EE21" s="338"/>
      <c r="EF21" s="338"/>
      <c r="EG21" s="338"/>
      <c r="EH21" s="338"/>
      <c r="EI21" s="338"/>
      <c r="EJ21" s="338"/>
      <c r="EK21" s="338"/>
      <c r="EL21" s="338"/>
      <c r="EM21" s="338"/>
      <c r="EN21" s="338"/>
      <c r="EO21" s="338"/>
      <c r="EP21" s="338"/>
      <c r="EQ21" s="338"/>
      <c r="ER21" s="338"/>
      <c r="ES21" s="338"/>
      <c r="ET21" s="338"/>
      <c r="EU21" s="338"/>
      <c r="EV21" s="338"/>
      <c r="EW21" s="338"/>
      <c r="EX21" s="338"/>
      <c r="EY21" s="338"/>
      <c r="EZ21" s="338"/>
      <c r="FA21" s="338"/>
      <c r="FB21" s="338"/>
      <c r="FC21" s="338"/>
      <c r="FD21" s="338"/>
      <c r="FE21" s="338"/>
      <c r="FF21" s="338"/>
      <c r="FG21" s="338"/>
      <c r="FH21" s="338"/>
      <c r="FI21" s="338"/>
      <c r="FJ21" s="338"/>
      <c r="FK21" s="338"/>
      <c r="FL21" s="338"/>
      <c r="FM21" s="338"/>
      <c r="FN21" s="338"/>
      <c r="FO21" s="338"/>
      <c r="FP21" s="338"/>
      <c r="FQ21" s="338"/>
      <c r="FR21" s="338"/>
      <c r="FS21" s="338"/>
      <c r="FT21" s="338"/>
      <c r="FU21" s="338"/>
      <c r="FV21" s="338"/>
      <c r="FW21" s="338"/>
      <c r="FX21" s="338"/>
      <c r="FY21" s="338"/>
      <c r="FZ21" s="338"/>
      <c r="GA21" s="338"/>
      <c r="GB21" s="338"/>
      <c r="GC21" s="338"/>
      <c r="GD21" s="338"/>
      <c r="GE21" s="338"/>
      <c r="GF21" s="338"/>
      <c r="GG21" s="338"/>
      <c r="GH21" s="338"/>
      <c r="GI21" s="338"/>
      <c r="GJ21" s="338"/>
      <c r="GK21" s="338"/>
      <c r="GL21" s="338"/>
      <c r="GM21" s="338"/>
      <c r="GN21" s="338"/>
      <c r="GO21" s="338"/>
      <c r="GP21" s="338"/>
      <c r="GQ21" s="338"/>
      <c r="GR21" s="338"/>
      <c r="GS21" s="338"/>
      <c r="GT21" s="338"/>
      <c r="GU21" s="338"/>
      <c r="GV21" s="338"/>
      <c r="GW21" s="338"/>
      <c r="GX21" s="338"/>
      <c r="GY21" s="338"/>
      <c r="GZ21" s="338"/>
      <c r="HA21" s="338"/>
      <c r="HB21" s="338"/>
      <c r="HC21" s="338"/>
      <c r="HD21" s="338"/>
      <c r="HE21" s="338"/>
      <c r="HF21" s="338"/>
      <c r="HG21" s="338"/>
      <c r="HH21" s="338"/>
      <c r="HI21" s="338"/>
      <c r="HJ21" s="338"/>
      <c r="HK21" s="338"/>
      <c r="HL21" s="338"/>
      <c r="HM21" s="338"/>
      <c r="HN21" s="338"/>
      <c r="HO21" s="338"/>
      <c r="HP21" s="338"/>
      <c r="HQ21" s="338"/>
      <c r="HR21" s="338"/>
      <c r="HS21" s="338"/>
      <c r="HT21" s="338"/>
      <c r="HU21" s="338"/>
      <c r="HV21" s="338"/>
      <c r="HW21" s="338"/>
      <c r="HX21" s="338"/>
      <c r="HY21" s="338"/>
      <c r="HZ21" s="338"/>
      <c r="IA21" s="338"/>
      <c r="IB21" s="338"/>
      <c r="IC21" s="338"/>
      <c r="ID21" s="338"/>
      <c r="IE21" s="338"/>
      <c r="IF21" s="338"/>
      <c r="IG21" s="338"/>
      <c r="IH21" s="338"/>
      <c r="II21" s="338"/>
      <c r="IJ21" s="338"/>
      <c r="IK21" s="338"/>
      <c r="IL21" s="338"/>
      <c r="IM21" s="338"/>
      <c r="IN21" s="338"/>
      <c r="IO21" s="338"/>
      <c r="IP21" s="338"/>
      <c r="IQ21" s="338"/>
      <c r="IR21" s="338"/>
    </row>
    <row r="22" spans="1:252">
      <c r="C22" s="324"/>
      <c r="D22" s="328"/>
      <c r="E22" s="328"/>
      <c r="F22" s="328"/>
      <c r="G22" s="328"/>
      <c r="H22" s="328"/>
      <c r="I22" s="328"/>
      <c r="J22" s="328"/>
      <c r="K22" s="328"/>
      <c r="L22" s="328"/>
      <c r="M22" s="328"/>
      <c r="N22" s="328"/>
      <c r="O22" s="328"/>
      <c r="P22" s="328"/>
      <c r="Q22" s="328"/>
      <c r="R22" s="328"/>
      <c r="S22" s="328"/>
      <c r="T22" s="328"/>
      <c r="U22" s="328"/>
      <c r="V22" s="328"/>
      <c r="W22" s="328"/>
      <c r="X22" s="328"/>
      <c r="Y22" s="328"/>
      <c r="Z22" s="328"/>
      <c r="AA22" s="328"/>
      <c r="AB22" s="328"/>
      <c r="AC22" s="328"/>
      <c r="AD22" s="328"/>
      <c r="AE22" s="328"/>
      <c r="AF22" s="328"/>
      <c r="AG22" s="328"/>
      <c r="AH22" s="328"/>
      <c r="AI22" s="328"/>
      <c r="AJ22" s="328"/>
      <c r="AK22" s="328"/>
      <c r="AL22" s="328"/>
      <c r="AM22" s="328"/>
      <c r="AN22" s="328"/>
      <c r="AO22" s="328"/>
      <c r="AP22" s="328"/>
      <c r="AQ22" s="328"/>
      <c r="AR22" s="328"/>
      <c r="AS22" s="328"/>
      <c r="AT22" s="328"/>
      <c r="AU22" s="328"/>
      <c r="AV22" s="328"/>
      <c r="AW22" s="328"/>
      <c r="AX22" s="328"/>
      <c r="AY22" s="328"/>
      <c r="AZ22" s="328"/>
      <c r="BA22" s="328"/>
      <c r="BB22" s="328"/>
      <c r="BC22" s="328"/>
      <c r="BD22" s="328"/>
      <c r="BE22" s="328"/>
      <c r="BF22" s="328"/>
      <c r="BG22" s="328"/>
      <c r="BH22" s="328"/>
      <c r="BI22" s="328"/>
      <c r="BJ22" s="328"/>
      <c r="BK22" s="328"/>
      <c r="IR22" s="327"/>
    </row>
    <row r="23" spans="1:252">
      <c r="B23" s="327" t="str">
        <f>'Balance Sheet'!E8</f>
        <v>Inventory</v>
      </c>
      <c r="C23" s="324"/>
      <c r="D23" s="328">
        <f ca="1">'Balance Sheet'!J8</f>
        <v>175000</v>
      </c>
      <c r="E23" s="328">
        <f ca="1">'Balance Sheet'!K8</f>
        <v>175000</v>
      </c>
      <c r="F23" s="328">
        <f ca="1">'Balance Sheet'!L8</f>
        <v>175000</v>
      </c>
      <c r="G23" s="328">
        <f ca="1">'Balance Sheet'!M8</f>
        <v>175000</v>
      </c>
      <c r="H23" s="328">
        <f ca="1">'Balance Sheet'!N8</f>
        <v>175000</v>
      </c>
      <c r="I23" s="328">
        <f ca="1">'Balance Sheet'!O8</f>
        <v>175000</v>
      </c>
      <c r="J23" s="328">
        <f ca="1">'Balance Sheet'!P8</f>
        <v>350000</v>
      </c>
      <c r="K23" s="328">
        <f ca="1">'Balance Sheet'!Q8</f>
        <v>350000</v>
      </c>
      <c r="L23" s="328">
        <f ca="1">'Balance Sheet'!R8</f>
        <v>350000</v>
      </c>
      <c r="M23" s="328">
        <f ca="1">'Balance Sheet'!S8</f>
        <v>350000</v>
      </c>
      <c r="N23" s="328">
        <f ca="1">'Balance Sheet'!T8</f>
        <v>350000</v>
      </c>
      <c r="O23" s="328">
        <f ca="1">'Balance Sheet'!U8</f>
        <v>350000</v>
      </c>
      <c r="P23" s="328">
        <f ca="1">'Balance Sheet'!V8</f>
        <v>525000</v>
      </c>
      <c r="Q23" s="328">
        <f ca="1">'Balance Sheet'!W8</f>
        <v>525000</v>
      </c>
      <c r="R23" s="328">
        <f ca="1">'Balance Sheet'!X8</f>
        <v>525000</v>
      </c>
      <c r="S23" s="328">
        <f ca="1">'Balance Sheet'!Y8</f>
        <v>525000</v>
      </c>
      <c r="T23" s="328">
        <f ca="1">'Balance Sheet'!Z8</f>
        <v>700000</v>
      </c>
      <c r="U23" s="328">
        <f ca="1">'Balance Sheet'!AA8</f>
        <v>700000</v>
      </c>
      <c r="V23" s="328">
        <f ca="1">'Balance Sheet'!AB8</f>
        <v>700000</v>
      </c>
      <c r="W23" s="328">
        <f ca="1">'Balance Sheet'!AC8</f>
        <v>700000</v>
      </c>
      <c r="X23" s="328">
        <f ca="1">'Balance Sheet'!AD8</f>
        <v>875000</v>
      </c>
      <c r="Y23" s="328">
        <f ca="1">'Balance Sheet'!AE8</f>
        <v>875000</v>
      </c>
      <c r="Z23" s="328">
        <f ca="1">'Balance Sheet'!AF8</f>
        <v>875000</v>
      </c>
      <c r="AA23" s="328">
        <f ca="1">'Balance Sheet'!AG8</f>
        <v>1050000</v>
      </c>
      <c r="AB23" s="328">
        <f ca="1">'Balance Sheet'!AH8</f>
        <v>1032500</v>
      </c>
      <c r="AC23" s="328">
        <f ca="1">'Balance Sheet'!AI8</f>
        <v>1188938.8457532576</v>
      </c>
      <c r="AD23" s="328">
        <f ca="1">'Balance Sheet'!AJ8</f>
        <v>1169289.5417779363</v>
      </c>
      <c r="AE23" s="328">
        <f ca="1">'Balance Sheet'!AK8</f>
        <v>1148448.7553821038</v>
      </c>
      <c r="AF23" s="328">
        <f ca="1">'Balance Sheet'!AL8</f>
        <v>1301344.2381868779</v>
      </c>
      <c r="AG23" s="328">
        <f ca="1">'Balance Sheet'!AM8</f>
        <v>1277943.8412167949</v>
      </c>
      <c r="AH23" s="328">
        <f ca="1">'Balance Sheet'!AN8</f>
        <v>1253124.5053541255</v>
      </c>
      <c r="AI23" s="328">
        <f ca="1">'Balance Sheet'!AO8</f>
        <v>1401850.133170791</v>
      </c>
      <c r="AJ23" s="328">
        <f ca="1">'Balance Sheet'!AP8</f>
        <v>1373982.551751866</v>
      </c>
      <c r="AK23" s="328">
        <f ca="1">'Balance Sheet'!AQ8</f>
        <v>1519425.1530547051</v>
      </c>
      <c r="AL23" s="328">
        <f ca="1">'Balance Sheet'!AR8</f>
        <v>1488243.6979197932</v>
      </c>
      <c r="AM23" s="328">
        <f ca="1">'Balance Sheet'!AS8</f>
        <v>1630176.8000105759</v>
      </c>
      <c r="AN23" s="328">
        <f ca="1">'Balance Sheet'!AT8</f>
        <v>1770176.8000105759</v>
      </c>
      <c r="AO23" s="328">
        <f ca="1">'Balance Sheet'!AU8</f>
        <v>1733022.2670984673</v>
      </c>
      <c r="AP23" s="328">
        <f ca="1">'Balance Sheet'!AV8</f>
        <v>1868692.6108730552</v>
      </c>
      <c r="AQ23" s="328">
        <f ca="1">'Balance Sheet'!AW8</f>
        <v>2001981.4664027584</v>
      </c>
      <c r="AR23" s="328">
        <f ca="1">'Balance Sheet'!AX8</f>
        <v>1957744.6298779114</v>
      </c>
      <c r="AS23" s="328">
        <f ca="1">'Balance Sheet'!AY8</f>
        <v>2085918.0535046426</v>
      </c>
      <c r="AT23" s="328">
        <f ca="1">'Balance Sheet'!AZ8</f>
        <v>2211256.0355871608</v>
      </c>
      <c r="AU23" s="328">
        <f ca="1">'Balance Sheet'!BA8</f>
        <v>2333686.6735452479</v>
      </c>
      <c r="AV23" s="328">
        <f ca="1">'Balance Sheet'!BB8</f>
        <v>2452904.6535919858</v>
      </c>
      <c r="AW23" s="328">
        <f ca="1">'Balance Sheet'!BC8</f>
        <v>2568743.3356381566</v>
      </c>
      <c r="AX23" s="328">
        <f ca="1">'Balance Sheet'!BD8</f>
        <v>2681354.1262263786</v>
      </c>
      <c r="AY23" s="328">
        <f ca="1">'Balance Sheet'!BE8</f>
        <v>2790185.3525249097</v>
      </c>
      <c r="AZ23" s="328">
        <f ca="1">'Balance Sheet'!BF8</f>
        <v>2879391.0681738076</v>
      </c>
      <c r="BA23" s="328">
        <f ca="1">'Balance Sheet'!BG8</f>
        <v>2963398.4330829773</v>
      </c>
      <c r="BB23" s="328">
        <f ca="1">'Balance Sheet'!BH8</f>
        <v>3042075.4324651109</v>
      </c>
      <c r="BC23" s="328">
        <f ca="1">'Balance Sheet'!BI8</f>
        <v>3114916.1368917003</v>
      </c>
      <c r="BD23" s="328">
        <f ca="1">'Balance Sheet'!BJ8</f>
        <v>3181566.9200938065</v>
      </c>
      <c r="BE23" s="328">
        <f ca="1">'Balance Sheet'!BK8</f>
        <v>3241870.5858342983</v>
      </c>
      <c r="BF23" s="328">
        <f ca="1">'Balance Sheet'!BL8</f>
        <v>3295224.7000886113</v>
      </c>
      <c r="BG23" s="328">
        <f ca="1">'Balance Sheet'!BM8</f>
        <v>3341452.7754119621</v>
      </c>
      <c r="BH23" s="328">
        <f ca="1">'Balance Sheet'!BN8</f>
        <v>3379831.3321304158</v>
      </c>
      <c r="BI23" s="328">
        <f ca="1">'Balance Sheet'!BO8</f>
        <v>3409930.2886131695</v>
      </c>
      <c r="BJ23" s="328">
        <f ca="1">'Balance Sheet'!BP8</f>
        <v>3432111.5678957189</v>
      </c>
      <c r="BK23" s="328">
        <f ca="1">'Balance Sheet'!BQ8</f>
        <v>3445036.4383722316</v>
      </c>
      <c r="IR23" s="327"/>
    </row>
    <row r="24" spans="1:252">
      <c r="B24" s="327" t="str">
        <f>'Balance Sheet'!E9</f>
        <v xml:space="preserve">Depreciation </v>
      </c>
      <c r="C24" s="324"/>
      <c r="D24" s="328">
        <f ca="1">'Balance Sheet'!J9</f>
        <v>0</v>
      </c>
      <c r="E24" s="328">
        <f ca="1">'Balance Sheet'!K9</f>
        <v>-7291.666666666667</v>
      </c>
      <c r="F24" s="328">
        <f ca="1">'Balance Sheet'!L9</f>
        <v>-14583.333333333334</v>
      </c>
      <c r="G24" s="328">
        <f ca="1">'Balance Sheet'!M9</f>
        <v>-21875</v>
      </c>
      <c r="H24" s="328">
        <f ca="1">'Balance Sheet'!N9</f>
        <v>-29166.666666666668</v>
      </c>
      <c r="I24" s="328">
        <f ca="1">'Balance Sheet'!O9</f>
        <v>-36458.333333333336</v>
      </c>
      <c r="J24" s="328">
        <f ca="1">'Balance Sheet'!P9</f>
        <v>-43750</v>
      </c>
      <c r="K24" s="328">
        <f ca="1">'Balance Sheet'!Q9</f>
        <v>-58333.333333333336</v>
      </c>
      <c r="L24" s="328">
        <f ca="1">'Balance Sheet'!R9</f>
        <v>-72916.666666666672</v>
      </c>
      <c r="M24" s="328">
        <f ca="1">'Balance Sheet'!S9</f>
        <v>-87500</v>
      </c>
      <c r="N24" s="328">
        <f ca="1">'Balance Sheet'!T9</f>
        <v>-102083.33333333333</v>
      </c>
      <c r="O24" s="328">
        <f ca="1">'Balance Sheet'!U9</f>
        <v>-116666.66666666666</v>
      </c>
      <c r="P24" s="328">
        <f ca="1">'Balance Sheet'!V9</f>
        <v>-131250</v>
      </c>
      <c r="Q24" s="328">
        <f ca="1">'Balance Sheet'!W9</f>
        <v>-153125</v>
      </c>
      <c r="R24" s="328">
        <f ca="1">'Balance Sheet'!X9</f>
        <v>-175000</v>
      </c>
      <c r="S24" s="328">
        <f ca="1">'Balance Sheet'!Y9</f>
        <v>-196875</v>
      </c>
      <c r="T24" s="328">
        <f ca="1">'Balance Sheet'!Z9</f>
        <v>-218750</v>
      </c>
      <c r="U24" s="328">
        <f ca="1">'Balance Sheet'!AA9</f>
        <v>-247916.66666666666</v>
      </c>
      <c r="V24" s="328">
        <f ca="1">'Balance Sheet'!AB9</f>
        <v>-277083.33333333331</v>
      </c>
      <c r="W24" s="328">
        <f ca="1">'Balance Sheet'!AC9</f>
        <v>-306250</v>
      </c>
      <c r="X24" s="328">
        <f ca="1">'Balance Sheet'!AD9</f>
        <v>-335416.66666666669</v>
      </c>
      <c r="Y24" s="328">
        <f ca="1">'Balance Sheet'!AE9</f>
        <v>-371875</v>
      </c>
      <c r="Z24" s="328">
        <f ca="1">'Balance Sheet'!AF9</f>
        <v>-408333.33333333331</v>
      </c>
      <c r="AA24" s="328">
        <f ca="1">'Balance Sheet'!AG9</f>
        <v>-444791.66666666663</v>
      </c>
      <c r="AB24" s="328">
        <f ca="1">'Balance Sheet'!AH9</f>
        <v>-471041.66666666663</v>
      </c>
      <c r="AC24" s="328">
        <f ca="1">'Balance Sheet'!AI9</f>
        <v>-495501.34575325763</v>
      </c>
      <c r="AD24" s="328">
        <f ca="1">'Balance Sheet'!AJ9</f>
        <v>-525391.16035098862</v>
      </c>
      <c r="AE24" s="328">
        <f ca="1">'Balance Sheet'!AK9</f>
        <v>-553270.77152923681</v>
      </c>
      <c r="AF24" s="328">
        <f ca="1">'Balance Sheet'!AL9</f>
        <v>-579018.28580826521</v>
      </c>
      <c r="AG24" s="328">
        <f ca="1">'Balance Sheet'!AM9</f>
        <v>-609840.56542930205</v>
      </c>
      <c r="AH24" s="328">
        <f ca="1">'Balance Sheet'!AN9</f>
        <v>-638268.88961733249</v>
      </c>
      <c r="AI24" s="328">
        <f ca="1">'Balance Sheet'!AO9</f>
        <v>-664208.03849041997</v>
      </c>
      <c r="AJ24" s="328">
        <f ca="1">'Balance Sheet'!AP9</f>
        <v>-694750.87928694463</v>
      </c>
      <c r="AK24" s="328">
        <f ca="1">'Balance Sheet'!AQ9</f>
        <v>-722442.75357944483</v>
      </c>
      <c r="AL24" s="328">
        <f ca="1">'Balance Sheet'!AR9</f>
        <v>-754570.67982181231</v>
      </c>
      <c r="AM24" s="328">
        <f ca="1">'Balance Sheet'!AS9</f>
        <v>-783513.93599258631</v>
      </c>
      <c r="AN24" s="328">
        <f ca="1">'Balance Sheet'!AT9</f>
        <v>-816437.96932636027</v>
      </c>
      <c r="AO24" s="328">
        <f ca="1">'Balance Sheet'!AU9</f>
        <v>-853040.80308135902</v>
      </c>
      <c r="AP24" s="328">
        <f ca="1">'Balance Sheet'!AV9</f>
        <v>-885920.40798504965</v>
      </c>
      <c r="AQ24" s="328">
        <f ca="1">'Balance Sheet'!AW9</f>
        <v>-922071.45563446335</v>
      </c>
      <c r="AR24" s="328">
        <f ca="1">'Balance Sheet'!AX9</f>
        <v>-961250.51354306482</v>
      </c>
      <c r="AS24" s="328">
        <f ca="1">'Balance Sheet'!AY9</f>
        <v>-995996.63008137571</v>
      </c>
      <c r="AT24" s="328">
        <f ca="1">'Balance Sheet'!AZ9</f>
        <v>-1033247.8643932543</v>
      </c>
      <c r="AU24" s="328">
        <f ca="1">'Balance Sheet'!BA9</f>
        <v>-1072814.1705008063</v>
      </c>
      <c r="AV24" s="328">
        <f ca="1">'Balance Sheet'!BB9</f>
        <v>-1114269.0952785963</v>
      </c>
      <c r="AW24" s="328">
        <f ca="1">'Balance Sheet'!BC9</f>
        <v>-1157312.1378910998</v>
      </c>
      <c r="AX24" s="328">
        <f ca="1">'Balance Sheet'!BD9</f>
        <v>-1201953.9007975785</v>
      </c>
      <c r="AY24" s="328">
        <f ca="1">'Balance Sheet'!BE9</f>
        <v>-1247508.2156888754</v>
      </c>
      <c r="AZ24" s="328">
        <f ca="1">'Balance Sheet'!BF9</f>
        <v>-1277971.6543596443</v>
      </c>
      <c r="BA24" s="328">
        <f ca="1">'Balance Sheet'!BG9</f>
        <v>-1306953.6471093891</v>
      </c>
      <c r="BB24" s="328">
        <f ca="1">'Balance Sheet'!BH9</f>
        <v>-1334105.5812033135</v>
      </c>
      <c r="BC24" s="328">
        <f ca="1">'Balance Sheet'!BI9</f>
        <v>-1358699.4286492828</v>
      </c>
      <c r="BD24" s="328">
        <f ca="1">'Balance Sheet'!BJ9</f>
        <v>-1380138.3842218767</v>
      </c>
      <c r="BE24" s="328">
        <f ca="1">'Balance Sheet'!BK9</f>
        <v>-1398007.3382996104</v>
      </c>
      <c r="BF24" s="328">
        <f ca="1">'Balance Sheet'!BL9</f>
        <v>-1411439.3936303528</v>
      </c>
      <c r="BG24" s="328">
        <f ca="1">'Balance Sheet'!BM9</f>
        <v>-1419968.4981240625</v>
      </c>
      <c r="BH24" s="328">
        <f ca="1">'Balance Sheet'!BN9</f>
        <v>-1422574.2538180149</v>
      </c>
      <c r="BI24" s="328">
        <f ca="1">'Balance Sheet'!BO9</f>
        <v>-1418499.5158062028</v>
      </c>
      <c r="BJ24" s="328">
        <f ca="1">'Balance Sheet'!BP9</f>
        <v>-1407761.2237809673</v>
      </c>
      <c r="BK24" s="328">
        <f ca="1">'Balance Sheet'!BQ9</f>
        <v>-1388690.7429198015</v>
      </c>
      <c r="IR24" s="327"/>
    </row>
    <row r="25" spans="1:252" s="332" customFormat="1">
      <c r="A25" s="327"/>
      <c r="B25" s="327" t="str">
        <f>'Balance Sheet'!E10</f>
        <v>Debtors</v>
      </c>
      <c r="C25" s="324"/>
      <c r="D25" s="328">
        <f ca="1">'Balance Sheet'!J10</f>
        <v>0</v>
      </c>
      <c r="E25" s="328">
        <f ca="1">'Balance Sheet'!K10</f>
        <v>0</v>
      </c>
      <c r="F25" s="328">
        <f ca="1">'Balance Sheet'!L10</f>
        <v>0</v>
      </c>
      <c r="G25" s="328">
        <f ca="1">'Balance Sheet'!M10</f>
        <v>0</v>
      </c>
      <c r="H25" s="328">
        <f ca="1">'Balance Sheet'!N10</f>
        <v>0</v>
      </c>
      <c r="I25" s="328">
        <f ca="1">'Balance Sheet'!O10</f>
        <v>0</v>
      </c>
      <c r="J25" s="328">
        <f ca="1">'Balance Sheet'!P10</f>
        <v>0</v>
      </c>
      <c r="K25" s="328">
        <f ca="1">'Balance Sheet'!Q10</f>
        <v>725145.29928020365</v>
      </c>
      <c r="L25" s="328">
        <f ca="1">'Balance Sheet'!R10</f>
        <v>854865.6282310664</v>
      </c>
      <c r="M25" s="328">
        <f ca="1">'Balance Sheet'!S10</f>
        <v>138854.70071979624</v>
      </c>
      <c r="N25" s="328">
        <f ca="1">'Balance Sheet'!T10</f>
        <v>9134.3717689334298</v>
      </c>
      <c r="O25" s="328">
        <f ca="1">'Balance Sheet'!U10</f>
        <v>-6.3664629124104977E-11</v>
      </c>
      <c r="P25" s="328">
        <f ca="1">'Balance Sheet'!V10</f>
        <v>-6.3664629124104977E-11</v>
      </c>
      <c r="Q25" s="328">
        <f ca="1">'Balance Sheet'!W10</f>
        <v>764384.2559477858</v>
      </c>
      <c r="R25" s="328">
        <f ca="1">'Balance Sheet'!X10</f>
        <v>863999.99999999988</v>
      </c>
      <c r="S25" s="328">
        <f ca="1">'Balance Sheet'!Y10</f>
        <v>99615.744052213966</v>
      </c>
      <c r="T25" s="328">
        <f ca="1">'Balance Sheet'!Z10</f>
        <v>-8.7311491370201111E-11</v>
      </c>
      <c r="U25" s="328">
        <f ca="1">'Balance Sheet'!AA10</f>
        <v>-8.7311491370201111E-11</v>
      </c>
      <c r="V25" s="328">
        <f ca="1">'Balance Sheet'!AB10</f>
        <v>-8.7311491370201111E-11</v>
      </c>
      <c r="W25" s="328">
        <f ca="1">'Balance Sheet'!AC10</f>
        <v>1589145.2992802034</v>
      </c>
      <c r="X25" s="328">
        <f ca="1">'Balance Sheet'!AD10</f>
        <v>1718865.6282310663</v>
      </c>
      <c r="Y25" s="328">
        <f ca="1">'Balance Sheet'!AE10</f>
        <v>138854.70071979635</v>
      </c>
      <c r="Z25" s="328">
        <f ca="1">'Balance Sheet'!AF10</f>
        <v>9134.3717689335463</v>
      </c>
      <c r="AA25" s="328">
        <f ca="1">'Balance Sheet'!AG10</f>
        <v>864000</v>
      </c>
      <c r="AB25" s="328">
        <f ca="1">'Balance Sheet'!AH10</f>
        <v>864000</v>
      </c>
      <c r="AC25" s="328">
        <f ca="1">'Balance Sheet'!AI10</f>
        <v>937184.25594778592</v>
      </c>
      <c r="AD25" s="328">
        <f ca="1">'Balance Sheet'!AJ10</f>
        <v>1220078.1402192612</v>
      </c>
      <c r="AE25" s="328">
        <f ca="1">'Balance Sheet'!AK10</f>
        <v>1340916.7258106493</v>
      </c>
      <c r="AF25" s="328">
        <f ca="1">'Balance Sheet'!AL10</f>
        <v>1263810.7209220224</v>
      </c>
      <c r="AG25" s="328">
        <f ca="1">'Balance Sheet'!AM10</f>
        <v>424054.19774485123</v>
      </c>
      <c r="AH25" s="328">
        <f ca="1">'Balance Sheet'!AN10</f>
        <v>1313328.5238723094</v>
      </c>
      <c r="AI25" s="328">
        <f ca="1">'Balance Sheet'!AO10</f>
        <v>2204135.419057122</v>
      </c>
      <c r="AJ25" s="328">
        <f ca="1">'Balance Sheet'!AP10</f>
        <v>2232513.8714485411</v>
      </c>
      <c r="AK25" s="328">
        <f ca="1">'Balance Sheet'!AQ10</f>
        <v>1398613.1189983105</v>
      </c>
      <c r="AL25" s="328">
        <f ca="1">'Balance Sheet'!AR10</f>
        <v>567030.66080340813</v>
      </c>
      <c r="AM25" s="328">
        <f ca="1">'Balance Sheet'!AS10</f>
        <v>2327752.7966961241</v>
      </c>
      <c r="AN25" s="328">
        <f ca="1">'Balance Sheet'!AT10</f>
        <v>2362406.5946300309</v>
      </c>
      <c r="AO25" s="328">
        <f ca="1">'Balance Sheet'!AU10</f>
        <v>844911.99764072988</v>
      </c>
      <c r="AP25" s="328">
        <f ca="1">'Balance Sheet'!AV10</f>
        <v>1932552.6137742538</v>
      </c>
      <c r="AQ25" s="328">
        <f ca="1">'Balance Sheet'!AW10</f>
        <v>2860527.7179277828</v>
      </c>
      <c r="AR25" s="328">
        <f ca="1">'Balance Sheet'!AX10</f>
        <v>2928030.7415059381</v>
      </c>
      <c r="AS25" s="328">
        <f ca="1">'Balance Sheet'!AY10</f>
        <v>2136729.1186568998</v>
      </c>
      <c r="AT25" s="328">
        <f ca="1">'Balance Sheet'!AZ10</f>
        <v>3076514.6809462737</v>
      </c>
      <c r="AU25" s="328">
        <f ca="1">'Balance Sheet'!BA10</f>
        <v>4020891.3672537878</v>
      </c>
      <c r="AV25" s="328">
        <f ca="1">'Balance Sheet'!BB10</f>
        <v>3241975.7261333056</v>
      </c>
      <c r="AW25" s="328">
        <f ca="1">'Balance Sheet'!BC10</f>
        <v>3332505.6223563831</v>
      </c>
      <c r="AX25" s="328">
        <f ca="1">'Balance Sheet'!BD10</f>
        <v>3430014.0202517183</v>
      </c>
      <c r="AY25" s="328">
        <f ca="1">'Balance Sheet'!BE10</f>
        <v>3527977.4326262358</v>
      </c>
      <c r="AZ25" s="328">
        <f ca="1">'Balance Sheet'!BF10</f>
        <v>3631824.8507425506</v>
      </c>
      <c r="BA25" s="328">
        <f ca="1">'Balance Sheet'!BG10</f>
        <v>3900638.6508684056</v>
      </c>
      <c r="BB25" s="328">
        <f ca="1">'Balance Sheet'!BH10</f>
        <v>5050119.0266730497</v>
      </c>
      <c r="BC25" s="328">
        <f ca="1">'Balance Sheet'!BI10</f>
        <v>5196834.841910081</v>
      </c>
      <c r="BD25" s="328">
        <f ca="1">'Balance Sheet'!BJ10</f>
        <v>5352090.9224040667</v>
      </c>
      <c r="BE25" s="328">
        <f ca="1">'Balance Sheet'!BK10</f>
        <v>5519296.1173555572</v>
      </c>
      <c r="BF25" s="328">
        <f ca="1">'Balance Sheet'!BL10</f>
        <v>5693601.655515058</v>
      </c>
      <c r="BG25" s="328">
        <f ca="1">'Balance Sheet'!BM10</f>
        <v>6742466.5548765399</v>
      </c>
      <c r="BH25" s="328">
        <f ca="1">'Balance Sheet'!BN10</f>
        <v>6074158.8627407458</v>
      </c>
      <c r="BI25" s="328">
        <f ca="1">'Balance Sheet'!BO10</f>
        <v>6282462.4452538528</v>
      </c>
      <c r="BJ25" s="328">
        <f ca="1">'Balance Sheet'!BP10</f>
        <v>7370816.8290958125</v>
      </c>
      <c r="BK25" s="328">
        <f ca="1">'Balance Sheet'!BQ10</f>
        <v>6731994.6507732924</v>
      </c>
      <c r="BL25" s="327"/>
      <c r="BM25" s="327"/>
      <c r="BN25" s="327"/>
      <c r="BO25" s="327"/>
      <c r="BP25" s="327"/>
      <c r="BQ25" s="327"/>
      <c r="BR25" s="327"/>
      <c r="BS25" s="327"/>
      <c r="BT25" s="327"/>
      <c r="BU25" s="327"/>
      <c r="BV25" s="327"/>
      <c r="BW25" s="327"/>
      <c r="BX25" s="327"/>
      <c r="BY25" s="327"/>
      <c r="BZ25" s="327"/>
      <c r="CA25" s="327"/>
      <c r="CB25" s="327"/>
      <c r="CC25" s="327"/>
      <c r="CD25" s="327"/>
      <c r="CE25" s="327"/>
      <c r="CF25" s="327"/>
      <c r="CG25" s="327"/>
      <c r="CH25" s="327"/>
      <c r="CI25" s="327"/>
      <c r="CJ25" s="327"/>
      <c r="CK25" s="327"/>
      <c r="CL25" s="327"/>
      <c r="CM25" s="327"/>
      <c r="CN25" s="327"/>
      <c r="CO25" s="327"/>
      <c r="CP25" s="327"/>
      <c r="CQ25" s="327"/>
      <c r="CR25" s="327"/>
      <c r="CS25" s="327"/>
      <c r="CT25" s="327"/>
      <c r="CU25" s="327"/>
      <c r="CV25" s="327"/>
      <c r="CW25" s="327"/>
      <c r="CX25" s="327"/>
      <c r="CY25" s="327"/>
      <c r="CZ25" s="327"/>
      <c r="DA25" s="327"/>
      <c r="DB25" s="327"/>
      <c r="DC25" s="327"/>
      <c r="DD25" s="327"/>
      <c r="DE25" s="327"/>
      <c r="DF25" s="327"/>
      <c r="DG25" s="327"/>
      <c r="DH25" s="327"/>
      <c r="DI25" s="327"/>
      <c r="DJ25" s="327"/>
      <c r="DK25" s="327"/>
      <c r="DL25" s="327"/>
      <c r="DM25" s="327"/>
      <c r="DN25" s="327"/>
      <c r="DO25" s="327"/>
      <c r="DP25" s="327"/>
      <c r="DQ25" s="327"/>
      <c r="DR25" s="327"/>
      <c r="DS25" s="327"/>
      <c r="DT25" s="327"/>
      <c r="DU25" s="327"/>
      <c r="DV25" s="327"/>
      <c r="DW25" s="327"/>
      <c r="DX25" s="327"/>
      <c r="DY25" s="327"/>
      <c r="DZ25" s="327"/>
      <c r="EA25" s="327"/>
      <c r="EB25" s="327"/>
      <c r="EC25" s="327"/>
      <c r="ED25" s="327"/>
      <c r="EE25" s="327"/>
      <c r="EF25" s="327"/>
      <c r="EG25" s="327"/>
      <c r="EH25" s="327"/>
      <c r="EI25" s="327"/>
      <c r="EJ25" s="327"/>
      <c r="EK25" s="327"/>
      <c r="EL25" s="327"/>
      <c r="EM25" s="327"/>
      <c r="EN25" s="327"/>
      <c r="EO25" s="327"/>
      <c r="EP25" s="327"/>
      <c r="EQ25" s="327"/>
      <c r="ER25" s="327"/>
      <c r="ES25" s="327"/>
      <c r="ET25" s="327"/>
      <c r="EU25" s="327"/>
      <c r="EV25" s="327"/>
      <c r="EW25" s="327"/>
      <c r="EX25" s="327"/>
      <c r="EY25" s="327"/>
      <c r="EZ25" s="327"/>
      <c r="FA25" s="327"/>
      <c r="FB25" s="327"/>
      <c r="FC25" s="327"/>
      <c r="FD25" s="327"/>
      <c r="FE25" s="327"/>
      <c r="FF25" s="327"/>
      <c r="FG25" s="327"/>
      <c r="FH25" s="327"/>
      <c r="FI25" s="327"/>
      <c r="FJ25" s="327"/>
      <c r="FK25" s="327"/>
      <c r="FL25" s="327"/>
      <c r="FM25" s="327"/>
      <c r="FN25" s="327"/>
      <c r="FO25" s="327"/>
      <c r="FP25" s="327"/>
      <c r="FQ25" s="327"/>
      <c r="FR25" s="327"/>
      <c r="FS25" s="327"/>
      <c r="FT25" s="327"/>
      <c r="FU25" s="327"/>
      <c r="FV25" s="327"/>
      <c r="FW25" s="327"/>
      <c r="FX25" s="327"/>
      <c r="FY25" s="327"/>
      <c r="FZ25" s="327"/>
      <c r="GA25" s="327"/>
      <c r="GB25" s="327"/>
      <c r="GC25" s="327"/>
      <c r="GD25" s="327"/>
      <c r="GE25" s="327"/>
      <c r="GF25" s="327"/>
      <c r="GG25" s="327"/>
      <c r="GH25" s="327"/>
      <c r="GI25" s="327"/>
      <c r="GJ25" s="327"/>
      <c r="GK25" s="327"/>
      <c r="GL25" s="327"/>
      <c r="GM25" s="327"/>
      <c r="GN25" s="327"/>
      <c r="GO25" s="327"/>
      <c r="GP25" s="327"/>
      <c r="GQ25" s="327"/>
      <c r="GR25" s="327"/>
      <c r="GS25" s="327"/>
      <c r="GT25" s="327"/>
      <c r="GU25" s="327"/>
      <c r="GV25" s="327"/>
      <c r="GW25" s="327"/>
      <c r="GX25" s="327"/>
      <c r="GY25" s="327"/>
      <c r="GZ25" s="327"/>
      <c r="HA25" s="327"/>
      <c r="HB25" s="327"/>
      <c r="HC25" s="327"/>
      <c r="HD25" s="327"/>
      <c r="HE25" s="327"/>
      <c r="HF25" s="327"/>
      <c r="HG25" s="327"/>
      <c r="HH25" s="327"/>
      <c r="HI25" s="327"/>
      <c r="HJ25" s="327"/>
      <c r="HK25" s="327"/>
      <c r="HL25" s="327"/>
      <c r="HM25" s="327"/>
      <c r="HN25" s="327"/>
      <c r="HO25" s="327"/>
      <c r="HP25" s="327"/>
      <c r="HQ25" s="327"/>
      <c r="HR25" s="327"/>
      <c r="HS25" s="327"/>
      <c r="HT25" s="327"/>
      <c r="HU25" s="327"/>
      <c r="HV25" s="327"/>
      <c r="HW25" s="327"/>
      <c r="HX25" s="327"/>
      <c r="HY25" s="327"/>
      <c r="HZ25" s="327"/>
      <c r="IA25" s="327"/>
      <c r="IB25" s="327"/>
      <c r="IC25" s="327"/>
      <c r="ID25" s="327"/>
      <c r="IE25" s="327"/>
      <c r="IF25" s="327"/>
      <c r="IG25" s="327"/>
      <c r="IH25" s="327"/>
      <c r="II25" s="327"/>
      <c r="IJ25" s="327"/>
      <c r="IK25" s="327"/>
      <c r="IL25" s="327"/>
      <c r="IM25" s="327"/>
      <c r="IN25" s="327"/>
      <c r="IO25" s="327"/>
      <c r="IP25" s="327"/>
      <c r="IQ25" s="327"/>
      <c r="IR25" s="327"/>
    </row>
    <row r="26" spans="1:252">
      <c r="B26" s="327" t="str">
        <f>'Balance Sheet'!E11</f>
        <v>Cash</v>
      </c>
      <c r="C26" s="324"/>
      <c r="D26" s="328">
        <f ca="1">'Balance Sheet'!J11</f>
        <v>65080</v>
      </c>
      <c r="E26" s="328">
        <f ca="1">'Balance Sheet'!K11</f>
        <v>-1278.5814267161477</v>
      </c>
      <c r="F26" s="328">
        <f ca="1">'Balance Sheet'!L11</f>
        <v>-22293.538857459123</v>
      </c>
      <c r="G26" s="328">
        <f ca="1">'Balance Sheet'!M11</f>
        <v>-90197.196723540823</v>
      </c>
      <c r="H26" s="328">
        <f ca="1">'Balance Sheet'!N11</f>
        <v>-158349.10984163778</v>
      </c>
      <c r="I26" s="328">
        <f ca="1">'Balance Sheet'!O11</f>
        <v>-210483.1648393847</v>
      </c>
      <c r="J26" s="328">
        <f ca="1">'Balance Sheet'!P11</f>
        <v>-304989.09830507642</v>
      </c>
      <c r="K26" s="328">
        <f ca="1">'Balance Sheet'!Q11</f>
        <v>-383826.99653525883</v>
      </c>
      <c r="L26" s="328">
        <f ca="1">'Balance Sheet'!R11</f>
        <v>-531500.75634385983</v>
      </c>
      <c r="M26" s="328">
        <f ca="1">'Balance Sheet'!S11</f>
        <v>113282.85980705544</v>
      </c>
      <c r="N26" s="328">
        <f ca="1">'Balance Sheet'!T11</f>
        <v>162480.90729248483</v>
      </c>
      <c r="O26" s="328">
        <f ca="1">'Balance Sheet'!U11</f>
        <v>85687.307120060359</v>
      </c>
      <c r="P26" s="328">
        <f ca="1">'Balance Sheet'!V11</f>
        <v>-21235.963378236353</v>
      </c>
      <c r="Q26" s="328">
        <f ca="1">'Balance Sheet'!W11</f>
        <v>-112587.09431037454</v>
      </c>
      <c r="R26" s="328">
        <f ca="1">'Balance Sheet'!X11</f>
        <v>-277417.68244850443</v>
      </c>
      <c r="S26" s="328">
        <f ca="1">'Balance Sheet'!Y11</f>
        <v>393862.8647888485</v>
      </c>
      <c r="T26" s="328">
        <f ca="1">'Balance Sheet'!Z11</f>
        <v>522500.47260836291</v>
      </c>
      <c r="U26" s="328">
        <f ca="1">'Balance Sheet'!AA11</f>
        <v>458771.91933099797</v>
      </c>
      <c r="V26" s="328">
        <f ca="1">'Balance Sheet'!AB11</f>
        <v>207820.75438051188</v>
      </c>
      <c r="W26" s="328">
        <f ca="1">'Balance Sheet'!AC11</f>
        <v>103568.05213959339</v>
      </c>
      <c r="X26" s="328">
        <f ca="1">'Balance Sheet'!AD11</f>
        <v>-121932.7064087187</v>
      </c>
      <c r="Y26" s="328">
        <f ca="1">'Balance Sheet'!AE11</f>
        <v>1352029.9829183647</v>
      </c>
      <c r="Z26" s="328">
        <f ca="1">'Balance Sheet'!AF11</f>
        <v>1219351.9533178117</v>
      </c>
      <c r="AA26" s="328">
        <f ca="1">'Balance Sheet'!AG11</f>
        <v>1270059.1436541709</v>
      </c>
      <c r="AB26" s="328">
        <f ca="1">'Balance Sheet'!AH11</f>
        <v>1136571.9236112288</v>
      </c>
      <c r="AC26" s="328">
        <f ca="1">'Balance Sheet'!AI11</f>
        <v>1988680.368939661</v>
      </c>
      <c r="AD26" s="328">
        <f ca="1">'Balance Sheet'!AJ11</f>
        <v>1493816.009861479</v>
      </c>
      <c r="AE26" s="328">
        <f ca="1">'Balance Sheet'!AK11</f>
        <v>2089026.9445731256</v>
      </c>
      <c r="AF26" s="328">
        <f ca="1">'Balance Sheet'!AL11</f>
        <v>2346943.6905272803</v>
      </c>
      <c r="AG26" s="328">
        <f ca="1">'Balance Sheet'!AM11</f>
        <v>2907144.5956911985</v>
      </c>
      <c r="AH26" s="328">
        <f ca="1">'Balance Sheet'!AN11</f>
        <v>2952867.4310991955</v>
      </c>
      <c r="AI26" s="328">
        <f ca="1">'Balance Sheet'!AO11</f>
        <v>2985100.5749406866</v>
      </c>
      <c r="AJ26" s="328">
        <f ca="1">'Balance Sheet'!AP11</f>
        <v>3571594.9770108908</v>
      </c>
      <c r="AK26" s="328">
        <f ca="1">'Balance Sheet'!AQ11</f>
        <v>4627996.2976419367</v>
      </c>
      <c r="AL26" s="328">
        <f ca="1">'Balance Sheet'!AR11</f>
        <v>5419107.4814385166</v>
      </c>
      <c r="AM26" s="328">
        <f ca="1">'Balance Sheet'!AS11</f>
        <v>5417962.1105279103</v>
      </c>
      <c r="AN26" s="328">
        <f ca="1">'Balance Sheet'!AT11</f>
        <v>5632761.3181295507</v>
      </c>
      <c r="AO26" s="328">
        <f ca="1">'Balance Sheet'!AU11</f>
        <v>7311254.2574025085</v>
      </c>
      <c r="AP26" s="328">
        <f ca="1">'Balance Sheet'!AV11</f>
        <v>7176541.8878858238</v>
      </c>
      <c r="AQ26" s="328">
        <f ca="1">'Balance Sheet'!AW11</f>
        <v>6615483.5906824237</v>
      </c>
      <c r="AR26" s="328">
        <f ca="1">'Balance Sheet'!AX11</f>
        <v>7792808.9858711632</v>
      </c>
      <c r="AS26" s="328">
        <f ca="1">'Balance Sheet'!AY11</f>
        <v>8364893.5536060641</v>
      </c>
      <c r="AT26" s="328">
        <f ca="1">'Balance Sheet'!AZ11</f>
        <v>9568903.7634976264</v>
      </c>
      <c r="AU26" s="328">
        <f ca="1">'Balance Sheet'!BA11</f>
        <v>10081503.126618337</v>
      </c>
      <c r="AV26" s="328">
        <f ca="1">'Balance Sheet'!BB11</f>
        <v>11575627.624527765</v>
      </c>
      <c r="AW26" s="328">
        <f ca="1">'Balance Sheet'!BC11</f>
        <v>12859222.467884783</v>
      </c>
      <c r="AX26" s="328">
        <f ca="1">'Balance Sheet'!BD11</f>
        <v>14321000.017769378</v>
      </c>
      <c r="AY26" s="328">
        <f ca="1">'Balance Sheet'!BE11</f>
        <v>14984790.399722619</v>
      </c>
      <c r="AZ26" s="328">
        <f ca="1">'Balance Sheet'!BF11</f>
        <v>16369550.379369862</v>
      </c>
      <c r="BA26" s="328">
        <f ca="1">'Balance Sheet'!BG11</f>
        <v>17788642.260716364</v>
      </c>
      <c r="BB26" s="328">
        <f ca="1">'Balance Sheet'!BH11</f>
        <v>18468975.262084499</v>
      </c>
      <c r="BC26" s="328">
        <f ca="1">'Balance Sheet'!BI11</f>
        <v>18208606.425801814</v>
      </c>
      <c r="BD26" s="328">
        <f ca="1">'Balance Sheet'!BJ11</f>
        <v>20788446.028001931</v>
      </c>
      <c r="BE26" s="328">
        <f ca="1">'Balance Sheet'!BK11</f>
        <v>21348061.694594067</v>
      </c>
      <c r="BF26" s="328">
        <f ca="1">'Balance Sheet'!BL11</f>
        <v>24050398.192393359</v>
      </c>
      <c r="BG26" s="328">
        <f ca="1">'Balance Sheet'!BM11</f>
        <v>25958666.134170778</v>
      </c>
      <c r="BH26" s="328">
        <f ca="1">'Balance Sheet'!BN11</f>
        <v>27468981.104767993</v>
      </c>
      <c r="BI26" s="328">
        <f ca="1">'Balance Sheet'!BO11</f>
        <v>30389349.899374958</v>
      </c>
      <c r="BJ26" s="328">
        <f ca="1">'Balance Sheet'!BP11</f>
        <v>32527227.920244526</v>
      </c>
      <c r="BK26" s="328">
        <f ca="1">'Balance Sheet'!BQ11</f>
        <v>34145444.452532314</v>
      </c>
      <c r="BS26" s="329"/>
      <c r="BT26" s="329"/>
      <c r="BU26" s="329"/>
      <c r="BV26" s="329"/>
      <c r="BW26" s="329"/>
      <c r="BX26" s="329"/>
      <c r="BY26" s="329"/>
      <c r="BZ26" s="329"/>
      <c r="CA26" s="329"/>
      <c r="CB26" s="329"/>
      <c r="CC26" s="329"/>
      <c r="CD26" s="329"/>
      <c r="CE26" s="329"/>
      <c r="CF26" s="329"/>
      <c r="CG26" s="329"/>
      <c r="CH26" s="329"/>
      <c r="CI26" s="329"/>
      <c r="CJ26" s="329"/>
      <c r="CK26" s="329"/>
      <c r="CL26" s="329"/>
      <c r="CM26" s="329"/>
      <c r="CN26" s="329"/>
      <c r="CO26" s="329"/>
      <c r="CP26" s="329"/>
      <c r="CQ26" s="329"/>
      <c r="CR26" s="329"/>
      <c r="CS26" s="329"/>
      <c r="CT26" s="329"/>
      <c r="CU26" s="329"/>
      <c r="CV26" s="329"/>
      <c r="CW26" s="329"/>
      <c r="CX26" s="329"/>
      <c r="CY26" s="329"/>
      <c r="CZ26" s="329"/>
      <c r="DA26" s="329"/>
      <c r="DB26" s="329"/>
      <c r="DC26" s="329"/>
      <c r="DD26" s="329"/>
      <c r="DE26" s="329"/>
      <c r="DF26" s="329"/>
      <c r="DG26" s="329"/>
      <c r="DH26" s="329"/>
      <c r="DI26" s="329"/>
      <c r="DJ26" s="329"/>
      <c r="DK26" s="329"/>
      <c r="DL26" s="329"/>
      <c r="DM26" s="329"/>
      <c r="DN26" s="329"/>
      <c r="DO26" s="329"/>
      <c r="DP26" s="329"/>
      <c r="DQ26" s="329"/>
      <c r="DR26" s="329"/>
      <c r="DS26" s="329"/>
      <c r="DT26" s="329"/>
      <c r="DU26" s="329"/>
      <c r="DV26" s="329"/>
      <c r="DW26" s="329"/>
      <c r="DX26" s="329"/>
      <c r="DY26" s="329"/>
      <c r="DZ26" s="329"/>
      <c r="EA26" s="329"/>
      <c r="EB26" s="329"/>
      <c r="EC26" s="329"/>
      <c r="ED26" s="329"/>
      <c r="EE26" s="329"/>
      <c r="EF26" s="329"/>
      <c r="EG26" s="329"/>
      <c r="EH26" s="329"/>
      <c r="EI26" s="329"/>
      <c r="EJ26" s="329"/>
      <c r="EK26" s="329"/>
      <c r="EL26" s="329"/>
      <c r="EM26" s="329"/>
      <c r="EN26" s="329"/>
      <c r="EO26" s="329"/>
      <c r="EP26" s="329"/>
      <c r="EQ26" s="329"/>
      <c r="ER26" s="329"/>
      <c r="ES26" s="329"/>
      <c r="ET26" s="329"/>
      <c r="EU26" s="329"/>
      <c r="EV26" s="329"/>
      <c r="EW26" s="329"/>
      <c r="EX26" s="329"/>
      <c r="EY26" s="329"/>
      <c r="EZ26" s="329"/>
      <c r="FA26" s="329"/>
      <c r="FB26" s="329"/>
      <c r="FC26" s="329"/>
      <c r="FD26" s="329"/>
      <c r="FE26" s="329"/>
      <c r="FF26" s="329"/>
      <c r="FG26" s="329"/>
      <c r="FH26" s="329"/>
      <c r="FI26" s="329"/>
      <c r="FJ26" s="329"/>
      <c r="FK26" s="329"/>
      <c r="FL26" s="329"/>
      <c r="FM26" s="329"/>
      <c r="FN26" s="329"/>
      <c r="FO26" s="329"/>
      <c r="FP26" s="329"/>
      <c r="FQ26" s="329"/>
      <c r="FR26" s="329"/>
      <c r="FS26" s="329"/>
      <c r="FT26" s="329"/>
      <c r="FU26" s="329"/>
      <c r="FV26" s="329"/>
      <c r="FW26" s="329"/>
      <c r="FX26" s="329"/>
      <c r="FY26" s="329"/>
      <c r="FZ26" s="329"/>
      <c r="GA26" s="329"/>
      <c r="GB26" s="329"/>
      <c r="GC26" s="329"/>
      <c r="GD26" s="329"/>
      <c r="GE26" s="329"/>
      <c r="GF26" s="329"/>
      <c r="GG26" s="329"/>
      <c r="GH26" s="329"/>
      <c r="GI26" s="329"/>
      <c r="GJ26" s="329"/>
      <c r="GK26" s="329"/>
      <c r="GL26" s="329"/>
      <c r="GM26" s="329"/>
      <c r="GN26" s="329"/>
      <c r="GO26" s="329"/>
      <c r="GP26" s="329"/>
      <c r="GQ26" s="329"/>
      <c r="GR26" s="329"/>
      <c r="GS26" s="329"/>
      <c r="GT26" s="329"/>
      <c r="GU26" s="329"/>
      <c r="GV26" s="329"/>
      <c r="GW26" s="329"/>
      <c r="GX26" s="329"/>
      <c r="GY26" s="329"/>
      <c r="GZ26" s="329"/>
      <c r="HA26" s="329"/>
      <c r="HB26" s="329"/>
      <c r="HC26" s="329"/>
      <c r="HD26" s="329"/>
      <c r="HE26" s="329"/>
      <c r="HF26" s="329"/>
      <c r="HG26" s="329"/>
      <c r="HH26" s="329"/>
      <c r="HI26" s="329"/>
      <c r="HJ26" s="329"/>
      <c r="HK26" s="329"/>
      <c r="HL26" s="329"/>
      <c r="HM26" s="329"/>
      <c r="HN26" s="329"/>
      <c r="HO26" s="329"/>
      <c r="HP26" s="329"/>
      <c r="HQ26" s="329"/>
      <c r="HR26" s="329"/>
      <c r="HS26" s="329"/>
      <c r="HT26" s="329"/>
      <c r="HU26" s="329"/>
      <c r="HV26" s="329"/>
      <c r="HW26" s="329"/>
      <c r="HX26" s="329"/>
      <c r="HY26" s="329"/>
      <c r="HZ26" s="329"/>
      <c r="IA26" s="329"/>
      <c r="IB26" s="329"/>
      <c r="IC26" s="329"/>
      <c r="ID26" s="329"/>
      <c r="IE26" s="329"/>
      <c r="IF26" s="329"/>
      <c r="IG26" s="329"/>
      <c r="IH26" s="329"/>
      <c r="II26" s="329"/>
      <c r="IJ26" s="329"/>
      <c r="IK26" s="329"/>
      <c r="IL26" s="329"/>
      <c r="IM26" s="329"/>
      <c r="IN26" s="329"/>
      <c r="IO26" s="329"/>
      <c r="IP26" s="329"/>
      <c r="IQ26" s="329"/>
      <c r="IR26" s="329"/>
    </row>
    <row r="27" spans="1:252">
      <c r="B27" s="329" t="str">
        <f>'Balance Sheet'!E12</f>
        <v>Assets</v>
      </c>
      <c r="C27" s="330"/>
      <c r="D27" s="331">
        <f ca="1">'Balance Sheet'!J12</f>
        <v>240080</v>
      </c>
      <c r="E27" s="331">
        <f ca="1">'Balance Sheet'!K12</f>
        <v>166429.7519066172</v>
      </c>
      <c r="F27" s="331">
        <f ca="1">'Balance Sheet'!L12</f>
        <v>138123.12780920754</v>
      </c>
      <c r="G27" s="331">
        <f ca="1">'Balance Sheet'!M12</f>
        <v>62927.803276459177</v>
      </c>
      <c r="H27" s="331">
        <f ca="1">'Balance Sheet'!N12</f>
        <v>-12515.776508304436</v>
      </c>
      <c r="I27" s="331">
        <f ca="1">'Balance Sheet'!O12</f>
        <v>-71941.498172718042</v>
      </c>
      <c r="J27" s="331">
        <f ca="1">'Balance Sheet'!P12</f>
        <v>1260.9016949235811</v>
      </c>
      <c r="K27" s="331">
        <f ca="1">'Balance Sheet'!Q12</f>
        <v>632984.96941161156</v>
      </c>
      <c r="L27" s="331">
        <f ca="1">'Balance Sheet'!R12</f>
        <v>600448.20522053994</v>
      </c>
      <c r="M27" s="331">
        <f ca="1">'Balance Sheet'!S12</f>
        <v>514637.56052685168</v>
      </c>
      <c r="N27" s="331">
        <f ca="1">'Balance Sheet'!T12</f>
        <v>419531.94572808495</v>
      </c>
      <c r="O27" s="331">
        <f ca="1">'Balance Sheet'!U12</f>
        <v>319020.64045339363</v>
      </c>
      <c r="P27" s="331">
        <f ca="1">'Balance Sheet'!V12</f>
        <v>372514.0366217636</v>
      </c>
      <c r="Q27" s="331">
        <f ca="1">'Balance Sheet'!W12</f>
        <v>1023672.1616374113</v>
      </c>
      <c r="R27" s="331">
        <f ca="1">'Balance Sheet'!X12</f>
        <v>936582.31755149551</v>
      </c>
      <c r="S27" s="331">
        <f ca="1">'Balance Sheet'!Y12</f>
        <v>821603.60884106252</v>
      </c>
      <c r="T27" s="331">
        <f ca="1">'Balance Sheet'!Z12</f>
        <v>1003750.4726083628</v>
      </c>
      <c r="U27" s="331">
        <f ca="1">'Balance Sheet'!AA12</f>
        <v>910855.25266433123</v>
      </c>
      <c r="V27" s="331">
        <f ca="1">'Balance Sheet'!AB12</f>
        <v>630737.42104717856</v>
      </c>
      <c r="W27" s="331">
        <f ca="1">'Balance Sheet'!AC12</f>
        <v>2086463.3514197967</v>
      </c>
      <c r="X27" s="331">
        <f ca="1">'Balance Sheet'!AD12</f>
        <v>2136516.2551556807</v>
      </c>
      <c r="Y27" s="331">
        <f ca="1">'Balance Sheet'!AE12</f>
        <v>1994009.683638161</v>
      </c>
      <c r="Z27" s="331">
        <f ca="1">'Balance Sheet'!AF12</f>
        <v>1695152.9917534119</v>
      </c>
      <c r="AA27" s="331">
        <f ca="1">'Balance Sheet'!AG12</f>
        <v>2739267.4769875044</v>
      </c>
      <c r="AB27" s="331">
        <f ca="1">'Balance Sheet'!AH12</f>
        <v>2562030.2569445623</v>
      </c>
      <c r="AC27" s="331">
        <f ca="1">'Balance Sheet'!AI12</f>
        <v>3619302.1248874469</v>
      </c>
      <c r="AD27" s="331">
        <f ca="1">'Balance Sheet'!AJ12</f>
        <v>3357792.5315076876</v>
      </c>
      <c r="AE27" s="331">
        <f ca="1">'Balance Sheet'!AK12</f>
        <v>4025121.6542366417</v>
      </c>
      <c r="AF27" s="331">
        <f ca="1">'Balance Sheet'!AL12</f>
        <v>4333080.3638279159</v>
      </c>
      <c r="AG27" s="331">
        <f ca="1">'Balance Sheet'!AM12</f>
        <v>3999302.0692235427</v>
      </c>
      <c r="AH27" s="331">
        <f ca="1">'Balance Sheet'!AN12</f>
        <v>4881051.5707082981</v>
      </c>
      <c r="AI27" s="331">
        <f ca="1">'Balance Sheet'!AO12</f>
        <v>5926878.0886781793</v>
      </c>
      <c r="AJ27" s="331">
        <f ca="1">'Balance Sheet'!AP12</f>
        <v>6483340.520924353</v>
      </c>
      <c r="AK27" s="331">
        <f ca="1">'Balance Sheet'!AQ12</f>
        <v>6823591.8161155079</v>
      </c>
      <c r="AL27" s="331">
        <f ca="1">'Balance Sheet'!AR12</f>
        <v>6719811.1603399059</v>
      </c>
      <c r="AM27" s="331">
        <f ca="1">'Balance Sheet'!AS12</f>
        <v>8592377.7712420244</v>
      </c>
      <c r="AN27" s="331">
        <f ca="1">'Balance Sheet'!AT12</f>
        <v>8948906.7434437983</v>
      </c>
      <c r="AO27" s="331">
        <f ca="1">'Balance Sheet'!AU12</f>
        <v>9036147.7190603465</v>
      </c>
      <c r="AP27" s="331">
        <f ca="1">'Balance Sheet'!AV12</f>
        <v>10091866.704548083</v>
      </c>
      <c r="AQ27" s="331">
        <f ca="1">'Balance Sheet'!AW12</f>
        <v>10555921.319378503</v>
      </c>
      <c r="AR27" s="331">
        <f ca="1">'Balance Sheet'!AX12</f>
        <v>11717333.843711948</v>
      </c>
      <c r="AS27" s="331">
        <f ca="1">'Balance Sheet'!AY12</f>
        <v>11591544.095686231</v>
      </c>
      <c r="AT27" s="331">
        <f ca="1">'Balance Sheet'!AZ12</f>
        <v>13823426.615637807</v>
      </c>
      <c r="AU27" s="331">
        <f ca="1">'Balance Sheet'!BA12</f>
        <v>15363266.996916566</v>
      </c>
      <c r="AV27" s="331">
        <f ca="1">'Balance Sheet'!BB12</f>
        <v>16156238.908974461</v>
      </c>
      <c r="AW27" s="331">
        <f ca="1">'Balance Sheet'!BC12</f>
        <v>17603159.287988223</v>
      </c>
      <c r="AX27" s="331">
        <f ca="1">'Balance Sheet'!BD12</f>
        <v>19230414.263449896</v>
      </c>
      <c r="AY27" s="331">
        <f ca="1">'Balance Sheet'!BE12</f>
        <v>20055444.96918489</v>
      </c>
      <c r="AZ27" s="331">
        <f ca="1">'Balance Sheet'!BF12</f>
        <v>21602794.643926576</v>
      </c>
      <c r="BA27" s="331">
        <f ca="1">'Balance Sheet'!BG12</f>
        <v>23345725.697558358</v>
      </c>
      <c r="BB27" s="331">
        <f ca="1">'Balance Sheet'!BH12</f>
        <v>25227064.140019346</v>
      </c>
      <c r="BC27" s="331">
        <f ca="1">'Balance Sheet'!BI12</f>
        <v>25161657.975954313</v>
      </c>
      <c r="BD27" s="331">
        <f ca="1">'Balance Sheet'!BJ12</f>
        <v>27941965.486277927</v>
      </c>
      <c r="BE27" s="331">
        <f ca="1">'Balance Sheet'!BK12</f>
        <v>28711221.05948431</v>
      </c>
      <c r="BF27" s="331">
        <f ca="1">'Balance Sheet'!BL12</f>
        <v>31627785.154366676</v>
      </c>
      <c r="BG27" s="331">
        <f ca="1">'Balance Sheet'!BM12</f>
        <v>34622616.966335222</v>
      </c>
      <c r="BH27" s="331">
        <f ca="1">'Balance Sheet'!BN12</f>
        <v>35500397.045821138</v>
      </c>
      <c r="BI27" s="331">
        <f ca="1">'Balance Sheet'!BO12</f>
        <v>38663243.117435776</v>
      </c>
      <c r="BJ27" s="331">
        <f ca="1">'Balance Sheet'!BP12</f>
        <v>41922395.093455091</v>
      </c>
      <c r="BK27" s="331">
        <f ca="1">'Balance Sheet'!BQ12</f>
        <v>42933784.798758037</v>
      </c>
      <c r="IR27" s="327"/>
    </row>
    <row r="28" spans="1:252">
      <c r="C28" s="324"/>
      <c r="D28" s="328"/>
      <c r="E28" s="328"/>
      <c r="F28" s="328"/>
      <c r="G28" s="328"/>
      <c r="H28" s="328"/>
      <c r="I28" s="328"/>
      <c r="J28" s="328"/>
      <c r="K28" s="328"/>
      <c r="L28" s="328"/>
      <c r="M28" s="328"/>
      <c r="N28" s="328"/>
      <c r="O28" s="328"/>
      <c r="P28" s="328"/>
      <c r="Q28" s="328"/>
      <c r="R28" s="328"/>
      <c r="S28" s="328"/>
      <c r="T28" s="328"/>
      <c r="U28" s="328"/>
      <c r="V28" s="328"/>
      <c r="W28" s="328"/>
      <c r="X28" s="328"/>
      <c r="Y28" s="328"/>
      <c r="Z28" s="328"/>
      <c r="AA28" s="328"/>
      <c r="AB28" s="328"/>
      <c r="AC28" s="328"/>
      <c r="AD28" s="328"/>
      <c r="AE28" s="328"/>
      <c r="AF28" s="328"/>
      <c r="AG28" s="328"/>
      <c r="AH28" s="328"/>
      <c r="AI28" s="328"/>
      <c r="AJ28" s="328"/>
      <c r="AK28" s="328"/>
      <c r="AL28" s="328"/>
      <c r="AM28" s="328"/>
      <c r="AN28" s="328"/>
      <c r="AO28" s="328"/>
      <c r="AP28" s="328"/>
      <c r="AQ28" s="328"/>
      <c r="AR28" s="328"/>
      <c r="AS28" s="328"/>
      <c r="AT28" s="328"/>
      <c r="AU28" s="328"/>
      <c r="AV28" s="328"/>
      <c r="AW28" s="328"/>
      <c r="AX28" s="328"/>
      <c r="AY28" s="328"/>
      <c r="AZ28" s="328"/>
      <c r="BA28" s="328"/>
      <c r="BB28" s="328"/>
      <c r="BC28" s="328"/>
      <c r="BD28" s="328"/>
      <c r="BE28" s="328"/>
      <c r="BF28" s="328"/>
      <c r="BG28" s="328"/>
      <c r="BH28" s="328"/>
      <c r="BI28" s="328"/>
      <c r="BJ28" s="328"/>
      <c r="BK28" s="328"/>
      <c r="IR28" s="327"/>
    </row>
    <row r="29" spans="1:252">
      <c r="B29" s="327" t="str">
        <f>'Balance Sheet'!E14</f>
        <v>Deferred Income</v>
      </c>
      <c r="C29" s="324"/>
      <c r="D29" s="328">
        <f ca="1">'Balance Sheet'!J14</f>
        <v>0</v>
      </c>
      <c r="E29" s="328">
        <f ca="1">'Balance Sheet'!K14</f>
        <v>0</v>
      </c>
      <c r="F29" s="328">
        <f ca="1">'Balance Sheet'!L14</f>
        <v>0</v>
      </c>
      <c r="G29" s="328">
        <f ca="1">'Balance Sheet'!M14</f>
        <v>0</v>
      </c>
      <c r="H29" s="328">
        <f ca="1">'Balance Sheet'!N14</f>
        <v>0</v>
      </c>
      <c r="I29" s="328">
        <f ca="1">'Balance Sheet'!O14</f>
        <v>0</v>
      </c>
      <c r="J29" s="328">
        <f ca="1">'Balance Sheet'!P14</f>
        <v>0</v>
      </c>
      <c r="K29" s="328">
        <f ca="1">'Balance Sheet'!Q14</f>
        <v>553930.43695015553</v>
      </c>
      <c r="L29" s="328">
        <f ca="1">'Balance Sheet'!R14</f>
        <v>602665.04244871717</v>
      </c>
      <c r="M29" s="328">
        <f ca="1">'Balance Sheet'!S14</f>
        <v>550277.01892282837</v>
      </c>
      <c r="N29" s="328">
        <f ca="1">'Balance Sheet'!T14</f>
        <v>490277.01892282837</v>
      </c>
      <c r="O29" s="328">
        <f ca="1">'Balance Sheet'!U14</f>
        <v>430277.01892282837</v>
      </c>
      <c r="P29" s="328">
        <f ca="1">'Balance Sheet'!V14</f>
        <v>370277.01892282837</v>
      </c>
      <c r="Q29" s="328">
        <f ca="1">'Balance Sheet'!W14</f>
        <v>894181.65888294263</v>
      </c>
      <c r="R29" s="328">
        <f ca="1">'Balance Sheet'!X14</f>
        <v>857194.77892645437</v>
      </c>
      <c r="S29" s="328">
        <f ca="1">'Balance Sheet'!Y14</f>
        <v>737194.77892645437</v>
      </c>
      <c r="T29" s="328">
        <f ca="1">'Balance Sheet'!Z14</f>
        <v>617194.77892645437</v>
      </c>
      <c r="U29" s="328">
        <f ca="1">'Balance Sheet'!AA14</f>
        <v>497194.77892645437</v>
      </c>
      <c r="V29" s="328">
        <f ca="1">'Balance Sheet'!AB14</f>
        <v>377194.77892645437</v>
      </c>
      <c r="W29" s="328">
        <f ca="1">'Balance Sheet'!AC14</f>
        <v>1521482.5283266241</v>
      </c>
      <c r="X29" s="328">
        <f ca="1">'Balance Sheet'!AD14</f>
        <v>1449582.8024523431</v>
      </c>
      <c r="Y29" s="328">
        <f ca="1">'Balance Sheet'!AE14</f>
        <v>1277194.7789264543</v>
      </c>
      <c r="Z29" s="328">
        <f ca="1">'Balance Sheet'!AF14</f>
        <v>1097194.7789264543</v>
      </c>
      <c r="AA29" s="328">
        <f ca="1">'Balance Sheet'!AG14</f>
        <v>1577194.7789264543</v>
      </c>
      <c r="AB29" s="328">
        <f ca="1">'Balance Sheet'!AH14</f>
        <v>1343194.7789264543</v>
      </c>
      <c r="AC29" s="328">
        <f ca="1">'Balance Sheet'!AI14</f>
        <v>1884545.4831961114</v>
      </c>
      <c r="AD29" s="328">
        <f ca="1">'Balance Sheet'!AJ14</f>
        <v>1874663.4666626155</v>
      </c>
      <c r="AE29" s="328">
        <f ca="1">'Balance Sheet'!AK14</f>
        <v>2444393.8518905523</v>
      </c>
      <c r="AF29" s="328">
        <f ca="1">'Balance Sheet'!AL14</f>
        <v>2297216.3019742006</v>
      </c>
      <c r="AG29" s="328">
        <f ca="1">'Balance Sheet'!AM14</f>
        <v>2153303.0612344462</v>
      </c>
      <c r="AH29" s="328">
        <f ca="1">'Balance Sheet'!AN14</f>
        <v>2672516.5598726608</v>
      </c>
      <c r="AI29" s="328">
        <f ca="1">'Balance Sheet'!AO14</f>
        <v>3195395.2815554696</v>
      </c>
      <c r="AJ29" s="328">
        <f ca="1">'Balance Sheet'!AP14</f>
        <v>3661784.7605233816</v>
      </c>
      <c r="AK29" s="328">
        <f ca="1">'Balance Sheet'!AQ14</f>
        <v>3412308.842067345</v>
      </c>
      <c r="AL29" s="328">
        <f ca="1">'Balance Sheet'!AR14</f>
        <v>3167160.5598689951</v>
      </c>
      <c r="AM29" s="328">
        <f ca="1">'Balance Sheet'!AS14</f>
        <v>4305331.5949776452</v>
      </c>
      <c r="AN29" s="328">
        <f ca="1">'Balance Sheet'!AT14</f>
        <v>4008342.6863485458</v>
      </c>
      <c r="AO29" s="328">
        <f ca="1">'Balance Sheet'!AU14</f>
        <v>3859999.1433506096</v>
      </c>
      <c r="AP29" s="328">
        <f ca="1">'Balance Sheet'!AV14</f>
        <v>4386123.1713973414</v>
      </c>
      <c r="AQ29" s="328">
        <f ca="1">'Balance Sheet'!AW14</f>
        <v>4926431.3314525262</v>
      </c>
      <c r="AR29" s="328">
        <f ca="1">'Balance Sheet'!AX14</f>
        <v>5422704.923583284</v>
      </c>
      <c r="AS29" s="328">
        <f ca="1">'Balance Sheet'!AY14</f>
        <v>5215881.0477660028</v>
      </c>
      <c r="AT29" s="328">
        <f ca="1">'Balance Sheet'!AZ14</f>
        <v>6405947.5957645979</v>
      </c>
      <c r="AU29" s="328">
        <f ca="1">'Balance Sheet'!BA14</f>
        <v>6834991.4431998078</v>
      </c>
      <c r="AV29" s="328">
        <f ca="1">'Balance Sheet'!BB14</f>
        <v>7283009.1511670472</v>
      </c>
      <c r="AW29" s="328">
        <f ca="1">'Balance Sheet'!BC14</f>
        <v>7692605.6327024661</v>
      </c>
      <c r="AX29" s="328">
        <f ca="1">'Balance Sheet'!BD14</f>
        <v>8064736.5165905915</v>
      </c>
      <c r="AY29" s="328">
        <f ca="1">'Balance Sheet'!BE14</f>
        <v>8456697.2648357581</v>
      </c>
      <c r="AZ29" s="328">
        <f ca="1">'Balance Sheet'!BF14</f>
        <v>8819315.238161182</v>
      </c>
      <c r="BA29" s="328">
        <f ca="1">'Balance Sheet'!BG14</f>
        <v>9271696.9047981277</v>
      </c>
      <c r="BB29" s="328">
        <f ca="1">'Balance Sheet'!BH14</f>
        <v>10415212.378776886</v>
      </c>
      <c r="BC29" s="328">
        <f ca="1">'Balance Sheet'!BI14</f>
        <v>10809463.290414782</v>
      </c>
      <c r="BD29" s="328">
        <f ca="1">'Balance Sheet'!BJ14</f>
        <v>11898431.032610863</v>
      </c>
      <c r="BE29" s="328">
        <f ca="1">'Balance Sheet'!BK14</f>
        <v>12244143.672873408</v>
      </c>
      <c r="BF29" s="328">
        <f ca="1">'Balance Sheet'!BL14</f>
        <v>13286452.127764825</v>
      </c>
      <c r="BG29" s="328">
        <f ca="1">'Balance Sheet'!BM14</f>
        <v>14310013.149255557</v>
      </c>
      <c r="BH29" s="328">
        <f ca="1">'Balance Sheet'!BN14</f>
        <v>14594675.469234642</v>
      </c>
      <c r="BI29" s="328">
        <f ca="1">'Balance Sheet'!BO14</f>
        <v>15586360.781217404</v>
      </c>
      <c r="BJ29" s="328">
        <f ca="1">'Balance Sheet'!BP14</f>
        <v>16567016.444521323</v>
      </c>
      <c r="BK29" s="328">
        <f ca="1">'Balance Sheet'!BQ14</f>
        <v>16810162.851556987</v>
      </c>
      <c r="IR29" s="327"/>
    </row>
    <row r="30" spans="1:252">
      <c r="B30" s="327" t="str">
        <f>'Balance Sheet'!E15</f>
        <v>Creditors</v>
      </c>
      <c r="C30" s="324"/>
      <c r="D30" s="328">
        <f ca="1">'Balance Sheet'!J15</f>
        <v>157500</v>
      </c>
      <c r="E30" s="328">
        <f ca="1">'Balance Sheet'!K15</f>
        <v>157500</v>
      </c>
      <c r="F30" s="328">
        <f ca="1">'Balance Sheet'!L15</f>
        <v>157500</v>
      </c>
      <c r="G30" s="328">
        <f ca="1">'Balance Sheet'!M15</f>
        <v>157500</v>
      </c>
      <c r="H30" s="328">
        <f ca="1">'Balance Sheet'!N15</f>
        <v>157500</v>
      </c>
      <c r="I30" s="328">
        <f ca="1">'Balance Sheet'!O15</f>
        <v>157500.00000000003</v>
      </c>
      <c r="J30" s="328">
        <f ca="1">'Balance Sheet'!P15</f>
        <v>168000</v>
      </c>
      <c r="K30" s="328">
        <f ca="1">'Balance Sheet'!Q15</f>
        <v>168000</v>
      </c>
      <c r="L30" s="328">
        <f ca="1">'Balance Sheet'!R15</f>
        <v>168000</v>
      </c>
      <c r="M30" s="328">
        <f ca="1">'Balance Sheet'!S15</f>
        <v>168000</v>
      </c>
      <c r="N30" s="328">
        <f ca="1">'Balance Sheet'!T15</f>
        <v>168000</v>
      </c>
      <c r="O30" s="328">
        <f ca="1">'Balance Sheet'!U15</f>
        <v>168000</v>
      </c>
      <c r="P30" s="328">
        <f ca="1">'Balance Sheet'!V15</f>
        <v>178500</v>
      </c>
      <c r="Q30" s="328">
        <f ca="1">'Balance Sheet'!W15</f>
        <v>178500</v>
      </c>
      <c r="R30" s="328">
        <f ca="1">'Balance Sheet'!X15</f>
        <v>178500</v>
      </c>
      <c r="S30" s="328">
        <f ca="1">'Balance Sheet'!Y15</f>
        <v>178499.99999999997</v>
      </c>
      <c r="T30" s="328">
        <f ca="1">'Balance Sheet'!Z15</f>
        <v>336000</v>
      </c>
      <c r="U30" s="328">
        <f ca="1">'Balance Sheet'!AA15</f>
        <v>336000</v>
      </c>
      <c r="V30" s="328">
        <f ca="1">'Balance Sheet'!AB15</f>
        <v>189000.00000000006</v>
      </c>
      <c r="W30" s="328">
        <f ca="1">'Balance Sheet'!AC15</f>
        <v>189000.00000000006</v>
      </c>
      <c r="X30" s="328">
        <f ca="1">'Balance Sheet'!AD15</f>
        <v>346500.00000000006</v>
      </c>
      <c r="Y30" s="328">
        <f ca="1">'Balance Sheet'!AE15</f>
        <v>346500</v>
      </c>
      <c r="Z30" s="328">
        <f ca="1">'Balance Sheet'!AF15</f>
        <v>199500.00000000003</v>
      </c>
      <c r="AA30" s="328">
        <f ca="1">'Balance Sheet'!AG15</f>
        <v>357000</v>
      </c>
      <c r="AB30" s="328">
        <f ca="1">'Balance Sheet'!AH15</f>
        <v>357000</v>
      </c>
      <c r="AC30" s="328">
        <f ca="1">'Balance Sheet'!AI15</f>
        <v>514500</v>
      </c>
      <c r="AD30" s="328">
        <f ca="1">'Balance Sheet'!AJ15</f>
        <v>367500</v>
      </c>
      <c r="AE30" s="328">
        <f ca="1">'Balance Sheet'!AK15</f>
        <v>367499.99999999994</v>
      </c>
      <c r="AF30" s="328">
        <f ca="1">'Balance Sheet'!AL15</f>
        <v>525000</v>
      </c>
      <c r="AG30" s="328">
        <f ca="1">'Balance Sheet'!AM15</f>
        <v>378000</v>
      </c>
      <c r="AH30" s="328">
        <f ca="1">'Balance Sheet'!AN15</f>
        <v>378000.00000000006</v>
      </c>
      <c r="AI30" s="328">
        <f ca="1">'Balance Sheet'!AO15</f>
        <v>388500</v>
      </c>
      <c r="AJ30" s="328">
        <f ca="1">'Balance Sheet'!AP15</f>
        <v>388500</v>
      </c>
      <c r="AK30" s="328">
        <f ca="1">'Balance Sheet'!AQ15</f>
        <v>546000</v>
      </c>
      <c r="AL30" s="328">
        <f ca="1">'Balance Sheet'!AR15</f>
        <v>398999.99999999994</v>
      </c>
      <c r="AM30" s="328">
        <f ca="1">'Balance Sheet'!AS15</f>
        <v>556500.00000000012</v>
      </c>
      <c r="AN30" s="328">
        <f ca="1">'Balance Sheet'!AT15</f>
        <v>714000.00000000023</v>
      </c>
      <c r="AO30" s="328">
        <f ca="1">'Balance Sheet'!AU15</f>
        <v>567000.00000000023</v>
      </c>
      <c r="AP30" s="328">
        <f ca="1">'Balance Sheet'!AV15</f>
        <v>724500.00000000023</v>
      </c>
      <c r="AQ30" s="328">
        <f ca="1">'Balance Sheet'!AW15</f>
        <v>735000.00000000035</v>
      </c>
      <c r="AR30" s="328">
        <f ca="1">'Balance Sheet'!AX15</f>
        <v>735000.00000000035</v>
      </c>
      <c r="AS30" s="328">
        <f ca="1">'Balance Sheet'!AY15</f>
        <v>745500.00000000035</v>
      </c>
      <c r="AT30" s="328">
        <f ca="1">'Balance Sheet'!AZ15</f>
        <v>756000.00000000023</v>
      </c>
      <c r="AU30" s="328">
        <f ca="1">'Balance Sheet'!BA15</f>
        <v>913500.00000000012</v>
      </c>
      <c r="AV30" s="328">
        <f ca="1">'Balance Sheet'!BB15</f>
        <v>924000</v>
      </c>
      <c r="AW30" s="328">
        <f ca="1">'Balance Sheet'!BC15</f>
        <v>934500.00000000012</v>
      </c>
      <c r="AX30" s="328">
        <f ca="1">'Balance Sheet'!BD15</f>
        <v>1092000</v>
      </c>
      <c r="AY30" s="328">
        <f ca="1">'Balance Sheet'!BE15</f>
        <v>1102500</v>
      </c>
      <c r="AZ30" s="328">
        <f ca="1">'Balance Sheet'!BF15</f>
        <v>1113000</v>
      </c>
      <c r="BA30" s="328">
        <f ca="1">'Balance Sheet'!BG15</f>
        <v>1123499.9999999998</v>
      </c>
      <c r="BB30" s="328">
        <f ca="1">'Balance Sheet'!BH15</f>
        <v>1133999.9999999998</v>
      </c>
      <c r="BC30" s="328">
        <f ca="1">'Balance Sheet'!BI15</f>
        <v>1144499.9999999995</v>
      </c>
      <c r="BD30" s="328">
        <f ca="1">'Balance Sheet'!BJ15</f>
        <v>1154999.9999999995</v>
      </c>
      <c r="BE30" s="328">
        <f ca="1">'Balance Sheet'!BK15</f>
        <v>1165499.9999999995</v>
      </c>
      <c r="BF30" s="328">
        <f ca="1">'Balance Sheet'!BL15</f>
        <v>1175999.9999999993</v>
      </c>
      <c r="BG30" s="328">
        <f ca="1">'Balance Sheet'!BM15</f>
        <v>1186499.9999999993</v>
      </c>
      <c r="BH30" s="328">
        <f ca="1">'Balance Sheet'!BN15</f>
        <v>1196999.9999999991</v>
      </c>
      <c r="BI30" s="328">
        <f ca="1">'Balance Sheet'!BO15</f>
        <v>1207499.9999999986</v>
      </c>
      <c r="BJ30" s="328">
        <f ca="1">'Balance Sheet'!BP15</f>
        <v>1217999.9999999986</v>
      </c>
      <c r="BK30" s="328">
        <f ca="1">'Balance Sheet'!BQ15</f>
        <v>1228499.9999999986</v>
      </c>
      <c r="IR30" s="327"/>
    </row>
    <row r="31" spans="1:252" s="332" customFormat="1">
      <c r="A31" s="327"/>
      <c r="B31" s="327" t="str">
        <f>'Balance Sheet'!E16</f>
        <v>Supply Chain Finance balance</v>
      </c>
      <c r="C31" s="324"/>
      <c r="D31" s="328">
        <f ca="1">'Balance Sheet'!J16</f>
        <v>0</v>
      </c>
      <c r="E31" s="328">
        <f ca="1">'Balance Sheet'!K16</f>
        <v>0</v>
      </c>
      <c r="F31" s="328">
        <f ca="1">'Balance Sheet'!L16</f>
        <v>0</v>
      </c>
      <c r="G31" s="328">
        <f ca="1">'Balance Sheet'!M16</f>
        <v>0</v>
      </c>
      <c r="H31" s="328">
        <f ca="1">'Balance Sheet'!N16</f>
        <v>0</v>
      </c>
      <c r="I31" s="328">
        <f ca="1">'Balance Sheet'!O16</f>
        <v>0</v>
      </c>
      <c r="J31" s="328">
        <f ca="1">'Balance Sheet'!P16</f>
        <v>0</v>
      </c>
      <c r="K31" s="328">
        <f ca="1">'Balance Sheet'!Q16</f>
        <v>0</v>
      </c>
      <c r="L31" s="328">
        <f ca="1">'Balance Sheet'!R16</f>
        <v>0</v>
      </c>
      <c r="M31" s="328">
        <f ca="1">'Balance Sheet'!S16</f>
        <v>0</v>
      </c>
      <c r="N31" s="328">
        <f ca="1">'Balance Sheet'!T16</f>
        <v>0</v>
      </c>
      <c r="O31" s="328">
        <f ca="1">'Balance Sheet'!U16</f>
        <v>0</v>
      </c>
      <c r="P31" s="328">
        <f ca="1">'Balance Sheet'!V16</f>
        <v>0</v>
      </c>
      <c r="Q31" s="328">
        <f ca="1">'Balance Sheet'!W16</f>
        <v>0</v>
      </c>
      <c r="R31" s="328">
        <f ca="1">'Balance Sheet'!X16</f>
        <v>0</v>
      </c>
      <c r="S31" s="328">
        <f ca="1">'Balance Sheet'!Y16</f>
        <v>0</v>
      </c>
      <c r="T31" s="328">
        <f ca="1">'Balance Sheet'!Z16</f>
        <v>0</v>
      </c>
      <c r="U31" s="328">
        <f ca="1">'Balance Sheet'!AA16</f>
        <v>0</v>
      </c>
      <c r="V31" s="328">
        <f ca="1">'Balance Sheet'!AB16</f>
        <v>0</v>
      </c>
      <c r="W31" s="328">
        <f ca="1">'Balance Sheet'!AC16</f>
        <v>0</v>
      </c>
      <c r="X31" s="328">
        <f ca="1">'Balance Sheet'!AD16</f>
        <v>0</v>
      </c>
      <c r="Y31" s="328">
        <f ca="1">'Balance Sheet'!AE16</f>
        <v>0</v>
      </c>
      <c r="Z31" s="328">
        <f ca="1">'Balance Sheet'!AF16</f>
        <v>0</v>
      </c>
      <c r="AA31" s="328">
        <f ca="1">'Balance Sheet'!AG16</f>
        <v>0</v>
      </c>
      <c r="AB31" s="328">
        <f ca="1">'Balance Sheet'!AH16</f>
        <v>0</v>
      </c>
      <c r="AC31" s="328">
        <f ca="1">'Balance Sheet'!AI16</f>
        <v>0</v>
      </c>
      <c r="AD31" s="328">
        <f ca="1">'Balance Sheet'!AJ16</f>
        <v>0</v>
      </c>
      <c r="AE31" s="328">
        <f ca="1">'Balance Sheet'!AK16</f>
        <v>0</v>
      </c>
      <c r="AF31" s="328">
        <f ca="1">'Balance Sheet'!AL16</f>
        <v>0</v>
      </c>
      <c r="AG31" s="328">
        <f ca="1">'Balance Sheet'!AM16</f>
        <v>0</v>
      </c>
      <c r="AH31" s="328">
        <f ca="1">'Balance Sheet'!AN16</f>
        <v>0</v>
      </c>
      <c r="AI31" s="328">
        <f ca="1">'Balance Sheet'!AO16</f>
        <v>0</v>
      </c>
      <c r="AJ31" s="328">
        <f ca="1">'Balance Sheet'!AP16</f>
        <v>0</v>
      </c>
      <c r="AK31" s="328">
        <f ca="1">'Balance Sheet'!AQ16</f>
        <v>0</v>
      </c>
      <c r="AL31" s="328">
        <f ca="1">'Balance Sheet'!AR16</f>
        <v>0</v>
      </c>
      <c r="AM31" s="328">
        <f ca="1">'Balance Sheet'!AS16</f>
        <v>0</v>
      </c>
      <c r="AN31" s="328">
        <f ca="1">'Balance Sheet'!AT16</f>
        <v>0</v>
      </c>
      <c r="AO31" s="328">
        <f ca="1">'Balance Sheet'!AU16</f>
        <v>0</v>
      </c>
      <c r="AP31" s="328">
        <f ca="1">'Balance Sheet'!AV16</f>
        <v>0</v>
      </c>
      <c r="AQ31" s="328">
        <f ca="1">'Balance Sheet'!AW16</f>
        <v>0</v>
      </c>
      <c r="AR31" s="328">
        <f ca="1">'Balance Sheet'!AX16</f>
        <v>0</v>
      </c>
      <c r="AS31" s="328">
        <f ca="1">'Balance Sheet'!AY16</f>
        <v>0</v>
      </c>
      <c r="AT31" s="328">
        <f ca="1">'Balance Sheet'!AZ16</f>
        <v>0</v>
      </c>
      <c r="AU31" s="328">
        <f ca="1">'Balance Sheet'!BA16</f>
        <v>0</v>
      </c>
      <c r="AV31" s="328">
        <f ca="1">'Balance Sheet'!BB16</f>
        <v>0</v>
      </c>
      <c r="AW31" s="328">
        <f ca="1">'Balance Sheet'!BC16</f>
        <v>0</v>
      </c>
      <c r="AX31" s="328">
        <f ca="1">'Balance Sheet'!BD16</f>
        <v>0</v>
      </c>
      <c r="AY31" s="328">
        <f ca="1">'Balance Sheet'!BE16</f>
        <v>0</v>
      </c>
      <c r="AZ31" s="328">
        <f ca="1">'Balance Sheet'!BF16</f>
        <v>0</v>
      </c>
      <c r="BA31" s="328">
        <f ca="1">'Balance Sheet'!BG16</f>
        <v>0</v>
      </c>
      <c r="BB31" s="328">
        <f ca="1">'Balance Sheet'!BH16</f>
        <v>0</v>
      </c>
      <c r="BC31" s="328">
        <f ca="1">'Balance Sheet'!BI16</f>
        <v>0</v>
      </c>
      <c r="BD31" s="328">
        <f ca="1">'Balance Sheet'!BJ16</f>
        <v>0</v>
      </c>
      <c r="BE31" s="328">
        <f ca="1">'Balance Sheet'!BK16</f>
        <v>0</v>
      </c>
      <c r="BF31" s="328">
        <f ca="1">'Balance Sheet'!BL16</f>
        <v>0</v>
      </c>
      <c r="BG31" s="328">
        <f ca="1">'Balance Sheet'!BM16</f>
        <v>0</v>
      </c>
      <c r="BH31" s="328">
        <f ca="1">'Balance Sheet'!BN16</f>
        <v>0</v>
      </c>
      <c r="BI31" s="328">
        <f ca="1">'Balance Sheet'!BO16</f>
        <v>0</v>
      </c>
      <c r="BJ31" s="328">
        <f ca="1">'Balance Sheet'!BP16</f>
        <v>0</v>
      </c>
      <c r="BK31" s="328">
        <f ca="1">'Balance Sheet'!BQ16</f>
        <v>0</v>
      </c>
      <c r="BL31" s="327"/>
      <c r="BM31" s="327"/>
      <c r="BN31" s="327"/>
      <c r="BO31" s="327"/>
      <c r="BP31" s="327"/>
      <c r="BQ31" s="327"/>
      <c r="BR31" s="327"/>
      <c r="BS31" s="327"/>
      <c r="BT31" s="327"/>
      <c r="BU31" s="327"/>
      <c r="BV31" s="327"/>
      <c r="BW31" s="327"/>
      <c r="BX31" s="327"/>
      <c r="BY31" s="327"/>
      <c r="BZ31" s="327"/>
      <c r="CA31" s="327"/>
      <c r="CB31" s="327"/>
      <c r="CC31" s="327"/>
      <c r="CD31" s="327"/>
      <c r="CE31" s="327"/>
      <c r="CF31" s="327"/>
      <c r="CG31" s="327"/>
      <c r="CH31" s="327"/>
      <c r="CI31" s="327"/>
      <c r="CJ31" s="327"/>
      <c r="CK31" s="327"/>
      <c r="CL31" s="327"/>
      <c r="CM31" s="327"/>
      <c r="CN31" s="327"/>
      <c r="CO31" s="327"/>
      <c r="CP31" s="327"/>
      <c r="CQ31" s="327"/>
      <c r="CR31" s="327"/>
      <c r="CS31" s="327"/>
      <c r="CT31" s="327"/>
      <c r="CU31" s="327"/>
      <c r="CV31" s="327"/>
      <c r="CW31" s="327"/>
      <c r="CX31" s="327"/>
      <c r="CY31" s="327"/>
      <c r="CZ31" s="327"/>
      <c r="DA31" s="327"/>
      <c r="DB31" s="327"/>
      <c r="DC31" s="327"/>
      <c r="DD31" s="327"/>
      <c r="DE31" s="327"/>
      <c r="DF31" s="327"/>
      <c r="DG31" s="327"/>
      <c r="DH31" s="327"/>
      <c r="DI31" s="327"/>
      <c r="DJ31" s="327"/>
      <c r="DK31" s="327"/>
      <c r="DL31" s="327"/>
      <c r="DM31" s="327"/>
      <c r="DN31" s="327"/>
      <c r="DO31" s="327"/>
      <c r="DP31" s="327"/>
      <c r="DQ31" s="327"/>
      <c r="DR31" s="327"/>
      <c r="DS31" s="327"/>
      <c r="DT31" s="327"/>
      <c r="DU31" s="327"/>
      <c r="DV31" s="327"/>
      <c r="DW31" s="327"/>
      <c r="DX31" s="327"/>
      <c r="DY31" s="327"/>
      <c r="DZ31" s="327"/>
      <c r="EA31" s="327"/>
      <c r="EB31" s="327"/>
      <c r="EC31" s="327"/>
      <c r="ED31" s="327"/>
      <c r="EE31" s="327"/>
      <c r="EF31" s="327"/>
      <c r="EG31" s="327"/>
      <c r="EH31" s="327"/>
      <c r="EI31" s="327"/>
      <c r="EJ31" s="327"/>
      <c r="EK31" s="327"/>
      <c r="EL31" s="327"/>
      <c r="EM31" s="327"/>
      <c r="EN31" s="327"/>
      <c r="EO31" s="327"/>
      <c r="EP31" s="327"/>
      <c r="EQ31" s="327"/>
      <c r="ER31" s="327"/>
      <c r="ES31" s="327"/>
      <c r="ET31" s="327"/>
      <c r="EU31" s="327"/>
      <c r="EV31" s="327"/>
      <c r="EW31" s="327"/>
      <c r="EX31" s="327"/>
      <c r="EY31" s="327"/>
      <c r="EZ31" s="327"/>
      <c r="FA31" s="327"/>
      <c r="FB31" s="327"/>
      <c r="FC31" s="327"/>
      <c r="FD31" s="327"/>
      <c r="FE31" s="327"/>
      <c r="FF31" s="327"/>
      <c r="FG31" s="327"/>
      <c r="FH31" s="327"/>
      <c r="FI31" s="327"/>
      <c r="FJ31" s="327"/>
      <c r="FK31" s="327"/>
      <c r="FL31" s="327"/>
      <c r="FM31" s="327"/>
      <c r="FN31" s="327"/>
      <c r="FO31" s="327"/>
      <c r="FP31" s="327"/>
      <c r="FQ31" s="327"/>
      <c r="FR31" s="327"/>
      <c r="FS31" s="327"/>
      <c r="FT31" s="327"/>
      <c r="FU31" s="327"/>
      <c r="FV31" s="327"/>
      <c r="FW31" s="327"/>
      <c r="FX31" s="327"/>
      <c r="FY31" s="327"/>
      <c r="FZ31" s="327"/>
      <c r="GA31" s="327"/>
      <c r="GB31" s="327"/>
      <c r="GC31" s="327"/>
      <c r="GD31" s="327"/>
      <c r="GE31" s="327"/>
      <c r="GF31" s="327"/>
      <c r="GG31" s="327"/>
      <c r="GH31" s="327"/>
      <c r="GI31" s="327"/>
      <c r="GJ31" s="327"/>
      <c r="GK31" s="327"/>
      <c r="GL31" s="327"/>
      <c r="GM31" s="327"/>
      <c r="GN31" s="327"/>
      <c r="GO31" s="327"/>
      <c r="GP31" s="327"/>
      <c r="GQ31" s="327"/>
      <c r="GR31" s="327"/>
      <c r="GS31" s="327"/>
      <c r="GT31" s="327"/>
      <c r="GU31" s="327"/>
      <c r="GV31" s="327"/>
      <c r="GW31" s="327"/>
      <c r="GX31" s="327"/>
      <c r="GY31" s="327"/>
      <c r="GZ31" s="327"/>
      <c r="HA31" s="327"/>
      <c r="HB31" s="327"/>
      <c r="HC31" s="327"/>
      <c r="HD31" s="327"/>
      <c r="HE31" s="327"/>
      <c r="HF31" s="327"/>
      <c r="HG31" s="327"/>
      <c r="HH31" s="327"/>
      <c r="HI31" s="327"/>
      <c r="HJ31" s="327"/>
      <c r="HK31" s="327"/>
      <c r="HL31" s="327"/>
      <c r="HM31" s="327"/>
      <c r="HN31" s="327"/>
      <c r="HO31" s="327"/>
      <c r="HP31" s="327"/>
      <c r="HQ31" s="327"/>
      <c r="HR31" s="327"/>
      <c r="HS31" s="327"/>
      <c r="HT31" s="327"/>
      <c r="HU31" s="327"/>
      <c r="HV31" s="327"/>
      <c r="HW31" s="327"/>
      <c r="HX31" s="327"/>
      <c r="HY31" s="327"/>
      <c r="HZ31" s="327"/>
      <c r="IA31" s="327"/>
      <c r="IB31" s="327"/>
      <c r="IC31" s="327"/>
      <c r="ID31" s="327"/>
      <c r="IE31" s="327"/>
      <c r="IF31" s="327"/>
      <c r="IG31" s="327"/>
      <c r="IH31" s="327"/>
      <c r="II31" s="327"/>
      <c r="IJ31" s="327"/>
      <c r="IK31" s="327"/>
      <c r="IL31" s="327"/>
      <c r="IM31" s="327"/>
      <c r="IN31" s="327"/>
      <c r="IO31" s="327"/>
      <c r="IP31" s="327"/>
      <c r="IQ31" s="327"/>
      <c r="IR31" s="327"/>
    </row>
    <row r="32" spans="1:252">
      <c r="B32" s="327" t="str">
        <f>'Balance Sheet'!E17</f>
        <v>Invoice finance balance</v>
      </c>
      <c r="C32" s="324"/>
      <c r="D32" s="328">
        <f ca="1">'Balance Sheet'!J17</f>
        <v>0</v>
      </c>
      <c r="E32" s="328">
        <f ca="1">'Balance Sheet'!K17</f>
        <v>0</v>
      </c>
      <c r="F32" s="328">
        <f ca="1">'Balance Sheet'!L17</f>
        <v>0</v>
      </c>
      <c r="G32" s="328">
        <f ca="1">'Balance Sheet'!M17</f>
        <v>0</v>
      </c>
      <c r="H32" s="328">
        <f ca="1">'Balance Sheet'!N17</f>
        <v>0</v>
      </c>
      <c r="I32" s="328">
        <f ca="1">'Balance Sheet'!O17</f>
        <v>0</v>
      </c>
      <c r="J32" s="328">
        <f ca="1">'Balance Sheet'!P17</f>
        <v>0</v>
      </c>
      <c r="K32" s="328">
        <f ca="1">'Balance Sheet'!Q17</f>
        <v>0</v>
      </c>
      <c r="L32" s="328">
        <f ca="1">'Balance Sheet'!R17</f>
        <v>0</v>
      </c>
      <c r="M32" s="328">
        <f ca="1">'Balance Sheet'!S17</f>
        <v>0</v>
      </c>
      <c r="N32" s="328">
        <f ca="1">'Balance Sheet'!T17</f>
        <v>0</v>
      </c>
      <c r="O32" s="328">
        <f ca="1">'Balance Sheet'!U17</f>
        <v>0</v>
      </c>
      <c r="P32" s="328">
        <f ca="1">'Balance Sheet'!V17</f>
        <v>0</v>
      </c>
      <c r="Q32" s="328">
        <f ca="1">'Balance Sheet'!W17</f>
        <v>0</v>
      </c>
      <c r="R32" s="328">
        <f ca="1">'Balance Sheet'!X17</f>
        <v>0</v>
      </c>
      <c r="S32" s="328">
        <f ca="1">'Balance Sheet'!Y17</f>
        <v>0</v>
      </c>
      <c r="T32" s="328">
        <f ca="1">'Balance Sheet'!Z17</f>
        <v>0</v>
      </c>
      <c r="U32" s="328">
        <f ca="1">'Balance Sheet'!AA17</f>
        <v>0</v>
      </c>
      <c r="V32" s="328">
        <f ca="1">'Balance Sheet'!AB17</f>
        <v>0</v>
      </c>
      <c r="W32" s="328">
        <f ca="1">'Balance Sheet'!AC17</f>
        <v>0</v>
      </c>
      <c r="X32" s="328">
        <f ca="1">'Balance Sheet'!AD17</f>
        <v>0</v>
      </c>
      <c r="Y32" s="328">
        <f ca="1">'Balance Sheet'!AE17</f>
        <v>0</v>
      </c>
      <c r="Z32" s="328">
        <f ca="1">'Balance Sheet'!AF17</f>
        <v>0</v>
      </c>
      <c r="AA32" s="328">
        <f ca="1">'Balance Sheet'!AG17</f>
        <v>0</v>
      </c>
      <c r="AB32" s="328">
        <f ca="1">'Balance Sheet'!AH17</f>
        <v>0</v>
      </c>
      <c r="AC32" s="328">
        <f ca="1">'Balance Sheet'!AI17</f>
        <v>0</v>
      </c>
      <c r="AD32" s="328">
        <f ca="1">'Balance Sheet'!AJ17</f>
        <v>0</v>
      </c>
      <c r="AE32" s="328">
        <f ca="1">'Balance Sheet'!AK17</f>
        <v>0</v>
      </c>
      <c r="AF32" s="328">
        <f ca="1">'Balance Sheet'!AL17</f>
        <v>0</v>
      </c>
      <c r="AG32" s="328">
        <f ca="1">'Balance Sheet'!AM17</f>
        <v>0</v>
      </c>
      <c r="AH32" s="328">
        <f ca="1">'Balance Sheet'!AN17</f>
        <v>0</v>
      </c>
      <c r="AI32" s="328">
        <f ca="1">'Balance Sheet'!AO17</f>
        <v>0</v>
      </c>
      <c r="AJ32" s="328">
        <f ca="1">'Balance Sheet'!AP17</f>
        <v>0</v>
      </c>
      <c r="AK32" s="328">
        <f ca="1">'Balance Sheet'!AQ17</f>
        <v>0</v>
      </c>
      <c r="AL32" s="328">
        <f ca="1">'Balance Sheet'!AR17</f>
        <v>0</v>
      </c>
      <c r="AM32" s="328">
        <f ca="1">'Balance Sheet'!AS17</f>
        <v>0</v>
      </c>
      <c r="AN32" s="328">
        <f ca="1">'Balance Sheet'!AT17</f>
        <v>0</v>
      </c>
      <c r="AO32" s="328">
        <f ca="1">'Balance Sheet'!AU17</f>
        <v>0</v>
      </c>
      <c r="AP32" s="328">
        <f ca="1">'Balance Sheet'!AV17</f>
        <v>0</v>
      </c>
      <c r="AQ32" s="328">
        <f ca="1">'Balance Sheet'!AW17</f>
        <v>0</v>
      </c>
      <c r="AR32" s="328">
        <f ca="1">'Balance Sheet'!AX17</f>
        <v>0</v>
      </c>
      <c r="AS32" s="328">
        <f ca="1">'Balance Sheet'!AY17</f>
        <v>0</v>
      </c>
      <c r="AT32" s="328">
        <f ca="1">'Balance Sheet'!AZ17</f>
        <v>0</v>
      </c>
      <c r="AU32" s="328">
        <f ca="1">'Balance Sheet'!BA17</f>
        <v>0</v>
      </c>
      <c r="AV32" s="328">
        <f ca="1">'Balance Sheet'!BB17</f>
        <v>0</v>
      </c>
      <c r="AW32" s="328">
        <f ca="1">'Balance Sheet'!BC17</f>
        <v>0</v>
      </c>
      <c r="AX32" s="328">
        <f ca="1">'Balance Sheet'!BD17</f>
        <v>0</v>
      </c>
      <c r="AY32" s="328">
        <f ca="1">'Balance Sheet'!BE17</f>
        <v>0</v>
      </c>
      <c r="AZ32" s="328">
        <f ca="1">'Balance Sheet'!BF17</f>
        <v>0</v>
      </c>
      <c r="BA32" s="328">
        <f ca="1">'Balance Sheet'!BG17</f>
        <v>0</v>
      </c>
      <c r="BB32" s="328">
        <f ca="1">'Balance Sheet'!BH17</f>
        <v>0</v>
      </c>
      <c r="BC32" s="328">
        <f ca="1">'Balance Sheet'!BI17</f>
        <v>0</v>
      </c>
      <c r="BD32" s="328">
        <f ca="1">'Balance Sheet'!BJ17</f>
        <v>0</v>
      </c>
      <c r="BE32" s="328">
        <f ca="1">'Balance Sheet'!BK17</f>
        <v>0</v>
      </c>
      <c r="BF32" s="328">
        <f ca="1">'Balance Sheet'!BL17</f>
        <v>0</v>
      </c>
      <c r="BG32" s="328">
        <f ca="1">'Balance Sheet'!BM17</f>
        <v>0</v>
      </c>
      <c r="BH32" s="328">
        <f ca="1">'Balance Sheet'!BN17</f>
        <v>0</v>
      </c>
      <c r="BI32" s="328">
        <f ca="1">'Balance Sheet'!BO17</f>
        <v>0</v>
      </c>
      <c r="BJ32" s="328">
        <f ca="1">'Balance Sheet'!BP17</f>
        <v>0</v>
      </c>
      <c r="BK32" s="328">
        <f ca="1">'Balance Sheet'!BQ17</f>
        <v>0</v>
      </c>
      <c r="BL32" s="334"/>
      <c r="BM32" s="334"/>
      <c r="BN32" s="334"/>
      <c r="BO32" s="334"/>
      <c r="BP32" s="334"/>
      <c r="BQ32" s="334"/>
      <c r="BR32" s="334"/>
      <c r="BS32" s="329"/>
      <c r="BT32" s="329"/>
      <c r="BU32" s="329"/>
      <c r="BV32" s="329"/>
      <c r="BW32" s="329"/>
      <c r="BX32" s="329"/>
      <c r="BY32" s="329"/>
      <c r="BZ32" s="329"/>
      <c r="CA32" s="329"/>
      <c r="CB32" s="329"/>
      <c r="CC32" s="329"/>
      <c r="CD32" s="329"/>
      <c r="CE32" s="329"/>
      <c r="CF32" s="329"/>
      <c r="CG32" s="329"/>
      <c r="CH32" s="329"/>
      <c r="CI32" s="329"/>
      <c r="CJ32" s="329"/>
      <c r="CK32" s="329"/>
      <c r="CL32" s="329"/>
      <c r="CM32" s="329"/>
      <c r="CN32" s="329"/>
      <c r="CO32" s="329"/>
      <c r="CP32" s="329"/>
      <c r="CQ32" s="329"/>
      <c r="CR32" s="329"/>
      <c r="CS32" s="329"/>
      <c r="CT32" s="329"/>
      <c r="CU32" s="329"/>
      <c r="CV32" s="329"/>
      <c r="CW32" s="329"/>
      <c r="CX32" s="329"/>
      <c r="CY32" s="329"/>
      <c r="CZ32" s="329"/>
      <c r="DA32" s="329"/>
      <c r="DB32" s="329"/>
      <c r="DC32" s="329"/>
      <c r="DD32" s="329"/>
      <c r="DE32" s="329"/>
      <c r="DF32" s="329"/>
      <c r="DG32" s="329"/>
      <c r="DH32" s="329"/>
      <c r="DI32" s="329"/>
      <c r="DJ32" s="329"/>
      <c r="DK32" s="329"/>
      <c r="DL32" s="329"/>
      <c r="DM32" s="329"/>
      <c r="DN32" s="329"/>
      <c r="DO32" s="329"/>
      <c r="DP32" s="329"/>
      <c r="DQ32" s="329"/>
      <c r="DR32" s="329"/>
      <c r="DS32" s="329"/>
      <c r="DT32" s="329"/>
      <c r="DU32" s="329"/>
      <c r="DV32" s="329"/>
      <c r="DW32" s="329"/>
      <c r="DX32" s="329"/>
      <c r="DY32" s="329"/>
      <c r="DZ32" s="329"/>
      <c r="EA32" s="329"/>
      <c r="EB32" s="329"/>
      <c r="EC32" s="329"/>
      <c r="ED32" s="329"/>
      <c r="EE32" s="329"/>
      <c r="EF32" s="329"/>
      <c r="EG32" s="329"/>
      <c r="EH32" s="329"/>
      <c r="EI32" s="329"/>
      <c r="EJ32" s="329"/>
      <c r="EK32" s="329"/>
      <c r="EL32" s="329"/>
      <c r="EM32" s="329"/>
      <c r="EN32" s="329"/>
      <c r="EO32" s="329"/>
      <c r="EP32" s="329"/>
      <c r="EQ32" s="329"/>
      <c r="ER32" s="329"/>
      <c r="ES32" s="329"/>
      <c r="ET32" s="329"/>
      <c r="EU32" s="329"/>
      <c r="EV32" s="329"/>
      <c r="EW32" s="329"/>
      <c r="EX32" s="329"/>
      <c r="EY32" s="329"/>
      <c r="EZ32" s="329"/>
      <c r="FA32" s="329"/>
      <c r="FB32" s="329"/>
      <c r="FC32" s="329"/>
      <c r="FD32" s="329"/>
      <c r="FE32" s="329"/>
      <c r="FF32" s="329"/>
      <c r="FG32" s="329"/>
      <c r="FH32" s="329"/>
      <c r="FI32" s="329"/>
      <c r="FJ32" s="329"/>
      <c r="FK32" s="329"/>
      <c r="FL32" s="329"/>
      <c r="FM32" s="329"/>
      <c r="FN32" s="329"/>
      <c r="FO32" s="329"/>
      <c r="FP32" s="329"/>
      <c r="FQ32" s="329"/>
      <c r="FR32" s="329"/>
      <c r="FS32" s="329"/>
      <c r="FT32" s="329"/>
      <c r="FU32" s="329"/>
      <c r="FV32" s="329"/>
      <c r="FW32" s="329"/>
      <c r="FX32" s="329"/>
      <c r="FY32" s="329"/>
      <c r="FZ32" s="329"/>
      <c r="GA32" s="329"/>
      <c r="GB32" s="329"/>
      <c r="GC32" s="329"/>
      <c r="GD32" s="329"/>
      <c r="GE32" s="329"/>
      <c r="GF32" s="329"/>
      <c r="GG32" s="329"/>
      <c r="GH32" s="329"/>
      <c r="GI32" s="329"/>
      <c r="GJ32" s="329"/>
      <c r="GK32" s="329"/>
      <c r="GL32" s="329"/>
      <c r="GM32" s="329"/>
      <c r="GN32" s="329"/>
      <c r="GO32" s="329"/>
      <c r="GP32" s="329"/>
      <c r="GQ32" s="329"/>
      <c r="GR32" s="329"/>
      <c r="GS32" s="329"/>
      <c r="GT32" s="329"/>
      <c r="GU32" s="329"/>
      <c r="GV32" s="329"/>
      <c r="GW32" s="329"/>
      <c r="GX32" s="329"/>
      <c r="GY32" s="329"/>
      <c r="GZ32" s="329"/>
      <c r="HA32" s="329"/>
      <c r="HB32" s="329"/>
      <c r="HC32" s="329"/>
      <c r="HD32" s="329"/>
      <c r="HE32" s="329"/>
      <c r="HF32" s="329"/>
      <c r="HG32" s="329"/>
      <c r="HH32" s="329"/>
      <c r="HI32" s="329"/>
      <c r="HJ32" s="329"/>
      <c r="HK32" s="329"/>
      <c r="HL32" s="329"/>
      <c r="HM32" s="329"/>
      <c r="HN32" s="329"/>
      <c r="HO32" s="329"/>
      <c r="HP32" s="329"/>
      <c r="HQ32" s="329"/>
      <c r="HR32" s="329"/>
      <c r="HS32" s="329"/>
      <c r="HT32" s="329"/>
      <c r="HU32" s="329"/>
      <c r="HV32" s="329"/>
      <c r="HW32" s="329"/>
      <c r="HX32" s="329"/>
      <c r="HY32" s="329"/>
      <c r="HZ32" s="329"/>
      <c r="IA32" s="329"/>
      <c r="IB32" s="329"/>
      <c r="IC32" s="329"/>
      <c r="ID32" s="329"/>
      <c r="IE32" s="329"/>
      <c r="IF32" s="329"/>
      <c r="IG32" s="329"/>
      <c r="IH32" s="329"/>
      <c r="II32" s="329"/>
      <c r="IJ32" s="329"/>
      <c r="IK32" s="329"/>
      <c r="IL32" s="329"/>
      <c r="IM32" s="329"/>
      <c r="IN32" s="329"/>
      <c r="IO32" s="329"/>
      <c r="IP32" s="329"/>
      <c r="IQ32" s="329"/>
      <c r="IR32" s="329"/>
    </row>
    <row r="33" spans="1:252" s="332" customFormat="1">
      <c r="A33" s="323"/>
      <c r="B33" s="327" t="str">
        <f>'Balance Sheet'!E18</f>
        <v>Asset Finance balance</v>
      </c>
      <c r="C33" s="324"/>
      <c r="D33" s="328">
        <f ca="1">'Balance Sheet'!J18</f>
        <v>175000</v>
      </c>
      <c r="E33" s="328">
        <f ca="1">'Balance Sheet'!K18</f>
        <v>167708.33333333334</v>
      </c>
      <c r="F33" s="328">
        <f ca="1">'Balance Sheet'!L18</f>
        <v>160720.48611111112</v>
      </c>
      <c r="G33" s="328">
        <f ca="1">'Balance Sheet'!M18</f>
        <v>154023.79918981483</v>
      </c>
      <c r="H33" s="328">
        <f ca="1">'Balance Sheet'!N18</f>
        <v>147606.14089023921</v>
      </c>
      <c r="I33" s="328">
        <f ca="1">'Balance Sheet'!O18</f>
        <v>141455.88501981259</v>
      </c>
      <c r="J33" s="328">
        <f ca="1">'Balance Sheet'!P18</f>
        <v>310561.88981065375</v>
      </c>
      <c r="K33" s="328">
        <f ca="1">'Balance Sheet'!Q18</f>
        <v>297621.81106854317</v>
      </c>
      <c r="L33" s="328">
        <f ca="1">'Balance Sheet'!R18</f>
        <v>285220.90227402054</v>
      </c>
      <c r="M33" s="328">
        <f ca="1">'Balance Sheet'!S18</f>
        <v>273336.69801260304</v>
      </c>
      <c r="N33" s="328">
        <f ca="1">'Balance Sheet'!T18</f>
        <v>261947.66892874459</v>
      </c>
      <c r="O33" s="328">
        <f ca="1">'Balance Sheet'!U18</f>
        <v>251033.18272338025</v>
      </c>
      <c r="P33" s="328">
        <f ca="1">'Balance Sheet'!V18</f>
        <v>415573.46677657275</v>
      </c>
      <c r="Q33" s="328">
        <f ca="1">'Balance Sheet'!W18</f>
        <v>398257.90566088224</v>
      </c>
      <c r="R33" s="328">
        <f ca="1">'Balance Sheet'!X18</f>
        <v>381663.82625834551</v>
      </c>
      <c r="S33" s="328">
        <f ca="1">'Balance Sheet'!Y18</f>
        <v>365761.16683091444</v>
      </c>
      <c r="T33" s="328">
        <f ca="1">'Balance Sheet'!Z18</f>
        <v>525521.11821295973</v>
      </c>
      <c r="U33" s="328">
        <f ca="1">'Balance Sheet'!AA18</f>
        <v>503624.40495408641</v>
      </c>
      <c r="V33" s="328">
        <f ca="1">'Balance Sheet'!AB18</f>
        <v>482640.05474766612</v>
      </c>
      <c r="W33" s="328">
        <f ca="1">'Balance Sheet'!AC18</f>
        <v>462530.05246651336</v>
      </c>
      <c r="X33" s="328">
        <f ca="1">'Balance Sheet'!AD18</f>
        <v>618257.96694707533</v>
      </c>
      <c r="Y33" s="328">
        <f ca="1">'Balance Sheet'!AE18</f>
        <v>592497.21832428058</v>
      </c>
      <c r="Z33" s="328">
        <f ca="1">'Balance Sheet'!AF18</f>
        <v>567809.83422743552</v>
      </c>
      <c r="AA33" s="328">
        <f ca="1">'Balance Sheet'!AG18</f>
        <v>719151.09113462572</v>
      </c>
      <c r="AB33" s="328">
        <f ca="1">'Balance Sheet'!AH18</f>
        <v>689186.46233734966</v>
      </c>
      <c r="AC33" s="328">
        <f ca="1">'Balance Sheet'!AI18</f>
        <v>835470.35973996005</v>
      </c>
      <c r="AD33" s="328">
        <f ca="1">'Balance Sheet'!AJ18</f>
        <v>800659.09475079505</v>
      </c>
      <c r="AE33" s="328">
        <f ca="1">'Balance Sheet'!AK18</f>
        <v>767298.29913617857</v>
      </c>
      <c r="AF33" s="328">
        <f ca="1">'Balance Sheet'!AL18</f>
        <v>910327.53667217109</v>
      </c>
      <c r="AG33" s="328">
        <f ca="1">'Balance Sheet'!AM18</f>
        <v>872397.22264416399</v>
      </c>
      <c r="AH33" s="328">
        <f ca="1">'Balance Sheet'!AN18</f>
        <v>836047.33836732386</v>
      </c>
      <c r="AI33" s="328">
        <f ca="1">'Balance Sheet'!AO18</f>
        <v>976212.03260201868</v>
      </c>
      <c r="AJ33" s="328">
        <f ca="1">'Balance Sheet'!AP18</f>
        <v>935536.53124360123</v>
      </c>
      <c r="AK33" s="328">
        <f ca="1">'Balance Sheet'!AQ18</f>
        <v>1071555.8424417847</v>
      </c>
      <c r="AL33" s="328">
        <f ca="1">'Balance Sheet'!AR18</f>
        <v>1026907.6823400436</v>
      </c>
      <c r="AM33" s="328">
        <f ca="1">'Balance Sheet'!AS18</f>
        <v>1159119.8622425417</v>
      </c>
      <c r="AN33" s="328">
        <f ca="1">'Balance Sheet'!AT18</f>
        <v>1285823.2013157692</v>
      </c>
      <c r="AO33" s="328">
        <f ca="1">'Balance Sheet'!AU18</f>
        <v>1232247.2345942787</v>
      </c>
      <c r="AP33" s="328">
        <f ca="1">'Balance Sheet'!AV18</f>
        <v>1355903.5998195172</v>
      </c>
      <c r="AQ33" s="328">
        <f ca="1">'Balance Sheet'!AW18</f>
        <v>1474407.616493704</v>
      </c>
      <c r="AR33" s="328">
        <f ca="1">'Balance Sheet'!AX18</f>
        <v>1412973.9658064663</v>
      </c>
      <c r="AS33" s="328">
        <f ca="1">'Balance Sheet'!AY18</f>
        <v>1529100.0505645303</v>
      </c>
      <c r="AT33" s="328">
        <f ca="1">'Balance Sheet'!AZ18</f>
        <v>1640387.5484576749</v>
      </c>
      <c r="AU33" s="328">
        <f ca="1">'Balance Sheet'!BA18</f>
        <v>1747038.0672719385</v>
      </c>
      <c r="AV33" s="328">
        <f ca="1">'Balance Sheet'!BB18</f>
        <v>1849244.8144689412</v>
      </c>
      <c r="AW33" s="328">
        <f ca="1">'Balance Sheet'!BC18</f>
        <v>1947192.9471994019</v>
      </c>
      <c r="AX33" s="328">
        <f ca="1">'Balance Sheet'!BD18</f>
        <v>2041059.9077327601</v>
      </c>
      <c r="AY33" s="328">
        <f ca="1">'Balance Sheet'!BE18</f>
        <v>2131015.7449105619</v>
      </c>
      <c r="AZ33" s="328">
        <f ca="1">'Balance Sheet'!BF18</f>
        <v>2217223.4222059553</v>
      </c>
      <c r="BA33" s="328">
        <f ca="1">'Balance Sheet'!BG18</f>
        <v>2299839.1129473737</v>
      </c>
      <c r="BB33" s="328">
        <f ca="1">'Balance Sheet'!BH18</f>
        <v>2379012.483241233</v>
      </c>
      <c r="BC33" s="328">
        <f ca="1">'Balance Sheet'!BI18</f>
        <v>2454886.9631061815</v>
      </c>
      <c r="BD33" s="328">
        <f ca="1">'Balance Sheet'!BJ18</f>
        <v>2527600.0063100904</v>
      </c>
      <c r="BE33" s="328">
        <f ca="1">'Balance Sheet'!BK18</f>
        <v>2597283.3393805032</v>
      </c>
      <c r="BF33" s="328">
        <f ca="1">'Balance Sheet'!BL18</f>
        <v>2664063.200239649</v>
      </c>
      <c r="BG33" s="328">
        <f ca="1">'Balance Sheet'!BM18</f>
        <v>2728060.5668963306</v>
      </c>
      <c r="BH33" s="328">
        <f ca="1">'Balance Sheet'!BN18</f>
        <v>2789391.3766089836</v>
      </c>
      <c r="BI33" s="328">
        <f ca="1">'Balance Sheet'!BO18</f>
        <v>2848166.7359169428</v>
      </c>
      <c r="BJ33" s="328">
        <f ca="1">'Balance Sheet'!BP18</f>
        <v>2904493.1219204036</v>
      </c>
      <c r="BK33" s="328">
        <f ca="1">'Balance Sheet'!BQ18</f>
        <v>2958472.5751737203</v>
      </c>
      <c r="BL33" s="323"/>
      <c r="BM33" s="323"/>
      <c r="BN33" s="323"/>
      <c r="BO33" s="323"/>
      <c r="BP33" s="323"/>
      <c r="BQ33" s="323"/>
      <c r="BR33" s="323"/>
      <c r="BS33" s="323"/>
      <c r="BT33" s="323"/>
      <c r="BU33" s="323"/>
      <c r="BV33" s="323"/>
      <c r="BW33" s="323"/>
      <c r="BX33" s="323"/>
      <c r="BY33" s="323"/>
      <c r="BZ33" s="323"/>
      <c r="CA33" s="323"/>
      <c r="CB33" s="323"/>
      <c r="CC33" s="323"/>
      <c r="CD33" s="323"/>
      <c r="CE33" s="323"/>
      <c r="CF33" s="323"/>
      <c r="CG33" s="323"/>
      <c r="CH33" s="323"/>
      <c r="CI33" s="323"/>
      <c r="CJ33" s="323"/>
      <c r="CK33" s="323"/>
      <c r="CL33" s="323"/>
      <c r="CM33" s="323"/>
      <c r="CN33" s="323"/>
      <c r="CO33" s="323"/>
      <c r="CP33" s="323"/>
      <c r="CQ33" s="323"/>
      <c r="CR33" s="323"/>
      <c r="CS33" s="323"/>
      <c r="CT33" s="323"/>
      <c r="CU33" s="323"/>
      <c r="CV33" s="323"/>
      <c r="CW33" s="323"/>
      <c r="CX33" s="323"/>
      <c r="CY33" s="323"/>
      <c r="CZ33" s="323"/>
      <c r="DA33" s="323"/>
      <c r="DB33" s="323"/>
      <c r="DC33" s="323"/>
      <c r="DD33" s="323"/>
      <c r="DE33" s="323"/>
      <c r="DF33" s="323"/>
      <c r="DG33" s="323"/>
      <c r="DH33" s="323"/>
      <c r="DI33" s="323"/>
      <c r="DJ33" s="323"/>
      <c r="DK33" s="323"/>
      <c r="DL33" s="323"/>
      <c r="DM33" s="323"/>
      <c r="DN33" s="323"/>
      <c r="DO33" s="323"/>
      <c r="DP33" s="323"/>
      <c r="DQ33" s="323"/>
      <c r="DR33" s="323"/>
      <c r="DS33" s="323"/>
      <c r="DT33" s="323"/>
      <c r="DU33" s="323"/>
      <c r="DV33" s="323"/>
      <c r="DW33" s="323"/>
      <c r="DX33" s="323"/>
      <c r="DY33" s="323"/>
      <c r="DZ33" s="323"/>
      <c r="EA33" s="323"/>
      <c r="EB33" s="323"/>
      <c r="EC33" s="323"/>
      <c r="ED33" s="323"/>
      <c r="EE33" s="323"/>
      <c r="EF33" s="323"/>
      <c r="EG33" s="323"/>
      <c r="EH33" s="323"/>
      <c r="EI33" s="323"/>
      <c r="EJ33" s="323"/>
      <c r="EK33" s="323"/>
      <c r="EL33" s="323"/>
      <c r="EM33" s="323"/>
      <c r="EN33" s="323"/>
      <c r="EO33" s="323"/>
      <c r="EP33" s="323"/>
      <c r="EQ33" s="323"/>
      <c r="ER33" s="323"/>
      <c r="ES33" s="323"/>
      <c r="ET33" s="323"/>
      <c r="EU33" s="323"/>
      <c r="EV33" s="323"/>
      <c r="EW33" s="323"/>
      <c r="EX33" s="323"/>
      <c r="EY33" s="323"/>
      <c r="EZ33" s="323"/>
      <c r="FA33" s="323"/>
      <c r="FB33" s="323"/>
      <c r="FC33" s="323"/>
      <c r="FD33" s="323"/>
      <c r="FE33" s="323"/>
      <c r="FF33" s="323"/>
      <c r="FG33" s="323"/>
      <c r="FH33" s="323"/>
      <c r="FI33" s="323"/>
      <c r="FJ33" s="323"/>
      <c r="FK33" s="323"/>
      <c r="FL33" s="323"/>
      <c r="FM33" s="323"/>
      <c r="FN33" s="323"/>
      <c r="FO33" s="323"/>
      <c r="FP33" s="323"/>
      <c r="FQ33" s="323"/>
      <c r="FR33" s="323"/>
      <c r="FS33" s="323"/>
      <c r="FT33" s="323"/>
      <c r="FU33" s="323"/>
      <c r="FV33" s="323"/>
      <c r="FW33" s="323"/>
      <c r="FX33" s="323"/>
      <c r="FY33" s="323"/>
      <c r="FZ33" s="323"/>
      <c r="GA33" s="323"/>
      <c r="GB33" s="323"/>
      <c r="GC33" s="323"/>
      <c r="GD33" s="323"/>
      <c r="GE33" s="323"/>
      <c r="GF33" s="323"/>
      <c r="GG33" s="323"/>
      <c r="GH33" s="323"/>
      <c r="GI33" s="323"/>
      <c r="GJ33" s="323"/>
      <c r="GK33" s="323"/>
      <c r="GL33" s="323"/>
      <c r="GM33" s="323"/>
      <c r="GN33" s="323"/>
      <c r="GO33" s="323"/>
      <c r="GP33" s="323"/>
      <c r="GQ33" s="323"/>
      <c r="GR33" s="323"/>
      <c r="GS33" s="323"/>
      <c r="GT33" s="323"/>
      <c r="GU33" s="323"/>
      <c r="GV33" s="323"/>
      <c r="GW33" s="323"/>
      <c r="GX33" s="323"/>
      <c r="GY33" s="323"/>
      <c r="GZ33" s="323"/>
      <c r="HA33" s="323"/>
      <c r="HB33" s="323"/>
      <c r="HC33" s="323"/>
      <c r="HD33" s="323"/>
      <c r="HE33" s="323"/>
      <c r="HF33" s="323"/>
      <c r="HG33" s="323"/>
      <c r="HH33" s="323"/>
      <c r="HI33" s="323"/>
      <c r="HJ33" s="323"/>
      <c r="HK33" s="323"/>
      <c r="HL33" s="323"/>
      <c r="HM33" s="323"/>
      <c r="HN33" s="323"/>
      <c r="HO33" s="323"/>
      <c r="HP33" s="323"/>
      <c r="HQ33" s="323"/>
      <c r="HR33" s="323"/>
      <c r="HS33" s="323"/>
      <c r="HT33" s="323"/>
      <c r="HU33" s="323"/>
      <c r="HV33" s="323"/>
      <c r="HW33" s="323"/>
      <c r="HX33" s="323"/>
      <c r="HY33" s="323"/>
      <c r="HZ33" s="323"/>
      <c r="IA33" s="323"/>
      <c r="IB33" s="323"/>
      <c r="IC33" s="323"/>
      <c r="ID33" s="323"/>
      <c r="IE33" s="323"/>
      <c r="IF33" s="323"/>
      <c r="IG33" s="323"/>
      <c r="IH33" s="323"/>
      <c r="II33" s="323"/>
      <c r="IJ33" s="323"/>
      <c r="IK33" s="323"/>
      <c r="IL33" s="323"/>
      <c r="IM33" s="323"/>
      <c r="IN33" s="323"/>
      <c r="IO33" s="323"/>
      <c r="IP33" s="323"/>
      <c r="IQ33" s="323"/>
      <c r="IR33" s="323"/>
    </row>
    <row r="34" spans="1:252">
      <c r="B34" s="327" t="str">
        <f>'Balance Sheet'!E19</f>
        <v>VAT balance</v>
      </c>
      <c r="C34" s="324"/>
      <c r="D34" s="328">
        <f ca="1">'Balance Sheet'!J19</f>
        <v>-40220</v>
      </c>
      <c r="E34" s="328">
        <f ca="1">'Balance Sheet'!K19</f>
        <v>-45483.658917580258</v>
      </c>
      <c r="F34" s="328">
        <f ca="1">'Balance Sheet'!L19</f>
        <v>-5308.42850641322</v>
      </c>
      <c r="G34" s="328">
        <f ca="1">'Balance Sheet'!M19</f>
        <v>-10775.292237083948</v>
      </c>
      <c r="H34" s="328">
        <f ca="1">'Balance Sheet'!N19</f>
        <v>-16294.149463501151</v>
      </c>
      <c r="I34" s="328">
        <f ca="1">'Balance Sheet'!O19</f>
        <v>-5572.1734228684691</v>
      </c>
      <c r="J34" s="328">
        <f ca="1">'Balance Sheet'!P19</f>
        <v>-46314.800606783698</v>
      </c>
      <c r="K34" s="328">
        <f ca="1">'Balance Sheet'!Q19</f>
        <v>68740.257737856227</v>
      </c>
      <c r="L34" s="328">
        <f ca="1">'Balance Sheet'!R19</f>
        <v>15752.014109771204</v>
      </c>
      <c r="M34" s="328">
        <f ca="1">'Balance Sheet'!S19</f>
        <v>11222.045205862178</v>
      </c>
      <c r="N34" s="328">
        <f ca="1">'Balance Sheet'!T19</f>
        <v>5102.8626851205763</v>
      </c>
      <c r="O34" s="328">
        <f ca="1">'Balance Sheet'!U19</f>
        <v>-6196.7550234558857</v>
      </c>
      <c r="P34" s="328">
        <f ca="1">'Balance Sheet'!V19</f>
        <v>-47586.755023455888</v>
      </c>
      <c r="Q34" s="328">
        <f ca="1">'Balance Sheet'!W19</f>
        <v>73331.977328029301</v>
      </c>
      <c r="R34" s="328">
        <f ca="1">'Balance Sheet'!X19</f>
        <v>10034.489581142523</v>
      </c>
      <c r="S34" s="328">
        <f ca="1">'Balance Sheet'!Y19</f>
        <v>3247.5237834504405</v>
      </c>
      <c r="T34" s="328">
        <f ca="1">'Balance Sheet'!Z19</f>
        <v>-38643.356201628834</v>
      </c>
      <c r="U34" s="328">
        <f ca="1">'Balance Sheet'!AA19</f>
        <v>-6997.4292817000678</v>
      </c>
      <c r="V34" s="328">
        <f ca="1">'Balance Sheet'!AB19</f>
        <v>-14234.640073612671</v>
      </c>
      <c r="W34" s="328">
        <f ca="1">'Balance Sheet'!AC19</f>
        <v>243266.08257053205</v>
      </c>
      <c r="X34" s="328">
        <f ca="1">'Balance Sheet'!AD19</f>
        <v>-20868.95033624093</v>
      </c>
      <c r="Y34" s="328">
        <f ca="1">'Balance Sheet'!AE19</f>
        <v>-27101.113364207602</v>
      </c>
      <c r="Z34" s="328">
        <f ca="1">'Balance Sheet'!AF19</f>
        <v>-34988.476364123555</v>
      </c>
      <c r="AA34" s="328">
        <f ca="1">'Balance Sheet'!AG19</f>
        <v>100957.13492645105</v>
      </c>
      <c r="AB34" s="328">
        <f ca="1">'Balance Sheet'!AH19</f>
        <v>91981.839413896334</v>
      </c>
      <c r="AC34" s="328">
        <f ca="1">'Balance Sheet'!AI19</f>
        <v>203990.04489077616</v>
      </c>
      <c r="AD34" s="328">
        <f ca="1">'Balance Sheet'!AJ19</f>
        <v>37740.50373009668</v>
      </c>
      <c r="AE34" s="328">
        <f ca="1">'Balance Sheet'!AK19</f>
        <v>204296.76468046539</v>
      </c>
      <c r="AF34" s="328">
        <f ca="1">'Balance Sheet'!AL19</f>
        <v>193559.19422678204</v>
      </c>
      <c r="AG34" s="328">
        <f ca="1">'Balance Sheet'!AM19</f>
        <v>26081.030829183583</v>
      </c>
      <c r="AH34" s="328">
        <f ca="1">'Balance Sheet'!AN19</f>
        <v>197873.29130389681</v>
      </c>
      <c r="AI34" s="328">
        <f ca="1">'Balance Sheet'!AO19</f>
        <v>336707.53418296378</v>
      </c>
      <c r="AJ34" s="328">
        <f ca="1">'Balance Sheet'!AP19</f>
        <v>175905.86531561724</v>
      </c>
      <c r="AK34" s="328">
        <f ca="1">'Balance Sheet'!AQ19</f>
        <v>174953.91544635152</v>
      </c>
      <c r="AL34" s="328">
        <f ca="1">'Balance Sheet'!AR19</f>
        <v>211457.16615017428</v>
      </c>
      <c r="AM34" s="328">
        <f ca="1">'Balance Sheet'!AS19</f>
        <v>291795.14847907308</v>
      </c>
      <c r="AN34" s="328">
        <f ca="1">'Balance Sheet'!AT19</f>
        <v>298165.1906225165</v>
      </c>
      <c r="AO34" s="328">
        <f ca="1">'Balance Sheet'!AU19</f>
        <v>371087.59641166066</v>
      </c>
      <c r="AP34" s="328">
        <f ca="1">'Balance Sheet'!AV19</f>
        <v>186775.9064405245</v>
      </c>
      <c r="AQ34" s="328">
        <f ca="1">'Balance Sheet'!AW19</f>
        <v>378296.45946276613</v>
      </c>
      <c r="AR34" s="328">
        <f ca="1">'Balance Sheet'!AX19</f>
        <v>610187.77625286591</v>
      </c>
      <c r="AS34" s="328">
        <f ca="1">'Balance Sheet'!AY19</f>
        <v>58605.366415737895</v>
      </c>
      <c r="AT34" s="328">
        <f ca="1">'Balance Sheet'!AZ19</f>
        <v>410884.45196055993</v>
      </c>
      <c r="AU34" s="328">
        <f ca="1">'Balance Sheet'!BA19</f>
        <v>625578.68716786429</v>
      </c>
      <c r="AV34" s="328">
        <f ca="1">'Balance Sheet'!BB19</f>
        <v>221227.18327054882</v>
      </c>
      <c r="AW34" s="328">
        <f ca="1">'Balance Sheet'!BC19</f>
        <v>449529.14922285144</v>
      </c>
      <c r="AX34" s="328">
        <f ca="1">'Balance Sheet'!BD19</f>
        <v>685522.65563876927</v>
      </c>
      <c r="AY34" s="328">
        <f ca="1">'Balance Sheet'!BE19</f>
        <v>243216.41597105563</v>
      </c>
      <c r="AZ34" s="328">
        <f ca="1">'Balance Sheet'!BF19</f>
        <v>494823.17089939129</v>
      </c>
      <c r="BA34" s="328">
        <f ca="1">'Balance Sheet'!BG19</f>
        <v>781053.70518652978</v>
      </c>
      <c r="BB34" s="328">
        <f ca="1">'Balance Sheet'!BH19</f>
        <v>441454.00891815987</v>
      </c>
      <c r="BC34" s="328">
        <f ca="1">'Balance Sheet'!BI19</f>
        <v>750139.25099852565</v>
      </c>
      <c r="BD34" s="328">
        <f ca="1">'Balance Sheet'!BJ19</f>
        <v>1215329.8641746363</v>
      </c>
      <c r="BE34" s="328">
        <f ca="1">'Balance Sheet'!BK19</f>
        <v>334489.39073877851</v>
      </c>
      <c r="BF34" s="328">
        <f ca="1">'Balance Sheet'!BL19</f>
        <v>826378.50027102837</v>
      </c>
      <c r="BG34" s="328">
        <f ca="1">'Balance Sheet'!BM19</f>
        <v>1333198.0654881524</v>
      </c>
      <c r="BH34" s="328">
        <f ca="1">'Balance Sheet'!BN19</f>
        <v>378067.39412687602</v>
      </c>
      <c r="BI34" s="328">
        <f ca="1">'Balance Sheet'!BO19</f>
        <v>916812.72145914636</v>
      </c>
      <c r="BJ34" s="328">
        <f ca="1">'Balance Sheet'!BP19</f>
        <v>1473406.8591132574</v>
      </c>
      <c r="BK34" s="328">
        <f ca="1">'Balance Sheet'!BQ19</f>
        <v>429412.62476073159</v>
      </c>
      <c r="BL34" s="334"/>
      <c r="BM34" s="334"/>
      <c r="BN34" s="334"/>
      <c r="BO34" s="334"/>
      <c r="BP34" s="334"/>
      <c r="BQ34" s="334"/>
      <c r="BR34" s="334"/>
      <c r="BS34" s="329"/>
      <c r="BT34" s="329"/>
      <c r="BU34" s="329"/>
      <c r="BV34" s="329"/>
      <c r="BW34" s="329"/>
      <c r="BX34" s="329"/>
      <c r="BY34" s="329"/>
      <c r="BZ34" s="329"/>
      <c r="CA34" s="329"/>
      <c r="CB34" s="329"/>
      <c r="CC34" s="329"/>
      <c r="CD34" s="329"/>
      <c r="CE34" s="329"/>
      <c r="CF34" s="329"/>
      <c r="CG34" s="329"/>
      <c r="CH34" s="329"/>
      <c r="CI34" s="329"/>
      <c r="CJ34" s="329"/>
      <c r="CK34" s="329"/>
      <c r="CL34" s="329"/>
      <c r="CM34" s="329"/>
      <c r="CN34" s="329"/>
      <c r="CO34" s="329"/>
      <c r="CP34" s="329"/>
      <c r="CQ34" s="329"/>
      <c r="CR34" s="329"/>
      <c r="CS34" s="329"/>
      <c r="CT34" s="329"/>
      <c r="CU34" s="329"/>
      <c r="CV34" s="329"/>
      <c r="CW34" s="329"/>
      <c r="CX34" s="329"/>
      <c r="CY34" s="329"/>
      <c r="CZ34" s="329"/>
      <c r="DA34" s="329"/>
      <c r="DB34" s="329"/>
      <c r="DC34" s="329"/>
      <c r="DD34" s="329"/>
      <c r="DE34" s="329"/>
      <c r="DF34" s="329"/>
      <c r="DG34" s="329"/>
      <c r="DH34" s="329"/>
      <c r="DI34" s="329"/>
      <c r="DJ34" s="329"/>
      <c r="DK34" s="329"/>
      <c r="DL34" s="329"/>
      <c r="DM34" s="329"/>
      <c r="DN34" s="329"/>
      <c r="DO34" s="329"/>
      <c r="DP34" s="329"/>
      <c r="DQ34" s="329"/>
      <c r="DR34" s="329"/>
      <c r="DS34" s="329"/>
      <c r="DT34" s="329"/>
      <c r="DU34" s="329"/>
      <c r="DV34" s="329"/>
      <c r="DW34" s="329"/>
      <c r="DX34" s="329"/>
      <c r="DY34" s="329"/>
      <c r="DZ34" s="329"/>
      <c r="EA34" s="329"/>
      <c r="EB34" s="329"/>
      <c r="EC34" s="329"/>
      <c r="ED34" s="329"/>
      <c r="EE34" s="329"/>
      <c r="EF34" s="329"/>
      <c r="EG34" s="329"/>
      <c r="EH34" s="329"/>
      <c r="EI34" s="329"/>
      <c r="EJ34" s="329"/>
      <c r="EK34" s="329"/>
      <c r="EL34" s="329"/>
      <c r="EM34" s="329"/>
      <c r="EN34" s="329"/>
      <c r="EO34" s="329"/>
      <c r="EP34" s="329"/>
      <c r="EQ34" s="329"/>
      <c r="ER34" s="329"/>
      <c r="ES34" s="329"/>
      <c r="ET34" s="329"/>
      <c r="EU34" s="329"/>
      <c r="EV34" s="329"/>
      <c r="EW34" s="329"/>
      <c r="EX34" s="329"/>
      <c r="EY34" s="329"/>
      <c r="EZ34" s="329"/>
      <c r="FA34" s="329"/>
      <c r="FB34" s="329"/>
      <c r="FC34" s="329"/>
      <c r="FD34" s="329"/>
      <c r="FE34" s="329"/>
      <c r="FF34" s="329"/>
      <c r="FG34" s="329"/>
      <c r="FH34" s="329"/>
      <c r="FI34" s="329"/>
      <c r="FJ34" s="329"/>
      <c r="FK34" s="329"/>
      <c r="FL34" s="329"/>
      <c r="FM34" s="329"/>
      <c r="FN34" s="329"/>
      <c r="FO34" s="329"/>
      <c r="FP34" s="329"/>
      <c r="FQ34" s="329"/>
      <c r="FR34" s="329"/>
      <c r="FS34" s="329"/>
      <c r="FT34" s="329"/>
      <c r="FU34" s="329"/>
      <c r="FV34" s="329"/>
      <c r="FW34" s="329"/>
      <c r="FX34" s="329"/>
      <c r="FY34" s="329"/>
      <c r="FZ34" s="329"/>
      <c r="GA34" s="329"/>
      <c r="GB34" s="329"/>
      <c r="GC34" s="329"/>
      <c r="GD34" s="329"/>
      <c r="GE34" s="329"/>
      <c r="GF34" s="329"/>
      <c r="GG34" s="329"/>
      <c r="GH34" s="329"/>
      <c r="GI34" s="329"/>
      <c r="GJ34" s="329"/>
      <c r="GK34" s="329"/>
      <c r="GL34" s="329"/>
      <c r="GM34" s="329"/>
      <c r="GN34" s="329"/>
      <c r="GO34" s="329"/>
      <c r="GP34" s="329"/>
      <c r="GQ34" s="329"/>
      <c r="GR34" s="329"/>
      <c r="GS34" s="329"/>
      <c r="GT34" s="329"/>
      <c r="GU34" s="329"/>
      <c r="GV34" s="329"/>
      <c r="GW34" s="329"/>
      <c r="GX34" s="329"/>
      <c r="GY34" s="329"/>
      <c r="GZ34" s="329"/>
      <c r="HA34" s="329"/>
      <c r="HB34" s="329"/>
      <c r="HC34" s="329"/>
      <c r="HD34" s="329"/>
      <c r="HE34" s="329"/>
      <c r="HF34" s="329"/>
      <c r="HG34" s="329"/>
      <c r="HH34" s="329"/>
      <c r="HI34" s="329"/>
      <c r="HJ34" s="329"/>
      <c r="HK34" s="329"/>
      <c r="HL34" s="329"/>
      <c r="HM34" s="329"/>
      <c r="HN34" s="329"/>
      <c r="HO34" s="329"/>
      <c r="HP34" s="329"/>
      <c r="HQ34" s="329"/>
      <c r="HR34" s="329"/>
      <c r="HS34" s="329"/>
      <c r="HT34" s="329"/>
      <c r="HU34" s="329"/>
      <c r="HV34" s="329"/>
      <c r="HW34" s="329"/>
      <c r="HX34" s="329"/>
      <c r="HY34" s="329"/>
      <c r="HZ34" s="329"/>
      <c r="IA34" s="329"/>
      <c r="IB34" s="329"/>
      <c r="IC34" s="329"/>
      <c r="ID34" s="329"/>
      <c r="IE34" s="329"/>
      <c r="IF34" s="329"/>
      <c r="IG34" s="329"/>
      <c r="IH34" s="329"/>
      <c r="II34" s="329"/>
      <c r="IJ34" s="329"/>
      <c r="IK34" s="329"/>
      <c r="IL34" s="329"/>
      <c r="IM34" s="329"/>
      <c r="IN34" s="329"/>
      <c r="IO34" s="329"/>
      <c r="IP34" s="329"/>
      <c r="IQ34" s="329"/>
      <c r="IR34" s="329"/>
    </row>
    <row r="35" spans="1:252">
      <c r="A35" s="323"/>
      <c r="B35" s="327" t="str">
        <f>'Balance Sheet'!E20</f>
        <v>Corporation tax creditor</v>
      </c>
      <c r="C35" s="324"/>
      <c r="D35" s="328">
        <f ca="1">'Balance Sheet'!J20</f>
        <v>0</v>
      </c>
      <c r="E35" s="328">
        <f ca="1">'Balance Sheet'!K20</f>
        <v>0</v>
      </c>
      <c r="F35" s="328">
        <f ca="1">'Balance Sheet'!L20</f>
        <v>0</v>
      </c>
      <c r="G35" s="328">
        <f ca="1">'Balance Sheet'!M20</f>
        <v>0</v>
      </c>
      <c r="H35" s="328">
        <f ca="1">'Balance Sheet'!N20</f>
        <v>0</v>
      </c>
      <c r="I35" s="328">
        <f ca="1">'Balance Sheet'!O20</f>
        <v>0</v>
      </c>
      <c r="J35" s="328">
        <f ca="1">'Balance Sheet'!P20</f>
        <v>0</v>
      </c>
      <c r="K35" s="328">
        <f ca="1">'Balance Sheet'!Q20</f>
        <v>0</v>
      </c>
      <c r="L35" s="328">
        <f ca="1">'Balance Sheet'!R20</f>
        <v>0</v>
      </c>
      <c r="M35" s="328">
        <f ca="1">'Balance Sheet'!S20</f>
        <v>0</v>
      </c>
      <c r="N35" s="328">
        <f ca="1">'Balance Sheet'!T20</f>
        <v>0</v>
      </c>
      <c r="O35" s="328">
        <f ca="1">'Balance Sheet'!U20</f>
        <v>0</v>
      </c>
      <c r="P35" s="328">
        <f ca="1">'Balance Sheet'!V20</f>
        <v>0</v>
      </c>
      <c r="Q35" s="328">
        <f ca="1">'Balance Sheet'!W20</f>
        <v>0</v>
      </c>
      <c r="R35" s="328">
        <f ca="1">'Balance Sheet'!X20</f>
        <v>0</v>
      </c>
      <c r="S35" s="328">
        <f ca="1">'Balance Sheet'!Y20</f>
        <v>0</v>
      </c>
      <c r="T35" s="328">
        <f ca="1">'Balance Sheet'!Z20</f>
        <v>0</v>
      </c>
      <c r="U35" s="328">
        <f ca="1">'Balance Sheet'!AA20</f>
        <v>0</v>
      </c>
      <c r="V35" s="328">
        <f ca="1">'Balance Sheet'!AB20</f>
        <v>0</v>
      </c>
      <c r="W35" s="328">
        <f ca="1">'Balance Sheet'!AC20</f>
        <v>13325.975932297117</v>
      </c>
      <c r="X35" s="328">
        <f ca="1">'Balance Sheet'!AD20</f>
        <v>34347.96560952768</v>
      </c>
      <c r="Y35" s="328">
        <f ca="1">'Balance Sheet'!AE20</f>
        <v>54838.848963949837</v>
      </c>
      <c r="Z35" s="328">
        <f ca="1">'Balance Sheet'!AF20</f>
        <v>75064.122964117938</v>
      </c>
      <c r="AA35" s="328">
        <f ca="1">'Balance Sheet'!AG20</f>
        <v>106978.39281702002</v>
      </c>
      <c r="AB35" s="328">
        <f ca="1">'Balance Sheet'!AH20</f>
        <v>135827.80179191061</v>
      </c>
      <c r="AC35" s="328">
        <f ca="1">'Balance Sheet'!AI20</f>
        <v>165376.69590044121</v>
      </c>
      <c r="AD35" s="328">
        <f ca="1">'Balance Sheet'!AJ20</f>
        <v>195685.12595542119</v>
      </c>
      <c r="AE35" s="328">
        <f ca="1">'Balance Sheet'!AK20</f>
        <v>42829.304598621035</v>
      </c>
      <c r="AF35" s="328">
        <f ca="1">'Balance Sheet'!AL20</f>
        <v>86491.693777383247</v>
      </c>
      <c r="AG35" s="328">
        <f ca="1">'Balance Sheet'!AM20</f>
        <v>131058.68385670075</v>
      </c>
      <c r="AH35" s="328">
        <f ca="1">'Balance Sheet'!AN20</f>
        <v>188290.1374934332</v>
      </c>
      <c r="AI35" s="328">
        <f ca="1">'Balance Sheet'!AO20</f>
        <v>246537.3433238696</v>
      </c>
      <c r="AJ35" s="328">
        <f ca="1">'Balance Sheet'!AP20</f>
        <v>317831.06851123407</v>
      </c>
      <c r="AK35" s="328">
        <f ca="1">'Balance Sheet'!AQ20</f>
        <v>389960.27561447921</v>
      </c>
      <c r="AL35" s="328">
        <f ca="1">'Balance Sheet'!AR20</f>
        <v>463353.40017732419</v>
      </c>
      <c r="AM35" s="328">
        <f ca="1">'Balance Sheet'!AS20</f>
        <v>549993.72394885693</v>
      </c>
      <c r="AN35" s="328">
        <f ca="1">'Balance Sheet'!AT20</f>
        <v>637712.9236881088</v>
      </c>
      <c r="AO35" s="328">
        <f ca="1">'Balance Sheet'!AU20</f>
        <v>726826.44386598445</v>
      </c>
      <c r="AP35" s="328">
        <f ca="1">'Balance Sheet'!AV20</f>
        <v>829461.348841978</v>
      </c>
      <c r="AQ35" s="328">
        <f ca="1">'Balance Sheet'!AW20</f>
        <v>103916.9566745247</v>
      </c>
      <c r="AR35" s="328">
        <f ca="1">'Balance Sheet'!AX20</f>
        <v>221502.26560317131</v>
      </c>
      <c r="AS35" s="328">
        <f ca="1">'Balance Sheet'!AY20</f>
        <v>340898.86004735494</v>
      </c>
      <c r="AT35" s="328">
        <f ca="1">'Balance Sheet'!AZ20</f>
        <v>473870.18826364947</v>
      </c>
      <c r="AU35" s="328">
        <f ca="1">'Balance Sheet'!BA20</f>
        <v>620874.86125588219</v>
      </c>
      <c r="AV35" s="328">
        <f ca="1">'Balance Sheet'!BB20</f>
        <v>769971.42644998198</v>
      </c>
      <c r="AW35" s="328">
        <f ca="1">'Balance Sheet'!BC20</f>
        <v>932992.71807498974</v>
      </c>
      <c r="AX35" s="328">
        <f ca="1">'Balance Sheet'!BD20</f>
        <v>1110547.894726428</v>
      </c>
      <c r="AY35" s="328">
        <f ca="1">'Balance Sheet'!BE20</f>
        <v>1290597.9976512392</v>
      </c>
      <c r="AZ35" s="328">
        <f ca="1">'Balance Sheet'!BF20</f>
        <v>1483974.3504206678</v>
      </c>
      <c r="BA35" s="328">
        <f ca="1">'Balance Sheet'!BG20</f>
        <v>1693166.2062783132</v>
      </c>
      <c r="BB35" s="328">
        <f ca="1">'Balance Sheet'!BH20</f>
        <v>1918477.5042626159</v>
      </c>
      <c r="BC35" s="328">
        <f ca="1">'Balance Sheet'!BI20</f>
        <v>241274.78657107102</v>
      </c>
      <c r="BD35" s="328">
        <f ca="1">'Balance Sheet'!BJ20</f>
        <v>499092.82601214631</v>
      </c>
      <c r="BE35" s="328">
        <f ca="1">'Balance Sheet'!BK20</f>
        <v>773816.03168319841</v>
      </c>
      <c r="BF35" s="328">
        <f ca="1">'Balance Sheet'!BL20</f>
        <v>1065311.9982709016</v>
      </c>
      <c r="BG35" s="328">
        <f ca="1">'Balance Sheet'!BM20</f>
        <v>1374315.0600927605</v>
      </c>
      <c r="BH35" s="328">
        <f ca="1">'Balance Sheet'!BN20</f>
        <v>1701081.4382081479</v>
      </c>
      <c r="BI35" s="328">
        <f ca="1">'Balance Sheet'!BO20</f>
        <v>2045593.9024097088</v>
      </c>
      <c r="BJ35" s="328">
        <f ca="1">'Balance Sheet'!BP20</f>
        <v>2408822.7016076059</v>
      </c>
      <c r="BK35" s="328">
        <f ca="1">'Balance Sheet'!BQ20</f>
        <v>2790847.9047092618</v>
      </c>
      <c r="BL35" s="323"/>
      <c r="BM35" s="323"/>
      <c r="BN35" s="323"/>
      <c r="BO35" s="323"/>
      <c r="BP35" s="323"/>
      <c r="BQ35" s="323"/>
      <c r="BR35" s="323"/>
      <c r="BS35" s="323"/>
      <c r="BT35" s="323"/>
      <c r="BU35" s="323"/>
      <c r="BV35" s="323"/>
      <c r="BW35" s="323"/>
      <c r="BX35" s="323"/>
      <c r="BY35" s="323"/>
      <c r="BZ35" s="323"/>
      <c r="CA35" s="323"/>
      <c r="CB35" s="323"/>
      <c r="CC35" s="323"/>
      <c r="CD35" s="323"/>
      <c r="CE35" s="323"/>
      <c r="CF35" s="323"/>
      <c r="CG35" s="323"/>
      <c r="CH35" s="323"/>
      <c r="CI35" s="323"/>
      <c r="CJ35" s="323"/>
      <c r="CK35" s="323"/>
      <c r="CL35" s="323"/>
      <c r="CM35" s="323"/>
      <c r="CN35" s="323"/>
      <c r="CO35" s="323"/>
      <c r="CP35" s="323"/>
      <c r="CQ35" s="323"/>
      <c r="CR35" s="323"/>
      <c r="CS35" s="323"/>
      <c r="CT35" s="323"/>
      <c r="CU35" s="323"/>
      <c r="CV35" s="323"/>
      <c r="CW35" s="323"/>
      <c r="CX35" s="323"/>
      <c r="CY35" s="323"/>
      <c r="CZ35" s="323"/>
      <c r="DA35" s="323"/>
      <c r="DB35" s="323"/>
      <c r="DC35" s="323"/>
      <c r="DD35" s="323"/>
      <c r="DE35" s="323"/>
      <c r="DF35" s="323"/>
      <c r="DG35" s="323"/>
      <c r="DH35" s="323"/>
      <c r="DI35" s="323"/>
      <c r="DJ35" s="323"/>
      <c r="DK35" s="323"/>
      <c r="DL35" s="323"/>
      <c r="DM35" s="323"/>
      <c r="DN35" s="323"/>
      <c r="DO35" s="323"/>
      <c r="DP35" s="323"/>
      <c r="DQ35" s="323"/>
      <c r="DR35" s="323"/>
      <c r="DS35" s="323"/>
      <c r="DT35" s="323"/>
      <c r="DU35" s="323"/>
      <c r="DV35" s="323"/>
      <c r="DW35" s="323"/>
      <c r="DX35" s="323"/>
      <c r="DY35" s="323"/>
      <c r="DZ35" s="323"/>
      <c r="EA35" s="323"/>
      <c r="EB35" s="323"/>
      <c r="EC35" s="323"/>
      <c r="ED35" s="323"/>
      <c r="EE35" s="323"/>
      <c r="EF35" s="323"/>
      <c r="EG35" s="323"/>
      <c r="EH35" s="323"/>
      <c r="EI35" s="323"/>
      <c r="EJ35" s="323"/>
      <c r="EK35" s="323"/>
      <c r="EL35" s="323"/>
      <c r="EM35" s="323"/>
      <c r="EN35" s="323"/>
      <c r="EO35" s="323"/>
      <c r="EP35" s="323"/>
      <c r="EQ35" s="323"/>
      <c r="ER35" s="323"/>
      <c r="ES35" s="323"/>
      <c r="ET35" s="323"/>
      <c r="EU35" s="323"/>
      <c r="EV35" s="323"/>
      <c r="EW35" s="323"/>
      <c r="EX35" s="323"/>
      <c r="EY35" s="323"/>
      <c r="EZ35" s="323"/>
      <c r="FA35" s="323"/>
      <c r="FB35" s="323"/>
      <c r="FC35" s="323"/>
      <c r="FD35" s="323"/>
      <c r="FE35" s="323"/>
      <c r="FF35" s="323"/>
      <c r="FG35" s="323"/>
      <c r="FH35" s="323"/>
      <c r="FI35" s="323"/>
      <c r="FJ35" s="323"/>
      <c r="FK35" s="323"/>
      <c r="FL35" s="323"/>
      <c r="FM35" s="323"/>
      <c r="FN35" s="323"/>
      <c r="FO35" s="323"/>
      <c r="FP35" s="323"/>
      <c r="FQ35" s="323"/>
      <c r="FR35" s="323"/>
      <c r="FS35" s="323"/>
      <c r="FT35" s="323"/>
      <c r="FU35" s="323"/>
      <c r="FV35" s="323"/>
      <c r="FW35" s="323"/>
      <c r="FX35" s="323"/>
      <c r="FY35" s="323"/>
      <c r="FZ35" s="323"/>
      <c r="GA35" s="323"/>
      <c r="GB35" s="323"/>
      <c r="GC35" s="323"/>
      <c r="GD35" s="323"/>
      <c r="GE35" s="323"/>
      <c r="GF35" s="323"/>
      <c r="GG35" s="323"/>
      <c r="GH35" s="323"/>
      <c r="GI35" s="323"/>
      <c r="GJ35" s="323"/>
      <c r="GK35" s="323"/>
      <c r="GL35" s="323"/>
      <c r="GM35" s="323"/>
      <c r="GN35" s="323"/>
      <c r="GO35" s="323"/>
      <c r="GP35" s="323"/>
      <c r="GQ35" s="323"/>
      <c r="GR35" s="323"/>
      <c r="GS35" s="323"/>
      <c r="GT35" s="323"/>
      <c r="GU35" s="323"/>
      <c r="GV35" s="323"/>
      <c r="GW35" s="323"/>
      <c r="GX35" s="323"/>
      <c r="GY35" s="323"/>
      <c r="GZ35" s="323"/>
      <c r="HA35" s="323"/>
      <c r="HB35" s="323"/>
      <c r="HC35" s="323"/>
      <c r="HD35" s="323"/>
      <c r="HE35" s="323"/>
      <c r="HF35" s="323"/>
      <c r="HG35" s="323"/>
      <c r="HH35" s="323"/>
      <c r="HI35" s="323"/>
      <c r="HJ35" s="323"/>
      <c r="HK35" s="323"/>
      <c r="HL35" s="323"/>
      <c r="HM35" s="323"/>
      <c r="HN35" s="323"/>
      <c r="HO35" s="323"/>
      <c r="HP35" s="323"/>
      <c r="HQ35" s="323"/>
      <c r="HR35" s="323"/>
      <c r="HS35" s="323"/>
      <c r="HT35" s="323"/>
      <c r="HU35" s="323"/>
      <c r="HV35" s="323"/>
      <c r="HW35" s="323"/>
      <c r="HX35" s="323"/>
      <c r="HY35" s="323"/>
      <c r="HZ35" s="323"/>
      <c r="IA35" s="323"/>
      <c r="IB35" s="323"/>
      <c r="IC35" s="323"/>
      <c r="ID35" s="323"/>
      <c r="IE35" s="323"/>
      <c r="IF35" s="323"/>
      <c r="IG35" s="323"/>
      <c r="IH35" s="323"/>
      <c r="II35" s="323"/>
      <c r="IJ35" s="323"/>
      <c r="IK35" s="323"/>
      <c r="IL35" s="323"/>
      <c r="IM35" s="323"/>
      <c r="IN35" s="323"/>
      <c r="IO35" s="323"/>
      <c r="IP35" s="323"/>
      <c r="IQ35" s="323"/>
      <c r="IR35" s="323"/>
    </row>
    <row r="36" spans="1:252">
      <c r="B36" s="329" t="str">
        <f>'Balance Sheet'!E21</f>
        <v>Liabilities</v>
      </c>
      <c r="C36" s="330"/>
      <c r="D36" s="331">
        <f ca="1">'Balance Sheet'!J21</f>
        <v>292280</v>
      </c>
      <c r="E36" s="331">
        <f ca="1">'Balance Sheet'!K21</f>
        <v>279724.67441575311</v>
      </c>
      <c r="F36" s="331">
        <f ca="1">'Balance Sheet'!L21</f>
        <v>312912.05760469788</v>
      </c>
      <c r="G36" s="331">
        <f ca="1">'Balance Sheet'!M21</f>
        <v>300748.50695273088</v>
      </c>
      <c r="H36" s="331">
        <f ca="1">'Balance Sheet'!N21</f>
        <v>288811.99142673804</v>
      </c>
      <c r="I36" s="331">
        <f ca="1">'Balance Sheet'!O21</f>
        <v>293383.71159694414</v>
      </c>
      <c r="J36" s="331">
        <f ca="1">'Balance Sheet'!P21</f>
        <v>432247.08920387004</v>
      </c>
      <c r="K36" s="331">
        <f ca="1">'Balance Sheet'!Q21</f>
        <v>1088292.5057565549</v>
      </c>
      <c r="L36" s="331">
        <f ca="1">'Balance Sheet'!R21</f>
        <v>1071637.9588325089</v>
      </c>
      <c r="M36" s="331">
        <f ca="1">'Balance Sheet'!S21</f>
        <v>1002835.7621412935</v>
      </c>
      <c r="N36" s="331">
        <f ca="1">'Balance Sheet'!T21</f>
        <v>925327.55053669354</v>
      </c>
      <c r="O36" s="331">
        <f ca="1">'Balance Sheet'!U21</f>
        <v>843113.44662275282</v>
      </c>
      <c r="P36" s="331">
        <f ca="1">'Balance Sheet'!V21</f>
        <v>916763.73067594529</v>
      </c>
      <c r="Q36" s="331">
        <f ca="1">'Balance Sheet'!W21</f>
        <v>1544271.5418718539</v>
      </c>
      <c r="R36" s="331">
        <f ca="1">'Balance Sheet'!X21</f>
        <v>1427393.0947659425</v>
      </c>
      <c r="S36" s="331">
        <f ca="1">'Balance Sheet'!Y21</f>
        <v>1284703.4695408193</v>
      </c>
      <c r="T36" s="331">
        <f ca="1">'Balance Sheet'!Z21</f>
        <v>1440072.5409377853</v>
      </c>
      <c r="U36" s="331">
        <f ca="1">'Balance Sheet'!AA21</f>
        <v>1329821.7545988406</v>
      </c>
      <c r="V36" s="331">
        <f ca="1">'Balance Sheet'!AB21</f>
        <v>1034600.193600508</v>
      </c>
      <c r="W36" s="331">
        <f ca="1">'Balance Sheet'!AC21</f>
        <v>2429604.6392959668</v>
      </c>
      <c r="X36" s="331">
        <f ca="1">'Balance Sheet'!AD21</f>
        <v>2427819.784672705</v>
      </c>
      <c r="Y36" s="331">
        <f ca="1">'Balance Sheet'!AE21</f>
        <v>2243929.7328504771</v>
      </c>
      <c r="Z36" s="331">
        <f ca="1">'Balance Sheet'!AF21</f>
        <v>1904580.259753884</v>
      </c>
      <c r="AA36" s="331">
        <f ca="1">'Balance Sheet'!AG21</f>
        <v>2861281.3978045508</v>
      </c>
      <c r="AB36" s="331">
        <f ca="1">'Balance Sheet'!AH21</f>
        <v>2617190.8824696108</v>
      </c>
      <c r="AC36" s="331">
        <f ca="1">'Balance Sheet'!AI21</f>
        <v>3603882.583727289</v>
      </c>
      <c r="AD36" s="331">
        <f ca="1">'Balance Sheet'!AJ21</f>
        <v>3276248.1910989285</v>
      </c>
      <c r="AE36" s="331">
        <f ca="1">'Balance Sheet'!AK21</f>
        <v>3826318.2203058172</v>
      </c>
      <c r="AF36" s="331">
        <f ca="1">'Balance Sheet'!AL21</f>
        <v>4012594.726650537</v>
      </c>
      <c r="AG36" s="331">
        <f ca="1">'Balance Sheet'!AM21</f>
        <v>3560839.9985644948</v>
      </c>
      <c r="AH36" s="331">
        <f ca="1">'Balance Sheet'!AN21</f>
        <v>4272727.3270373149</v>
      </c>
      <c r="AI36" s="331">
        <f ca="1">'Balance Sheet'!AO21</f>
        <v>5143352.1916643213</v>
      </c>
      <c r="AJ36" s="331">
        <f ca="1">'Balance Sheet'!AP21</f>
        <v>5479558.2255938333</v>
      </c>
      <c r="AK36" s="331">
        <f ca="1">'Balance Sheet'!AQ21</f>
        <v>5594778.875569961</v>
      </c>
      <c r="AL36" s="331">
        <f ca="1">'Balance Sheet'!AR21</f>
        <v>5267878.808536537</v>
      </c>
      <c r="AM36" s="331">
        <f ca="1">'Balance Sheet'!AS21</f>
        <v>6862740.3296481175</v>
      </c>
      <c r="AN36" s="331">
        <f ca="1">'Balance Sheet'!AT21</f>
        <v>6944044.0019749412</v>
      </c>
      <c r="AO36" s="331">
        <f ca="1">'Balance Sheet'!AU21</f>
        <v>6757160.4182225335</v>
      </c>
      <c r="AP36" s="331">
        <f ca="1">'Balance Sheet'!AV21</f>
        <v>7482764.0264993608</v>
      </c>
      <c r="AQ36" s="331">
        <f ca="1">'Balance Sheet'!AW21</f>
        <v>7618052.3640835211</v>
      </c>
      <c r="AR36" s="331">
        <f ca="1">'Balance Sheet'!AX21</f>
        <v>8402368.9312457871</v>
      </c>
      <c r="AS36" s="331">
        <f ca="1">'Balance Sheet'!AY21</f>
        <v>7889985.3247936266</v>
      </c>
      <c r="AT36" s="331">
        <f ca="1">'Balance Sheet'!AZ21</f>
        <v>9687089.7844464816</v>
      </c>
      <c r="AU36" s="331">
        <f ca="1">'Balance Sheet'!BA21</f>
        <v>10741983.058895493</v>
      </c>
      <c r="AV36" s="331">
        <f ca="1">'Balance Sheet'!BB21</f>
        <v>11047452.575356521</v>
      </c>
      <c r="AW36" s="331">
        <f ca="1">'Balance Sheet'!BC21</f>
        <v>11956820.44719971</v>
      </c>
      <c r="AX36" s="331">
        <f ca="1">'Balance Sheet'!BD21</f>
        <v>12993866.974688549</v>
      </c>
      <c r="AY36" s="331">
        <f ca="1">'Balance Sheet'!BE21</f>
        <v>13224027.423368616</v>
      </c>
      <c r="AZ36" s="331">
        <f ca="1">'Balance Sheet'!BF21</f>
        <v>14128336.181687195</v>
      </c>
      <c r="BA36" s="331">
        <f ca="1">'Balance Sheet'!BG21</f>
        <v>15169255.929210344</v>
      </c>
      <c r="BB36" s="331">
        <f ca="1">'Balance Sheet'!BH21</f>
        <v>16288156.375198897</v>
      </c>
      <c r="BC36" s="331">
        <f ca="1">'Balance Sheet'!BI21</f>
        <v>15400264.291090559</v>
      </c>
      <c r="BD36" s="331">
        <f ca="1">'Balance Sheet'!BJ21</f>
        <v>17295453.729107738</v>
      </c>
      <c r="BE36" s="331">
        <f ca="1">'Balance Sheet'!BK21</f>
        <v>17115232.434675887</v>
      </c>
      <c r="BF36" s="331">
        <f ca="1">'Balance Sheet'!BL21</f>
        <v>19018205.826546405</v>
      </c>
      <c r="BG36" s="331">
        <f ca="1">'Balance Sheet'!BM21</f>
        <v>20932086.8417328</v>
      </c>
      <c r="BH36" s="331">
        <f ca="1">'Balance Sheet'!BN21</f>
        <v>20660215.678178649</v>
      </c>
      <c r="BI36" s="331">
        <f ca="1">'Balance Sheet'!BO21</f>
        <v>22604434.141003203</v>
      </c>
      <c r="BJ36" s="331">
        <f ca="1">'Balance Sheet'!BP21</f>
        <v>24571739.127162591</v>
      </c>
      <c r="BK36" s="331">
        <f ca="1">'Balance Sheet'!BQ21</f>
        <v>24217395.9562007</v>
      </c>
      <c r="IR36" s="327"/>
    </row>
    <row r="37" spans="1:252" s="332" customFormat="1">
      <c r="A37" s="327"/>
      <c r="B37" s="327"/>
      <c r="C37" s="324"/>
      <c r="D37" s="328"/>
      <c r="E37" s="328"/>
      <c r="F37" s="328"/>
      <c r="G37" s="328"/>
      <c r="H37" s="328"/>
      <c r="I37" s="328"/>
      <c r="J37" s="328"/>
      <c r="K37" s="328"/>
      <c r="L37" s="328"/>
      <c r="M37" s="328"/>
      <c r="N37" s="328"/>
      <c r="O37" s="328"/>
      <c r="P37" s="328"/>
      <c r="Q37" s="328"/>
      <c r="R37" s="328"/>
      <c r="S37" s="328"/>
      <c r="T37" s="328"/>
      <c r="U37" s="328"/>
      <c r="V37" s="328"/>
      <c r="W37" s="328"/>
      <c r="X37" s="328"/>
      <c r="Y37" s="328"/>
      <c r="Z37" s="328"/>
      <c r="AA37" s="328"/>
      <c r="AB37" s="328"/>
      <c r="AC37" s="328"/>
      <c r="AD37" s="328"/>
      <c r="AE37" s="328"/>
      <c r="AF37" s="328"/>
      <c r="AG37" s="328"/>
      <c r="AH37" s="328"/>
      <c r="AI37" s="328"/>
      <c r="AJ37" s="328"/>
      <c r="AK37" s="328"/>
      <c r="AL37" s="328"/>
      <c r="AM37" s="328"/>
      <c r="AN37" s="328"/>
      <c r="AO37" s="328"/>
      <c r="AP37" s="328"/>
      <c r="AQ37" s="328"/>
      <c r="AR37" s="328"/>
      <c r="AS37" s="328"/>
      <c r="AT37" s="328"/>
      <c r="AU37" s="328"/>
      <c r="AV37" s="328"/>
      <c r="AW37" s="328"/>
      <c r="AX37" s="328"/>
      <c r="AY37" s="328"/>
      <c r="AZ37" s="328"/>
      <c r="BA37" s="328"/>
      <c r="BB37" s="328"/>
      <c r="BC37" s="328"/>
      <c r="BD37" s="328"/>
      <c r="BE37" s="328"/>
      <c r="BF37" s="328"/>
      <c r="BG37" s="328"/>
      <c r="BH37" s="328"/>
      <c r="BI37" s="328"/>
      <c r="BJ37" s="328"/>
      <c r="BK37" s="328"/>
      <c r="BL37" s="327"/>
      <c r="BM37" s="327"/>
      <c r="BN37" s="327"/>
      <c r="BO37" s="327"/>
      <c r="BP37" s="327"/>
      <c r="BQ37" s="327"/>
      <c r="BR37" s="327"/>
      <c r="BS37" s="327"/>
      <c r="BT37" s="327"/>
      <c r="BU37" s="327"/>
      <c r="BV37" s="327"/>
      <c r="BW37" s="327"/>
      <c r="BX37" s="327"/>
      <c r="BY37" s="327"/>
      <c r="BZ37" s="327"/>
      <c r="CA37" s="327"/>
      <c r="CB37" s="327"/>
      <c r="CC37" s="327"/>
      <c r="CD37" s="327"/>
      <c r="CE37" s="327"/>
      <c r="CF37" s="327"/>
      <c r="CG37" s="327"/>
      <c r="CH37" s="327"/>
      <c r="CI37" s="327"/>
      <c r="CJ37" s="327"/>
      <c r="CK37" s="327"/>
      <c r="CL37" s="327"/>
      <c r="CM37" s="327"/>
      <c r="CN37" s="327"/>
      <c r="CO37" s="327"/>
      <c r="CP37" s="327"/>
      <c r="CQ37" s="327"/>
      <c r="CR37" s="327"/>
      <c r="CS37" s="327"/>
      <c r="CT37" s="327"/>
      <c r="CU37" s="327"/>
      <c r="CV37" s="327"/>
      <c r="CW37" s="327"/>
      <c r="CX37" s="327"/>
      <c r="CY37" s="327"/>
      <c r="CZ37" s="327"/>
      <c r="DA37" s="327"/>
      <c r="DB37" s="327"/>
      <c r="DC37" s="327"/>
      <c r="DD37" s="327"/>
      <c r="DE37" s="327"/>
      <c r="DF37" s="327"/>
      <c r="DG37" s="327"/>
      <c r="DH37" s="327"/>
      <c r="DI37" s="327"/>
      <c r="DJ37" s="327"/>
      <c r="DK37" s="327"/>
      <c r="DL37" s="327"/>
      <c r="DM37" s="327"/>
      <c r="DN37" s="327"/>
      <c r="DO37" s="327"/>
      <c r="DP37" s="327"/>
      <c r="DQ37" s="327"/>
      <c r="DR37" s="327"/>
      <c r="DS37" s="327"/>
      <c r="DT37" s="327"/>
      <c r="DU37" s="327"/>
      <c r="DV37" s="327"/>
      <c r="DW37" s="327"/>
      <c r="DX37" s="327"/>
      <c r="DY37" s="327"/>
      <c r="DZ37" s="327"/>
      <c r="EA37" s="327"/>
      <c r="EB37" s="327"/>
      <c r="EC37" s="327"/>
      <c r="ED37" s="327"/>
      <c r="EE37" s="327"/>
      <c r="EF37" s="327"/>
      <c r="EG37" s="327"/>
      <c r="EH37" s="327"/>
      <c r="EI37" s="327"/>
      <c r="EJ37" s="327"/>
      <c r="EK37" s="327"/>
      <c r="EL37" s="327"/>
      <c r="EM37" s="327"/>
      <c r="EN37" s="327"/>
      <c r="EO37" s="327"/>
      <c r="EP37" s="327"/>
      <c r="EQ37" s="327"/>
      <c r="ER37" s="327"/>
      <c r="ES37" s="327"/>
      <c r="ET37" s="327"/>
      <c r="EU37" s="327"/>
      <c r="EV37" s="327"/>
      <c r="EW37" s="327"/>
      <c r="EX37" s="327"/>
      <c r="EY37" s="327"/>
      <c r="EZ37" s="327"/>
      <c r="FA37" s="327"/>
      <c r="FB37" s="327"/>
      <c r="FC37" s="327"/>
      <c r="FD37" s="327"/>
      <c r="FE37" s="327"/>
      <c r="FF37" s="327"/>
      <c r="FG37" s="327"/>
      <c r="FH37" s="327"/>
      <c r="FI37" s="327"/>
      <c r="FJ37" s="327"/>
      <c r="FK37" s="327"/>
      <c r="FL37" s="327"/>
      <c r="FM37" s="327"/>
      <c r="FN37" s="327"/>
      <c r="FO37" s="327"/>
      <c r="FP37" s="327"/>
      <c r="FQ37" s="327"/>
      <c r="FR37" s="327"/>
      <c r="FS37" s="327"/>
      <c r="FT37" s="327"/>
      <c r="FU37" s="327"/>
      <c r="FV37" s="327"/>
      <c r="FW37" s="327"/>
      <c r="FX37" s="327"/>
      <c r="FY37" s="327"/>
      <c r="FZ37" s="327"/>
      <c r="GA37" s="327"/>
      <c r="GB37" s="327"/>
      <c r="GC37" s="327"/>
      <c r="GD37" s="327"/>
      <c r="GE37" s="327"/>
      <c r="GF37" s="327"/>
      <c r="GG37" s="327"/>
      <c r="GH37" s="327"/>
      <c r="GI37" s="327"/>
      <c r="GJ37" s="327"/>
      <c r="GK37" s="327"/>
      <c r="GL37" s="327"/>
      <c r="GM37" s="327"/>
      <c r="GN37" s="327"/>
      <c r="GO37" s="327"/>
      <c r="GP37" s="327"/>
      <c r="GQ37" s="327"/>
      <c r="GR37" s="327"/>
      <c r="GS37" s="327"/>
      <c r="GT37" s="327"/>
      <c r="GU37" s="327"/>
      <c r="GV37" s="327"/>
      <c r="GW37" s="327"/>
      <c r="GX37" s="327"/>
      <c r="GY37" s="327"/>
      <c r="GZ37" s="327"/>
      <c r="HA37" s="327"/>
      <c r="HB37" s="327"/>
      <c r="HC37" s="327"/>
      <c r="HD37" s="327"/>
      <c r="HE37" s="327"/>
      <c r="HF37" s="327"/>
      <c r="HG37" s="327"/>
      <c r="HH37" s="327"/>
      <c r="HI37" s="327"/>
      <c r="HJ37" s="327"/>
      <c r="HK37" s="327"/>
      <c r="HL37" s="327"/>
      <c r="HM37" s="327"/>
      <c r="HN37" s="327"/>
      <c r="HO37" s="327"/>
      <c r="HP37" s="327"/>
      <c r="HQ37" s="327"/>
      <c r="HR37" s="327"/>
      <c r="HS37" s="327"/>
      <c r="HT37" s="327"/>
      <c r="HU37" s="327"/>
      <c r="HV37" s="327"/>
      <c r="HW37" s="327"/>
      <c r="HX37" s="327"/>
      <c r="HY37" s="327"/>
      <c r="HZ37" s="327"/>
      <c r="IA37" s="327"/>
      <c r="IB37" s="327"/>
      <c r="IC37" s="327"/>
      <c r="ID37" s="327"/>
      <c r="IE37" s="327"/>
      <c r="IF37" s="327"/>
      <c r="IG37" s="327"/>
      <c r="IH37" s="327"/>
      <c r="II37" s="327"/>
      <c r="IJ37" s="327"/>
      <c r="IK37" s="327"/>
      <c r="IL37" s="327"/>
      <c r="IM37" s="327"/>
      <c r="IN37" s="327"/>
      <c r="IO37" s="327"/>
      <c r="IP37" s="327"/>
      <c r="IQ37" s="327"/>
      <c r="IR37" s="327"/>
    </row>
    <row r="38" spans="1:252">
      <c r="B38" s="329" t="str">
        <f>'Balance Sheet'!E23</f>
        <v>Net Assets</v>
      </c>
      <c r="C38" s="330"/>
      <c r="D38" s="331">
        <f ca="1">'Balance Sheet'!J23</f>
        <v>-52200</v>
      </c>
      <c r="E38" s="331">
        <f ca="1">'Balance Sheet'!K23</f>
        <v>-113294.92250913591</v>
      </c>
      <c r="F38" s="331">
        <f ca="1">'Balance Sheet'!L23</f>
        <v>-174788.92979549034</v>
      </c>
      <c r="G38" s="331">
        <f ca="1">'Balance Sheet'!M23</f>
        <v>-237820.70367627172</v>
      </c>
      <c r="H38" s="331">
        <f ca="1">'Balance Sheet'!N23</f>
        <v>-301327.7679350425</v>
      </c>
      <c r="I38" s="331">
        <f ca="1">'Balance Sheet'!O23</f>
        <v>-365325.20976966218</v>
      </c>
      <c r="J38" s="331">
        <f ca="1">'Balance Sheet'!P23</f>
        <v>-430986.18750894646</v>
      </c>
      <c r="K38" s="331">
        <f ca="1">'Balance Sheet'!Q23</f>
        <v>-455307.53634494334</v>
      </c>
      <c r="L38" s="331">
        <f ca="1">'Balance Sheet'!R23</f>
        <v>-471189.75361196895</v>
      </c>
      <c r="M38" s="331">
        <f ca="1">'Balance Sheet'!S23</f>
        <v>-488198.20161444182</v>
      </c>
      <c r="N38" s="331">
        <f ca="1">'Balance Sheet'!T23</f>
        <v>-505795.60480860859</v>
      </c>
      <c r="O38" s="331">
        <f ca="1">'Balance Sheet'!U23</f>
        <v>-524092.80616935919</v>
      </c>
      <c r="P38" s="331">
        <f ca="1">'Balance Sheet'!V23</f>
        <v>-544249.69405418169</v>
      </c>
      <c r="Q38" s="331">
        <f ca="1">'Balance Sheet'!W23</f>
        <v>-520599.38023444253</v>
      </c>
      <c r="R38" s="331">
        <f ca="1">'Balance Sheet'!X23</f>
        <v>-490810.77721444704</v>
      </c>
      <c r="S38" s="331">
        <f ca="1">'Balance Sheet'!Y23</f>
        <v>-463099.86069975677</v>
      </c>
      <c r="T38" s="331">
        <f ca="1">'Balance Sheet'!Z23</f>
        <v>-436322.0683294225</v>
      </c>
      <c r="U38" s="331">
        <f ca="1">'Balance Sheet'!AA23</f>
        <v>-418966.50193450938</v>
      </c>
      <c r="V38" s="331">
        <f ca="1">'Balance Sheet'!AB23</f>
        <v>-403862.77255332947</v>
      </c>
      <c r="W38" s="331">
        <f ca="1">'Balance Sheet'!AC23</f>
        <v>-343141.28787617013</v>
      </c>
      <c r="X38" s="331">
        <f ca="1">'Balance Sheet'!AD23</f>
        <v>-291303.52951702429</v>
      </c>
      <c r="Y38" s="331">
        <f ca="1">'Balance Sheet'!AE23</f>
        <v>-249920.04921231605</v>
      </c>
      <c r="Z38" s="331">
        <f ca="1">'Balance Sheet'!AF23</f>
        <v>-209427.2680004721</v>
      </c>
      <c r="AA38" s="331">
        <f ca="1">'Balance Sheet'!AG23</f>
        <v>-122013.92081704643</v>
      </c>
      <c r="AB38" s="331">
        <f ca="1">'Balance Sheet'!AH23</f>
        <v>-55160.625525048468</v>
      </c>
      <c r="AC38" s="331">
        <f ca="1">'Balance Sheet'!AI23</f>
        <v>15419.541160157882</v>
      </c>
      <c r="AD38" s="331">
        <f ca="1">'Balance Sheet'!AJ23</f>
        <v>81544.340408759192</v>
      </c>
      <c r="AE38" s="331">
        <f ca="1">'Balance Sheet'!AK23</f>
        <v>198803.43393082451</v>
      </c>
      <c r="AF38" s="331">
        <f ca="1">'Balance Sheet'!AL23</f>
        <v>320485.63717737887</v>
      </c>
      <c r="AG38" s="331">
        <f ca="1">'Balance Sheet'!AM23</f>
        <v>438462.07065904792</v>
      </c>
      <c r="AH38" s="331">
        <f ca="1">'Balance Sheet'!AN23</f>
        <v>608324.24367098324</v>
      </c>
      <c r="AI38" s="331">
        <f ca="1">'Balance Sheet'!AO23</f>
        <v>783525.89701385796</v>
      </c>
      <c r="AJ38" s="331">
        <f ca="1">'Balance Sheet'!AP23</f>
        <v>1003782.2953305198</v>
      </c>
      <c r="AK38" s="331">
        <f ca="1">'Balance Sheet'!AQ23</f>
        <v>1228812.9405455468</v>
      </c>
      <c r="AL38" s="331">
        <f ca="1">'Balance Sheet'!AR23</f>
        <v>1451932.3518033689</v>
      </c>
      <c r="AM38" s="331">
        <f ca="1">'Balance Sheet'!AS23</f>
        <v>1729637.4415939068</v>
      </c>
      <c r="AN38" s="331">
        <f ca="1">'Balance Sheet'!AT23</f>
        <v>2004862.741468857</v>
      </c>
      <c r="AO38" s="331">
        <f ca="1">'Balance Sheet'!AU23</f>
        <v>2278987.3008378129</v>
      </c>
      <c r="AP38" s="331">
        <f ca="1">'Balance Sheet'!AV23</f>
        <v>2609102.6780487224</v>
      </c>
      <c r="AQ38" s="331">
        <f ca="1">'Balance Sheet'!AW23</f>
        <v>2937868.9552949816</v>
      </c>
      <c r="AR38" s="331">
        <f ca="1">'Balance Sheet'!AX23</f>
        <v>3314964.912466161</v>
      </c>
      <c r="AS38" s="331">
        <f ca="1">'Balance Sheet'!AY23</f>
        <v>3701558.7708926043</v>
      </c>
      <c r="AT38" s="331">
        <f ca="1">'Balance Sheet'!AZ23</f>
        <v>4136336.8311913256</v>
      </c>
      <c r="AU38" s="331">
        <f ca="1">'Balance Sheet'!BA23</f>
        <v>4621283.9380210731</v>
      </c>
      <c r="AV38" s="331">
        <f ca="1">'Balance Sheet'!BB23</f>
        <v>5108786.3336179405</v>
      </c>
      <c r="AW38" s="331">
        <f ca="1">'Balance Sheet'!BC23</f>
        <v>5646338.8407885134</v>
      </c>
      <c r="AX38" s="331">
        <f ca="1">'Balance Sheet'!BD23</f>
        <v>6236547.2887613475</v>
      </c>
      <c r="AY38" s="331">
        <f ca="1">'Balance Sheet'!BE23</f>
        <v>6831417.5458162744</v>
      </c>
      <c r="AZ38" s="331">
        <f ca="1">'Balance Sheet'!BF23</f>
        <v>7474458.4622393809</v>
      </c>
      <c r="BA38" s="331">
        <f ca="1">'Balance Sheet'!BG23</f>
        <v>8176469.768348014</v>
      </c>
      <c r="BB38" s="331">
        <f ca="1">'Balance Sheet'!BH23</f>
        <v>8938907.7648204491</v>
      </c>
      <c r="BC38" s="331">
        <f ca="1">'Balance Sheet'!BI23</f>
        <v>9761393.6848637536</v>
      </c>
      <c r="BD38" s="331">
        <f ca="1">'Balance Sheet'!BJ23</f>
        <v>10646511.757170189</v>
      </c>
      <c r="BE38" s="331">
        <f ca="1">'Balance Sheet'!BK23</f>
        <v>11595988.624808423</v>
      </c>
      <c r="BF38" s="331">
        <f ca="1">'Balance Sheet'!BL23</f>
        <v>12609579.327820271</v>
      </c>
      <c r="BG38" s="331">
        <f ca="1">'Balance Sheet'!BM23</f>
        <v>13690530.124602422</v>
      </c>
      <c r="BH38" s="331">
        <f ca="1">'Balance Sheet'!BN23</f>
        <v>14840181.367642488</v>
      </c>
      <c r="BI38" s="331">
        <f ca="1">'Balance Sheet'!BO23</f>
        <v>16058808.976432573</v>
      </c>
      <c r="BJ38" s="331">
        <f ca="1">'Balance Sheet'!BP23</f>
        <v>17350655.9662925</v>
      </c>
      <c r="BK38" s="331">
        <f ca="1">'Balance Sheet'!BQ23</f>
        <v>18716388.842557337</v>
      </c>
      <c r="BL38" s="334"/>
      <c r="BM38" s="334"/>
      <c r="BN38" s="334"/>
      <c r="BO38" s="334"/>
      <c r="BP38" s="334"/>
      <c r="BQ38" s="334"/>
      <c r="BR38" s="334"/>
      <c r="BS38" s="329"/>
      <c r="BT38" s="329"/>
      <c r="BU38" s="329"/>
      <c r="BV38" s="329"/>
      <c r="BW38" s="329"/>
      <c r="BX38" s="329"/>
      <c r="BY38" s="329"/>
      <c r="BZ38" s="329"/>
      <c r="CA38" s="329"/>
      <c r="CB38" s="329"/>
      <c r="CC38" s="329"/>
      <c r="CD38" s="329"/>
      <c r="CE38" s="329"/>
      <c r="CF38" s="329"/>
      <c r="CG38" s="329"/>
      <c r="CH38" s="329"/>
      <c r="CI38" s="329"/>
      <c r="CJ38" s="329"/>
      <c r="CK38" s="329"/>
      <c r="CL38" s="329"/>
      <c r="CM38" s="329"/>
      <c r="CN38" s="329"/>
      <c r="CO38" s="329"/>
      <c r="CP38" s="329"/>
      <c r="CQ38" s="329"/>
      <c r="CR38" s="329"/>
      <c r="CS38" s="329"/>
      <c r="CT38" s="329"/>
      <c r="CU38" s="329"/>
      <c r="CV38" s="329"/>
      <c r="CW38" s="329"/>
      <c r="CX38" s="329"/>
      <c r="CY38" s="329"/>
      <c r="CZ38" s="329"/>
      <c r="DA38" s="329"/>
      <c r="DB38" s="329"/>
      <c r="DC38" s="329"/>
      <c r="DD38" s="329"/>
      <c r="DE38" s="329"/>
      <c r="DF38" s="329"/>
      <c r="DG38" s="329"/>
      <c r="DH38" s="329"/>
      <c r="DI38" s="329"/>
      <c r="DJ38" s="329"/>
      <c r="DK38" s="329"/>
      <c r="DL38" s="329"/>
      <c r="DM38" s="329"/>
      <c r="DN38" s="329"/>
      <c r="DO38" s="329"/>
      <c r="DP38" s="329"/>
      <c r="DQ38" s="329"/>
      <c r="DR38" s="329"/>
      <c r="DS38" s="329"/>
      <c r="DT38" s="329"/>
      <c r="DU38" s="329"/>
      <c r="DV38" s="329"/>
      <c r="DW38" s="329"/>
      <c r="DX38" s="329"/>
      <c r="DY38" s="329"/>
      <c r="DZ38" s="329"/>
      <c r="EA38" s="329"/>
      <c r="EB38" s="329"/>
      <c r="EC38" s="329"/>
      <c r="ED38" s="329"/>
      <c r="EE38" s="329"/>
      <c r="EF38" s="329"/>
      <c r="EG38" s="329"/>
      <c r="EH38" s="329"/>
      <c r="EI38" s="329"/>
      <c r="EJ38" s="329"/>
      <c r="EK38" s="329"/>
      <c r="EL38" s="329"/>
      <c r="EM38" s="329"/>
      <c r="EN38" s="329"/>
      <c r="EO38" s="329"/>
      <c r="EP38" s="329"/>
      <c r="EQ38" s="329"/>
      <c r="ER38" s="329"/>
      <c r="ES38" s="329"/>
      <c r="ET38" s="329"/>
      <c r="EU38" s="329"/>
      <c r="EV38" s="329"/>
      <c r="EW38" s="329"/>
      <c r="EX38" s="329"/>
      <c r="EY38" s="329"/>
      <c r="EZ38" s="329"/>
      <c r="FA38" s="329"/>
      <c r="FB38" s="329"/>
      <c r="FC38" s="329"/>
      <c r="FD38" s="329"/>
      <c r="FE38" s="329"/>
      <c r="FF38" s="329"/>
      <c r="FG38" s="329"/>
      <c r="FH38" s="329"/>
      <c r="FI38" s="329"/>
      <c r="FJ38" s="329"/>
      <c r="FK38" s="329"/>
      <c r="FL38" s="329"/>
      <c r="FM38" s="329"/>
      <c r="FN38" s="329"/>
      <c r="FO38" s="329"/>
      <c r="FP38" s="329"/>
      <c r="FQ38" s="329"/>
      <c r="FR38" s="329"/>
      <c r="FS38" s="329"/>
      <c r="FT38" s="329"/>
      <c r="FU38" s="329"/>
      <c r="FV38" s="329"/>
      <c r="FW38" s="329"/>
      <c r="FX38" s="329"/>
      <c r="FY38" s="329"/>
      <c r="FZ38" s="329"/>
      <c r="GA38" s="329"/>
      <c r="GB38" s="329"/>
      <c r="GC38" s="329"/>
      <c r="GD38" s="329"/>
      <c r="GE38" s="329"/>
      <c r="GF38" s="329"/>
      <c r="GG38" s="329"/>
      <c r="GH38" s="329"/>
      <c r="GI38" s="329"/>
      <c r="GJ38" s="329"/>
      <c r="GK38" s="329"/>
      <c r="GL38" s="329"/>
      <c r="GM38" s="329"/>
      <c r="GN38" s="329"/>
      <c r="GO38" s="329"/>
      <c r="GP38" s="329"/>
      <c r="GQ38" s="329"/>
      <c r="GR38" s="329"/>
      <c r="GS38" s="329"/>
      <c r="GT38" s="329"/>
      <c r="GU38" s="329"/>
      <c r="GV38" s="329"/>
      <c r="GW38" s="329"/>
      <c r="GX38" s="329"/>
      <c r="GY38" s="329"/>
      <c r="GZ38" s="329"/>
      <c r="HA38" s="329"/>
      <c r="HB38" s="329"/>
      <c r="HC38" s="329"/>
      <c r="HD38" s="329"/>
      <c r="HE38" s="329"/>
      <c r="HF38" s="329"/>
      <c r="HG38" s="329"/>
      <c r="HH38" s="329"/>
      <c r="HI38" s="329"/>
      <c r="HJ38" s="329"/>
      <c r="HK38" s="329"/>
      <c r="HL38" s="329"/>
      <c r="HM38" s="329"/>
      <c r="HN38" s="329"/>
      <c r="HO38" s="329"/>
      <c r="HP38" s="329"/>
      <c r="HQ38" s="329"/>
      <c r="HR38" s="329"/>
      <c r="HS38" s="329"/>
      <c r="HT38" s="329"/>
      <c r="HU38" s="329"/>
      <c r="HV38" s="329"/>
      <c r="HW38" s="329"/>
      <c r="HX38" s="329"/>
      <c r="HY38" s="329"/>
      <c r="HZ38" s="329"/>
      <c r="IA38" s="329"/>
      <c r="IB38" s="329"/>
      <c r="IC38" s="329"/>
      <c r="ID38" s="329"/>
      <c r="IE38" s="329"/>
      <c r="IF38" s="329"/>
      <c r="IG38" s="329"/>
      <c r="IH38" s="329"/>
      <c r="II38" s="329"/>
      <c r="IJ38" s="329"/>
      <c r="IK38" s="329"/>
      <c r="IL38" s="329"/>
      <c r="IM38" s="329"/>
      <c r="IN38" s="329"/>
      <c r="IO38" s="329"/>
      <c r="IP38" s="329"/>
      <c r="IQ38" s="329"/>
      <c r="IR38" s="329"/>
    </row>
    <row r="39" spans="1:252">
      <c r="C39" s="324"/>
      <c r="D39" s="328"/>
      <c r="E39" s="328"/>
      <c r="F39" s="328"/>
      <c r="G39" s="328"/>
      <c r="H39" s="328"/>
      <c r="I39" s="328"/>
      <c r="J39" s="328"/>
      <c r="K39" s="328"/>
      <c r="L39" s="328"/>
      <c r="M39" s="328"/>
      <c r="N39" s="328"/>
      <c r="O39" s="328"/>
      <c r="P39" s="328"/>
      <c r="Q39" s="328"/>
      <c r="R39" s="328"/>
      <c r="S39" s="328"/>
      <c r="T39" s="328"/>
      <c r="U39" s="328"/>
      <c r="V39" s="328"/>
      <c r="W39" s="328"/>
      <c r="X39" s="328"/>
      <c r="Y39" s="328"/>
      <c r="Z39" s="328"/>
      <c r="AA39" s="328"/>
      <c r="AB39" s="328"/>
      <c r="AC39" s="328"/>
      <c r="AD39" s="328"/>
      <c r="AE39" s="328"/>
      <c r="AF39" s="328"/>
      <c r="AG39" s="328"/>
      <c r="AH39" s="328"/>
      <c r="AI39" s="328"/>
      <c r="AJ39" s="328"/>
      <c r="AK39" s="328"/>
      <c r="AL39" s="328"/>
      <c r="AM39" s="328"/>
      <c r="AN39" s="328"/>
      <c r="AO39" s="328"/>
      <c r="AP39" s="328"/>
      <c r="AQ39" s="328"/>
      <c r="AR39" s="328"/>
      <c r="AS39" s="328"/>
      <c r="AT39" s="328"/>
      <c r="AU39" s="328"/>
      <c r="AV39" s="328"/>
      <c r="AW39" s="328"/>
      <c r="AX39" s="328"/>
      <c r="AY39" s="328"/>
      <c r="AZ39" s="328"/>
      <c r="BA39" s="328"/>
      <c r="BB39" s="328"/>
      <c r="BC39" s="328"/>
      <c r="BD39" s="328"/>
      <c r="BE39" s="328"/>
      <c r="BF39" s="328"/>
      <c r="BG39" s="328"/>
      <c r="BH39" s="328"/>
      <c r="BI39" s="328"/>
      <c r="BJ39" s="328"/>
      <c r="BK39" s="328"/>
      <c r="BL39" s="334"/>
      <c r="BM39" s="334"/>
      <c r="BN39" s="334"/>
      <c r="BO39" s="334"/>
      <c r="BP39" s="334"/>
      <c r="BQ39" s="334"/>
      <c r="BR39" s="334"/>
      <c r="IR39" s="327"/>
    </row>
    <row r="40" spans="1:252">
      <c r="B40" s="327" t="str">
        <f>'Balance Sheet'!E25</f>
        <v>Retained Earnings</v>
      </c>
      <c r="C40" s="324"/>
      <c r="D40" s="328">
        <f ca="1">'Balance Sheet'!J25</f>
        <v>-52200</v>
      </c>
      <c r="E40" s="328">
        <f ca="1">'Balance Sheet'!K25</f>
        <v>-113294.92250913588</v>
      </c>
      <c r="F40" s="328">
        <f ca="1">'Balance Sheet'!L25</f>
        <v>-174788.92979549034</v>
      </c>
      <c r="G40" s="328">
        <f ca="1">'Balance Sheet'!M25</f>
        <v>-237820.70367627169</v>
      </c>
      <c r="H40" s="328">
        <f ca="1">'Balance Sheet'!N25</f>
        <v>-301327.7679350425</v>
      </c>
      <c r="I40" s="328">
        <f ca="1">'Balance Sheet'!O25</f>
        <v>-365325.20976966212</v>
      </c>
      <c r="J40" s="328">
        <f ca="1">'Balance Sheet'!P25</f>
        <v>-430986.1875089464</v>
      </c>
      <c r="K40" s="328">
        <f ca="1">'Balance Sheet'!Q25</f>
        <v>-455307.53634494345</v>
      </c>
      <c r="L40" s="328">
        <f ca="1">'Balance Sheet'!R25</f>
        <v>-471189.75361196895</v>
      </c>
      <c r="M40" s="328">
        <f ca="1">'Balance Sheet'!S25</f>
        <v>-488198.20161444182</v>
      </c>
      <c r="N40" s="328">
        <f ca="1">'Balance Sheet'!T25</f>
        <v>-505795.60480860854</v>
      </c>
      <c r="O40" s="328">
        <f ca="1">'Balance Sheet'!U25</f>
        <v>-524092.80616935901</v>
      </c>
      <c r="P40" s="328">
        <f ca="1">'Balance Sheet'!V25</f>
        <v>-544249.69405418157</v>
      </c>
      <c r="Q40" s="328">
        <f ca="1">'Balance Sheet'!W25</f>
        <v>-520599.38023444271</v>
      </c>
      <c r="R40" s="328">
        <f ca="1">'Balance Sheet'!X25</f>
        <v>-490810.77721444675</v>
      </c>
      <c r="S40" s="328">
        <f ca="1">'Balance Sheet'!Y25</f>
        <v>-463099.86069975654</v>
      </c>
      <c r="T40" s="328">
        <f ca="1">'Balance Sheet'!Z25</f>
        <v>-436322.06832942209</v>
      </c>
      <c r="U40" s="328">
        <f ca="1">'Balance Sheet'!AA25</f>
        <v>-418966.50193450914</v>
      </c>
      <c r="V40" s="328">
        <f ca="1">'Balance Sheet'!AB25</f>
        <v>-403862.77255332906</v>
      </c>
      <c r="W40" s="328">
        <f ca="1">'Balance Sheet'!AC25</f>
        <v>-343141.28787616937</v>
      </c>
      <c r="X40" s="328">
        <f ca="1">'Balance Sheet'!AD25</f>
        <v>-291303.52951702388</v>
      </c>
      <c r="Y40" s="328">
        <f ca="1">'Balance Sheet'!AE25</f>
        <v>-249920.04921231579</v>
      </c>
      <c r="Z40" s="328">
        <f ca="1">'Balance Sheet'!AF25</f>
        <v>-209427.26800047196</v>
      </c>
      <c r="AA40" s="328">
        <f ca="1">'Balance Sheet'!AG25</f>
        <v>-122013.92081704651</v>
      </c>
      <c r="AB40" s="328">
        <f ca="1">'Balance Sheet'!AH25</f>
        <v>-55160.625525048381</v>
      </c>
      <c r="AC40" s="328">
        <f ca="1">'Balance Sheet'!AI25</f>
        <v>15419.541160158347</v>
      </c>
      <c r="AD40" s="328">
        <f ca="1">'Balance Sheet'!AJ25</f>
        <v>81544.340408759512</v>
      </c>
      <c r="AE40" s="328">
        <f ca="1">'Balance Sheet'!AK25</f>
        <v>198803.43393082428</v>
      </c>
      <c r="AF40" s="328">
        <f ca="1">'Balance Sheet'!AL25</f>
        <v>320485.63717737759</v>
      </c>
      <c r="AG40" s="328">
        <f ca="1">'Balance Sheet'!AM25</f>
        <v>438462.07065904653</v>
      </c>
      <c r="AH40" s="328">
        <f ca="1">'Balance Sheet'!AN25</f>
        <v>608324.24367098208</v>
      </c>
      <c r="AI40" s="328">
        <f ca="1">'Balance Sheet'!AO25</f>
        <v>783525.89701385703</v>
      </c>
      <c r="AJ40" s="328">
        <f ca="1">'Balance Sheet'!AP25</f>
        <v>1003782.2953305185</v>
      </c>
      <c r="AK40" s="328">
        <f ca="1">'Balance Sheet'!AQ25</f>
        <v>1228812.9405455473</v>
      </c>
      <c r="AL40" s="328">
        <f ca="1">'Balance Sheet'!AR25</f>
        <v>1451932.3518033694</v>
      </c>
      <c r="AM40" s="328">
        <f ca="1">'Balance Sheet'!AS25</f>
        <v>1729637.4415939085</v>
      </c>
      <c r="AN40" s="328">
        <f ca="1">'Balance Sheet'!AT25</f>
        <v>2004862.741468858</v>
      </c>
      <c r="AO40" s="328">
        <f ca="1">'Balance Sheet'!AU25</f>
        <v>2278987.3008378148</v>
      </c>
      <c r="AP40" s="328">
        <f ca="1">'Balance Sheet'!AV25</f>
        <v>2609102.6780487243</v>
      </c>
      <c r="AQ40" s="328">
        <f ca="1">'Balance Sheet'!AW25</f>
        <v>2937868.9552949821</v>
      </c>
      <c r="AR40" s="328">
        <f ca="1">'Balance Sheet'!AX25</f>
        <v>3314964.9124661624</v>
      </c>
      <c r="AS40" s="328">
        <f ca="1">'Balance Sheet'!AY25</f>
        <v>3701558.7708926075</v>
      </c>
      <c r="AT40" s="328">
        <f ca="1">'Balance Sheet'!AZ25</f>
        <v>4136336.8311913284</v>
      </c>
      <c r="AU40" s="328">
        <f ca="1">'Balance Sheet'!BA25</f>
        <v>4621283.9380210768</v>
      </c>
      <c r="AV40" s="328">
        <f ca="1">'Balance Sheet'!BB25</f>
        <v>5108786.3336179443</v>
      </c>
      <c r="AW40" s="328">
        <f ca="1">'Balance Sheet'!BC25</f>
        <v>5646338.8407885162</v>
      </c>
      <c r="AX40" s="328">
        <f ca="1">'Balance Sheet'!BD25</f>
        <v>6236547.2887613494</v>
      </c>
      <c r="AY40" s="328">
        <f ca="1">'Balance Sheet'!BE25</f>
        <v>6831417.5458162762</v>
      </c>
      <c r="AZ40" s="328">
        <f ca="1">'Balance Sheet'!BF25</f>
        <v>7474458.4622393819</v>
      </c>
      <c r="BA40" s="328">
        <f ca="1">'Balance Sheet'!BG25</f>
        <v>8176469.7683480149</v>
      </c>
      <c r="BB40" s="328">
        <f ca="1">'Balance Sheet'!BH25</f>
        <v>8938907.7648204528</v>
      </c>
      <c r="BC40" s="328">
        <f ca="1">'Balance Sheet'!BI25</f>
        <v>9761393.6848637499</v>
      </c>
      <c r="BD40" s="328">
        <f ca="1">'Balance Sheet'!BJ25</f>
        <v>10646511.757170189</v>
      </c>
      <c r="BE40" s="328">
        <f ca="1">'Balance Sheet'!BK25</f>
        <v>11595988.624808421</v>
      </c>
      <c r="BF40" s="328">
        <f ca="1">'Balance Sheet'!BL25</f>
        <v>12609579.327820268</v>
      </c>
      <c r="BG40" s="328">
        <f ca="1">'Balance Sheet'!BM25</f>
        <v>13690530.124602413</v>
      </c>
      <c r="BH40" s="328">
        <f ca="1">'Balance Sheet'!BN25</f>
        <v>14840181.367642488</v>
      </c>
      <c r="BI40" s="328">
        <f ca="1">'Balance Sheet'!BO25</f>
        <v>16058808.976432571</v>
      </c>
      <c r="BJ40" s="328">
        <f ca="1">'Balance Sheet'!BP25</f>
        <v>17350655.966292497</v>
      </c>
      <c r="BK40" s="328">
        <f ca="1">'Balance Sheet'!BQ25</f>
        <v>18716388.84255733</v>
      </c>
      <c r="BL40" s="334"/>
      <c r="BM40" s="334"/>
      <c r="BN40" s="334"/>
      <c r="BO40" s="334"/>
      <c r="BP40" s="334"/>
      <c r="BQ40" s="334"/>
      <c r="BR40" s="334"/>
      <c r="IR40" s="327"/>
    </row>
    <row r="41" spans="1:252">
      <c r="B41" s="327" t="str">
        <f>'Balance Sheet'!E26</f>
        <v>Share Capital</v>
      </c>
      <c r="C41" s="324"/>
      <c r="D41" s="328">
        <f>'Balance Sheet'!J26</f>
        <v>0</v>
      </c>
      <c r="E41" s="328">
        <f>'Balance Sheet'!K26</f>
        <v>0</v>
      </c>
      <c r="F41" s="328">
        <f>'Balance Sheet'!L26</f>
        <v>0</v>
      </c>
      <c r="G41" s="328">
        <f>'Balance Sheet'!M26</f>
        <v>0</v>
      </c>
      <c r="H41" s="328">
        <f>'Balance Sheet'!N26</f>
        <v>0</v>
      </c>
      <c r="I41" s="328">
        <f>'Balance Sheet'!O26</f>
        <v>0</v>
      </c>
      <c r="J41" s="328">
        <f>'Balance Sheet'!P26</f>
        <v>0</v>
      </c>
      <c r="K41" s="328">
        <f>'Balance Sheet'!Q26</f>
        <v>0</v>
      </c>
      <c r="L41" s="328">
        <f>'Balance Sheet'!R26</f>
        <v>0</v>
      </c>
      <c r="M41" s="328">
        <f>'Balance Sheet'!S26</f>
        <v>0</v>
      </c>
      <c r="N41" s="328">
        <f>'Balance Sheet'!T26</f>
        <v>0</v>
      </c>
      <c r="O41" s="328">
        <f>'Balance Sheet'!U26</f>
        <v>0</v>
      </c>
      <c r="P41" s="328">
        <f>'Balance Sheet'!V26</f>
        <v>0</v>
      </c>
      <c r="Q41" s="328">
        <f>'Balance Sheet'!W26</f>
        <v>0</v>
      </c>
      <c r="R41" s="328">
        <f>'Balance Sheet'!X26</f>
        <v>0</v>
      </c>
      <c r="S41" s="328">
        <f>'Balance Sheet'!Y26</f>
        <v>0</v>
      </c>
      <c r="T41" s="328">
        <f>'Balance Sheet'!Z26</f>
        <v>0</v>
      </c>
      <c r="U41" s="328">
        <f>'Balance Sheet'!AA26</f>
        <v>0</v>
      </c>
      <c r="V41" s="328">
        <f>'Balance Sheet'!AB26</f>
        <v>0</v>
      </c>
      <c r="W41" s="328">
        <f>'Balance Sheet'!AC26</f>
        <v>0</v>
      </c>
      <c r="X41" s="328">
        <f>'Balance Sheet'!AD26</f>
        <v>0</v>
      </c>
      <c r="Y41" s="328">
        <f>'Balance Sheet'!AE26</f>
        <v>0</v>
      </c>
      <c r="Z41" s="328">
        <f>'Balance Sheet'!AF26</f>
        <v>0</v>
      </c>
      <c r="AA41" s="328">
        <f>'Balance Sheet'!AG26</f>
        <v>0</v>
      </c>
      <c r="AB41" s="328">
        <f>'Balance Sheet'!AH26</f>
        <v>0</v>
      </c>
      <c r="AC41" s="328">
        <f>'Balance Sheet'!AI26</f>
        <v>0</v>
      </c>
      <c r="AD41" s="328">
        <f>'Balance Sheet'!AJ26</f>
        <v>0</v>
      </c>
      <c r="AE41" s="328">
        <f>'Balance Sheet'!AK26</f>
        <v>0</v>
      </c>
      <c r="AF41" s="328">
        <f>'Balance Sheet'!AL26</f>
        <v>0</v>
      </c>
      <c r="AG41" s="328">
        <f>'Balance Sheet'!AM26</f>
        <v>0</v>
      </c>
      <c r="AH41" s="328">
        <f>'Balance Sheet'!AN26</f>
        <v>0</v>
      </c>
      <c r="AI41" s="328">
        <f>'Balance Sheet'!AO26</f>
        <v>0</v>
      </c>
      <c r="AJ41" s="328">
        <f>'Balance Sheet'!AP26</f>
        <v>0</v>
      </c>
      <c r="AK41" s="328">
        <f>'Balance Sheet'!AQ26</f>
        <v>0</v>
      </c>
      <c r="AL41" s="328">
        <f>'Balance Sheet'!AR26</f>
        <v>0</v>
      </c>
      <c r="AM41" s="328">
        <f>'Balance Sheet'!AS26</f>
        <v>0</v>
      </c>
      <c r="AN41" s="328">
        <f>'Balance Sheet'!AT26</f>
        <v>0</v>
      </c>
      <c r="AO41" s="328">
        <f>'Balance Sheet'!AU26</f>
        <v>0</v>
      </c>
      <c r="AP41" s="328">
        <f>'Balance Sheet'!AV26</f>
        <v>0</v>
      </c>
      <c r="AQ41" s="328">
        <f>'Balance Sheet'!AW26</f>
        <v>0</v>
      </c>
      <c r="AR41" s="328">
        <f>'Balance Sheet'!AX26</f>
        <v>0</v>
      </c>
      <c r="AS41" s="328">
        <f>'Balance Sheet'!AY26</f>
        <v>0</v>
      </c>
      <c r="AT41" s="328">
        <f>'Balance Sheet'!AZ26</f>
        <v>0</v>
      </c>
      <c r="AU41" s="328">
        <f>'Balance Sheet'!BA26</f>
        <v>0</v>
      </c>
      <c r="AV41" s="328">
        <f>'Balance Sheet'!BB26</f>
        <v>0</v>
      </c>
      <c r="AW41" s="328">
        <f>'Balance Sheet'!BC26</f>
        <v>0</v>
      </c>
      <c r="AX41" s="328">
        <f>'Balance Sheet'!BD26</f>
        <v>0</v>
      </c>
      <c r="AY41" s="328">
        <f>'Balance Sheet'!BE26</f>
        <v>0</v>
      </c>
      <c r="AZ41" s="328">
        <f>'Balance Sheet'!BF26</f>
        <v>0</v>
      </c>
      <c r="BA41" s="328">
        <f>'Balance Sheet'!BG26</f>
        <v>0</v>
      </c>
      <c r="BB41" s="328">
        <f>'Balance Sheet'!BH26</f>
        <v>0</v>
      </c>
      <c r="BC41" s="328">
        <f>'Balance Sheet'!BI26</f>
        <v>0</v>
      </c>
      <c r="BD41" s="328">
        <f>'Balance Sheet'!BJ26</f>
        <v>0</v>
      </c>
      <c r="BE41" s="328">
        <f>'Balance Sheet'!BK26</f>
        <v>0</v>
      </c>
      <c r="BF41" s="328">
        <f>'Balance Sheet'!BL26</f>
        <v>0</v>
      </c>
      <c r="BG41" s="328">
        <f>'Balance Sheet'!BM26</f>
        <v>0</v>
      </c>
      <c r="BH41" s="328">
        <f>'Balance Sheet'!BN26</f>
        <v>0</v>
      </c>
      <c r="BI41" s="328">
        <f>'Balance Sheet'!BO26</f>
        <v>0</v>
      </c>
      <c r="BJ41" s="328">
        <f>'Balance Sheet'!BP26</f>
        <v>0</v>
      </c>
      <c r="BK41" s="328">
        <f>'Balance Sheet'!BQ26</f>
        <v>0</v>
      </c>
      <c r="BL41" s="334"/>
      <c r="BM41" s="334"/>
      <c r="BN41" s="334"/>
      <c r="BO41" s="334"/>
      <c r="BP41" s="334"/>
      <c r="BQ41" s="334"/>
      <c r="BR41" s="334"/>
      <c r="IR41" s="327"/>
    </row>
    <row r="42" spans="1:252">
      <c r="B42" s="329" t="str">
        <f>'Balance Sheet'!E27</f>
        <v>Shareholder Equity</v>
      </c>
      <c r="C42" s="330"/>
      <c r="D42" s="331">
        <f ca="1">'Balance Sheet'!J27</f>
        <v>-52200</v>
      </c>
      <c r="E42" s="331">
        <f ca="1">'Balance Sheet'!K27</f>
        <v>-113294.92250913588</v>
      </c>
      <c r="F42" s="331">
        <f ca="1">'Balance Sheet'!L27</f>
        <v>-174788.92979549034</v>
      </c>
      <c r="G42" s="331">
        <f ca="1">'Balance Sheet'!M27</f>
        <v>-237820.70367627169</v>
      </c>
      <c r="H42" s="331">
        <f ca="1">'Balance Sheet'!N27</f>
        <v>-301327.7679350425</v>
      </c>
      <c r="I42" s="331">
        <f ca="1">'Balance Sheet'!O27</f>
        <v>-365325.20976966212</v>
      </c>
      <c r="J42" s="331">
        <f ca="1">'Balance Sheet'!P27</f>
        <v>-430986.1875089464</v>
      </c>
      <c r="K42" s="331">
        <f ca="1">'Balance Sheet'!Q27</f>
        <v>-455307.53634494345</v>
      </c>
      <c r="L42" s="331">
        <f ca="1">'Balance Sheet'!R27</f>
        <v>-471189.75361196895</v>
      </c>
      <c r="M42" s="331">
        <f ca="1">'Balance Sheet'!S27</f>
        <v>-488198.20161444182</v>
      </c>
      <c r="N42" s="331">
        <f ca="1">'Balance Sheet'!T27</f>
        <v>-505795.60480860854</v>
      </c>
      <c r="O42" s="331">
        <f ca="1">'Balance Sheet'!U27</f>
        <v>-524092.80616935901</v>
      </c>
      <c r="P42" s="331">
        <f ca="1">'Balance Sheet'!V27</f>
        <v>-544249.69405418157</v>
      </c>
      <c r="Q42" s="331">
        <f ca="1">'Balance Sheet'!W27</f>
        <v>-520599.38023444271</v>
      </c>
      <c r="R42" s="331">
        <f ca="1">'Balance Sheet'!X27</f>
        <v>-490810.77721444675</v>
      </c>
      <c r="S42" s="331">
        <f ca="1">'Balance Sheet'!Y27</f>
        <v>-463099.86069975654</v>
      </c>
      <c r="T42" s="331">
        <f ca="1">'Balance Sheet'!Z27</f>
        <v>-436322.06832942209</v>
      </c>
      <c r="U42" s="331">
        <f ca="1">'Balance Sheet'!AA27</f>
        <v>-418966.50193450914</v>
      </c>
      <c r="V42" s="331">
        <f ca="1">'Balance Sheet'!AB27</f>
        <v>-403862.77255332906</v>
      </c>
      <c r="W42" s="331">
        <f ca="1">'Balance Sheet'!AC27</f>
        <v>-343141.28787616937</v>
      </c>
      <c r="X42" s="331">
        <f ca="1">'Balance Sheet'!AD27</f>
        <v>-291303.52951702388</v>
      </c>
      <c r="Y42" s="331">
        <f ca="1">'Balance Sheet'!AE27</f>
        <v>-249920.04921231579</v>
      </c>
      <c r="Z42" s="331">
        <f ca="1">'Balance Sheet'!AF27</f>
        <v>-209427.26800047196</v>
      </c>
      <c r="AA42" s="331">
        <f ca="1">'Balance Sheet'!AG27</f>
        <v>-122013.92081704651</v>
      </c>
      <c r="AB42" s="331">
        <f ca="1">'Balance Sheet'!AH27</f>
        <v>-55160.625525048381</v>
      </c>
      <c r="AC42" s="331">
        <f ca="1">'Balance Sheet'!AI27</f>
        <v>15419.541160158347</v>
      </c>
      <c r="AD42" s="331">
        <f ca="1">'Balance Sheet'!AJ27</f>
        <v>81544.340408759512</v>
      </c>
      <c r="AE42" s="331">
        <f ca="1">'Balance Sheet'!AK27</f>
        <v>198803.43393082428</v>
      </c>
      <c r="AF42" s="331">
        <f ca="1">'Balance Sheet'!AL27</f>
        <v>320485.63717737759</v>
      </c>
      <c r="AG42" s="331">
        <f ca="1">'Balance Sheet'!AM27</f>
        <v>438462.07065904653</v>
      </c>
      <c r="AH42" s="331">
        <f ca="1">'Balance Sheet'!AN27</f>
        <v>608324.24367098208</v>
      </c>
      <c r="AI42" s="331">
        <f ca="1">'Balance Sheet'!AO27</f>
        <v>783525.89701385703</v>
      </c>
      <c r="AJ42" s="331">
        <f ca="1">'Balance Sheet'!AP27</f>
        <v>1003782.2953305185</v>
      </c>
      <c r="AK42" s="331">
        <f ca="1">'Balance Sheet'!AQ27</f>
        <v>1228812.9405455473</v>
      </c>
      <c r="AL42" s="331">
        <f ca="1">'Balance Sheet'!AR27</f>
        <v>1451932.3518033694</v>
      </c>
      <c r="AM42" s="331">
        <f ca="1">'Balance Sheet'!AS27</f>
        <v>1729637.4415939085</v>
      </c>
      <c r="AN42" s="331">
        <f ca="1">'Balance Sheet'!AT27</f>
        <v>2004862.741468858</v>
      </c>
      <c r="AO42" s="331">
        <f ca="1">'Balance Sheet'!AU27</f>
        <v>2278987.3008378148</v>
      </c>
      <c r="AP42" s="331">
        <f ca="1">'Balance Sheet'!AV27</f>
        <v>2609102.6780487243</v>
      </c>
      <c r="AQ42" s="331">
        <f ca="1">'Balance Sheet'!AW27</f>
        <v>2937868.9552949821</v>
      </c>
      <c r="AR42" s="331">
        <f ca="1">'Balance Sheet'!AX27</f>
        <v>3314964.9124661624</v>
      </c>
      <c r="AS42" s="331">
        <f ca="1">'Balance Sheet'!AY27</f>
        <v>3701558.7708926075</v>
      </c>
      <c r="AT42" s="331">
        <f ca="1">'Balance Sheet'!AZ27</f>
        <v>4136336.8311913284</v>
      </c>
      <c r="AU42" s="331">
        <f ca="1">'Balance Sheet'!BA27</f>
        <v>4621283.9380210768</v>
      </c>
      <c r="AV42" s="331">
        <f ca="1">'Balance Sheet'!BB27</f>
        <v>5108786.3336179443</v>
      </c>
      <c r="AW42" s="331">
        <f ca="1">'Balance Sheet'!BC27</f>
        <v>5646338.8407885162</v>
      </c>
      <c r="AX42" s="331">
        <f ca="1">'Balance Sheet'!BD27</f>
        <v>6236547.2887613494</v>
      </c>
      <c r="AY42" s="331">
        <f ca="1">'Balance Sheet'!BE27</f>
        <v>6831417.5458162762</v>
      </c>
      <c r="AZ42" s="331">
        <f ca="1">'Balance Sheet'!BF27</f>
        <v>7474458.4622393819</v>
      </c>
      <c r="BA42" s="331">
        <f ca="1">'Balance Sheet'!BG27</f>
        <v>8176469.7683480149</v>
      </c>
      <c r="BB42" s="331">
        <f ca="1">'Balance Sheet'!BH27</f>
        <v>8938907.7648204528</v>
      </c>
      <c r="BC42" s="331">
        <f ca="1">'Balance Sheet'!BI27</f>
        <v>9761393.6848637499</v>
      </c>
      <c r="BD42" s="331">
        <f ca="1">'Balance Sheet'!BJ27</f>
        <v>10646511.757170189</v>
      </c>
      <c r="BE42" s="331">
        <f ca="1">'Balance Sheet'!BK27</f>
        <v>11595988.624808421</v>
      </c>
      <c r="BF42" s="331">
        <f ca="1">'Balance Sheet'!BL27</f>
        <v>12609579.327820268</v>
      </c>
      <c r="BG42" s="331">
        <f ca="1">'Balance Sheet'!BM27</f>
        <v>13690530.124602413</v>
      </c>
      <c r="BH42" s="331">
        <f ca="1">'Balance Sheet'!BN27</f>
        <v>14840181.367642488</v>
      </c>
      <c r="BI42" s="331">
        <f ca="1">'Balance Sheet'!BO27</f>
        <v>16058808.976432571</v>
      </c>
      <c r="BJ42" s="331">
        <f ca="1">'Balance Sheet'!BP27</f>
        <v>17350655.966292497</v>
      </c>
      <c r="BK42" s="331">
        <f ca="1">'Balance Sheet'!BQ27</f>
        <v>18716388.84255733</v>
      </c>
      <c r="BL42" s="334"/>
      <c r="BM42" s="334"/>
      <c r="BN42" s="334"/>
      <c r="BO42" s="334"/>
      <c r="BP42" s="334"/>
      <c r="BQ42" s="334"/>
      <c r="BR42" s="334"/>
      <c r="IR42" s="327"/>
    </row>
    <row r="43" spans="1:252">
      <c r="C43" s="324"/>
      <c r="D43" s="328"/>
      <c r="E43" s="328"/>
      <c r="F43" s="328"/>
      <c r="G43" s="328"/>
      <c r="H43" s="328"/>
      <c r="I43" s="328"/>
      <c r="J43" s="328"/>
      <c r="K43" s="328"/>
      <c r="L43" s="328"/>
      <c r="M43" s="328"/>
      <c r="N43" s="328"/>
      <c r="O43" s="328"/>
      <c r="P43" s="328"/>
      <c r="Q43" s="328"/>
      <c r="R43" s="328"/>
      <c r="S43" s="328"/>
      <c r="T43" s="328"/>
      <c r="U43" s="328"/>
      <c r="V43" s="328"/>
      <c r="W43" s="328"/>
      <c r="X43" s="328"/>
      <c r="Y43" s="328"/>
      <c r="Z43" s="328"/>
      <c r="AA43" s="328"/>
      <c r="AB43" s="328"/>
      <c r="AC43" s="328"/>
      <c r="AD43" s="328"/>
      <c r="AE43" s="328"/>
      <c r="AF43" s="328"/>
      <c r="AG43" s="328"/>
      <c r="AH43" s="328"/>
      <c r="AI43" s="328"/>
      <c r="AJ43" s="328"/>
      <c r="AK43" s="328"/>
      <c r="AL43" s="328"/>
      <c r="AM43" s="328"/>
      <c r="AN43" s="328"/>
      <c r="AO43" s="328"/>
      <c r="AP43" s="328"/>
      <c r="AQ43" s="328"/>
      <c r="AR43" s="328"/>
      <c r="AS43" s="328"/>
      <c r="AT43" s="328"/>
      <c r="AU43" s="328"/>
      <c r="AV43" s="328"/>
      <c r="AW43" s="328"/>
      <c r="AX43" s="328"/>
      <c r="AY43" s="328"/>
      <c r="AZ43" s="328"/>
      <c r="BA43" s="328"/>
      <c r="BB43" s="328"/>
      <c r="BC43" s="328"/>
      <c r="BD43" s="328"/>
      <c r="BE43" s="328"/>
      <c r="BF43" s="328"/>
      <c r="BG43" s="328"/>
      <c r="BH43" s="328"/>
      <c r="BI43" s="328"/>
      <c r="BJ43" s="328"/>
      <c r="BK43" s="328"/>
      <c r="BL43" s="334"/>
      <c r="BM43" s="334"/>
      <c r="BN43" s="334"/>
      <c r="BO43" s="334"/>
      <c r="BP43" s="334"/>
      <c r="BQ43" s="334"/>
      <c r="BR43" s="334"/>
      <c r="IR43" s="327"/>
    </row>
    <row r="44" spans="1:252">
      <c r="A44" s="323"/>
      <c r="B44" s="323"/>
      <c r="C44" s="324"/>
      <c r="D44" s="323"/>
      <c r="E44" s="323"/>
      <c r="F44" s="323"/>
      <c r="G44" s="323"/>
      <c r="H44" s="323"/>
      <c r="I44" s="323"/>
      <c r="J44" s="323"/>
      <c r="K44" s="323"/>
      <c r="L44" s="323"/>
      <c r="M44" s="323"/>
      <c r="N44" s="323"/>
      <c r="O44" s="323"/>
      <c r="P44" s="323"/>
      <c r="Q44" s="323"/>
      <c r="R44" s="32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23"/>
      <c r="AQ44" s="323"/>
      <c r="AR44" s="323"/>
      <c r="AS44" s="323"/>
      <c r="AT44" s="323"/>
      <c r="AU44" s="323"/>
      <c r="AV44" s="323"/>
      <c r="AW44" s="323"/>
      <c r="AX44" s="323"/>
      <c r="AY44" s="323"/>
      <c r="AZ44" s="323"/>
      <c r="BA44" s="323"/>
      <c r="BB44" s="323"/>
      <c r="BC44" s="323"/>
      <c r="BD44" s="323"/>
      <c r="BE44" s="323"/>
      <c r="BF44" s="323"/>
      <c r="BG44" s="323"/>
      <c r="BH44" s="323"/>
      <c r="BI44" s="323"/>
      <c r="BJ44" s="323"/>
      <c r="BK44" s="323"/>
      <c r="BL44" s="323"/>
      <c r="BM44" s="323"/>
      <c r="BN44" s="323"/>
      <c r="BO44" s="323"/>
      <c r="BP44" s="323"/>
      <c r="BQ44" s="323"/>
      <c r="BR44" s="323"/>
      <c r="BS44" s="323"/>
      <c r="BT44" s="323"/>
      <c r="BU44" s="323"/>
      <c r="BV44" s="323"/>
      <c r="BW44" s="323"/>
      <c r="BX44" s="323"/>
      <c r="BY44" s="323"/>
      <c r="BZ44" s="323"/>
      <c r="CA44" s="323"/>
      <c r="CB44" s="323"/>
      <c r="CC44" s="323"/>
      <c r="CD44" s="323"/>
      <c r="CE44" s="323"/>
      <c r="CF44" s="323"/>
      <c r="CG44" s="323"/>
      <c r="CH44" s="323"/>
      <c r="CI44" s="323"/>
      <c r="CJ44" s="323"/>
      <c r="CK44" s="323"/>
      <c r="CL44" s="323"/>
      <c r="CM44" s="323"/>
      <c r="CN44" s="323"/>
      <c r="CO44" s="323"/>
      <c r="CP44" s="323"/>
      <c r="CQ44" s="323"/>
      <c r="CR44" s="323"/>
      <c r="CS44" s="323"/>
      <c r="CT44" s="323"/>
      <c r="CU44" s="323"/>
      <c r="CV44" s="323"/>
      <c r="CW44" s="323"/>
      <c r="CX44" s="323"/>
      <c r="CY44" s="323"/>
      <c r="CZ44" s="323"/>
      <c r="DA44" s="323"/>
      <c r="DB44" s="323"/>
      <c r="DC44" s="323"/>
      <c r="DD44" s="323"/>
      <c r="DE44" s="323"/>
      <c r="DF44" s="323"/>
      <c r="DG44" s="323"/>
      <c r="DH44" s="323"/>
      <c r="DI44" s="323"/>
      <c r="DJ44" s="323"/>
      <c r="DK44" s="323"/>
      <c r="DL44" s="323"/>
      <c r="DM44" s="323"/>
      <c r="DN44" s="323"/>
      <c r="DO44" s="323"/>
      <c r="DP44" s="323"/>
      <c r="DQ44" s="323"/>
      <c r="DR44" s="323"/>
      <c r="DS44" s="323"/>
      <c r="DT44" s="323"/>
      <c r="DU44" s="323"/>
      <c r="DV44" s="323"/>
      <c r="DW44" s="323"/>
      <c r="DX44" s="323"/>
      <c r="DY44" s="323"/>
      <c r="DZ44" s="323"/>
      <c r="EA44" s="323"/>
      <c r="EB44" s="323"/>
      <c r="EC44" s="323"/>
      <c r="ED44" s="323"/>
      <c r="EE44" s="323"/>
      <c r="EF44" s="323"/>
      <c r="EG44" s="323"/>
      <c r="EH44" s="323"/>
      <c r="EI44" s="323"/>
      <c r="EJ44" s="323"/>
      <c r="EK44" s="323"/>
      <c r="EL44" s="323"/>
      <c r="EM44" s="323"/>
      <c r="EN44" s="323"/>
      <c r="EO44" s="323"/>
      <c r="EP44" s="323"/>
      <c r="EQ44" s="323"/>
      <c r="ER44" s="323"/>
      <c r="ES44" s="323"/>
      <c r="ET44" s="323"/>
      <c r="EU44" s="323"/>
      <c r="EV44" s="323"/>
      <c r="EW44" s="323"/>
      <c r="EX44" s="323"/>
      <c r="EY44" s="323"/>
      <c r="EZ44" s="323"/>
      <c r="FA44" s="323"/>
      <c r="FB44" s="323"/>
      <c r="FC44" s="323"/>
      <c r="FD44" s="323"/>
      <c r="FE44" s="323"/>
      <c r="FF44" s="323"/>
      <c r="FG44" s="323"/>
      <c r="FH44" s="323"/>
      <c r="FI44" s="323"/>
      <c r="FJ44" s="323"/>
      <c r="FK44" s="323"/>
      <c r="FL44" s="323"/>
      <c r="FM44" s="323"/>
      <c r="FN44" s="323"/>
      <c r="FO44" s="323"/>
      <c r="FP44" s="323"/>
      <c r="FQ44" s="323"/>
      <c r="FR44" s="323"/>
      <c r="FS44" s="323"/>
      <c r="FT44" s="323"/>
      <c r="FU44" s="323"/>
      <c r="FV44" s="323"/>
      <c r="FW44" s="323"/>
      <c r="FX44" s="323"/>
      <c r="FY44" s="323"/>
      <c r="FZ44" s="323"/>
      <c r="GA44" s="323"/>
      <c r="GB44" s="323"/>
      <c r="GC44" s="323"/>
      <c r="GD44" s="323"/>
      <c r="GE44" s="323"/>
      <c r="GF44" s="323"/>
      <c r="GG44" s="323"/>
      <c r="GH44" s="323"/>
      <c r="GI44" s="323"/>
      <c r="GJ44" s="323"/>
      <c r="GK44" s="323"/>
      <c r="GL44" s="323"/>
      <c r="GM44" s="323"/>
      <c r="GN44" s="323"/>
      <c r="GO44" s="323"/>
      <c r="GP44" s="323"/>
      <c r="GQ44" s="323"/>
      <c r="GR44" s="323"/>
      <c r="GS44" s="323"/>
      <c r="GT44" s="323"/>
      <c r="GU44" s="323"/>
      <c r="GV44" s="323"/>
      <c r="GW44" s="323"/>
      <c r="GX44" s="323"/>
      <c r="GY44" s="323"/>
      <c r="GZ44" s="323"/>
      <c r="HA44" s="323"/>
      <c r="HB44" s="323"/>
      <c r="HC44" s="323"/>
      <c r="HD44" s="323"/>
      <c r="HE44" s="323"/>
      <c r="HF44" s="323"/>
      <c r="HG44" s="323"/>
      <c r="HH44" s="323"/>
      <c r="HI44" s="323"/>
      <c r="HJ44" s="323"/>
      <c r="HK44" s="323"/>
      <c r="HL44" s="323"/>
      <c r="HM44" s="323"/>
      <c r="HN44" s="323"/>
      <c r="HO44" s="323"/>
      <c r="HP44" s="323"/>
      <c r="HQ44" s="323"/>
      <c r="HR44" s="323"/>
      <c r="HS44" s="323"/>
      <c r="HT44" s="323"/>
      <c r="HU44" s="323"/>
      <c r="HV44" s="323"/>
      <c r="HW44" s="323"/>
      <c r="HX44" s="323"/>
      <c r="HY44" s="323"/>
      <c r="HZ44" s="323"/>
      <c r="IA44" s="323"/>
      <c r="IB44" s="323"/>
      <c r="IC44" s="323"/>
      <c r="ID44" s="323"/>
      <c r="IE44" s="323"/>
      <c r="IF44" s="323"/>
      <c r="IG44" s="323"/>
      <c r="IH44" s="323"/>
      <c r="II44" s="323"/>
      <c r="IJ44" s="323"/>
      <c r="IK44" s="323"/>
      <c r="IL44" s="323"/>
      <c r="IM44" s="323"/>
      <c r="IN44" s="323"/>
      <c r="IO44" s="323"/>
      <c r="IP44" s="323"/>
      <c r="IQ44" s="323"/>
      <c r="IR44" s="323"/>
    </row>
    <row r="45" spans="1:252">
      <c r="A45" s="338"/>
      <c r="B45" s="338" t="s">
        <v>344</v>
      </c>
      <c r="C45" s="324"/>
      <c r="D45" s="339">
        <f t="shared" ref="D45:AI45" si="2">D2</f>
        <v>45077</v>
      </c>
      <c r="E45" s="339">
        <f t="shared" si="2"/>
        <v>45107</v>
      </c>
      <c r="F45" s="339">
        <f t="shared" si="2"/>
        <v>45138</v>
      </c>
      <c r="G45" s="339">
        <f t="shared" si="2"/>
        <v>45169</v>
      </c>
      <c r="H45" s="339">
        <f t="shared" si="2"/>
        <v>45199</v>
      </c>
      <c r="I45" s="339">
        <f t="shared" si="2"/>
        <v>45230</v>
      </c>
      <c r="J45" s="339">
        <f t="shared" si="2"/>
        <v>45260</v>
      </c>
      <c r="K45" s="339">
        <f t="shared" si="2"/>
        <v>45291</v>
      </c>
      <c r="L45" s="339">
        <f t="shared" si="2"/>
        <v>45322</v>
      </c>
      <c r="M45" s="339">
        <f t="shared" si="2"/>
        <v>45351</v>
      </c>
      <c r="N45" s="339">
        <f t="shared" si="2"/>
        <v>45382</v>
      </c>
      <c r="O45" s="339">
        <f t="shared" si="2"/>
        <v>45412</v>
      </c>
      <c r="P45" s="339">
        <f t="shared" si="2"/>
        <v>45443</v>
      </c>
      <c r="Q45" s="339">
        <f t="shared" si="2"/>
        <v>45473</v>
      </c>
      <c r="R45" s="339">
        <f t="shared" si="2"/>
        <v>45504</v>
      </c>
      <c r="S45" s="339">
        <f t="shared" si="2"/>
        <v>45535</v>
      </c>
      <c r="T45" s="339">
        <f t="shared" si="2"/>
        <v>45565</v>
      </c>
      <c r="U45" s="339">
        <f t="shared" si="2"/>
        <v>45596</v>
      </c>
      <c r="V45" s="339">
        <f t="shared" si="2"/>
        <v>45626</v>
      </c>
      <c r="W45" s="339">
        <f t="shared" si="2"/>
        <v>45657</v>
      </c>
      <c r="X45" s="339">
        <f t="shared" si="2"/>
        <v>45688</v>
      </c>
      <c r="Y45" s="339">
        <f t="shared" si="2"/>
        <v>45716</v>
      </c>
      <c r="Z45" s="339">
        <f t="shared" si="2"/>
        <v>45747</v>
      </c>
      <c r="AA45" s="339">
        <f t="shared" si="2"/>
        <v>45777</v>
      </c>
      <c r="AB45" s="339">
        <f t="shared" si="2"/>
        <v>45808</v>
      </c>
      <c r="AC45" s="339">
        <f t="shared" si="2"/>
        <v>45838</v>
      </c>
      <c r="AD45" s="339">
        <f t="shared" si="2"/>
        <v>45869</v>
      </c>
      <c r="AE45" s="339">
        <f t="shared" si="2"/>
        <v>45900</v>
      </c>
      <c r="AF45" s="339">
        <f t="shared" si="2"/>
        <v>45930</v>
      </c>
      <c r="AG45" s="339">
        <f t="shared" si="2"/>
        <v>45961</v>
      </c>
      <c r="AH45" s="339">
        <f t="shared" si="2"/>
        <v>45991</v>
      </c>
      <c r="AI45" s="339">
        <f t="shared" si="2"/>
        <v>46022</v>
      </c>
      <c r="AJ45" s="339">
        <f t="shared" ref="AJ45:BK45" si="3">AJ2</f>
        <v>46053</v>
      </c>
      <c r="AK45" s="339">
        <f t="shared" si="3"/>
        <v>46081</v>
      </c>
      <c r="AL45" s="339">
        <f t="shared" si="3"/>
        <v>46112</v>
      </c>
      <c r="AM45" s="339">
        <f t="shared" si="3"/>
        <v>46142</v>
      </c>
      <c r="AN45" s="339">
        <f t="shared" si="3"/>
        <v>46173</v>
      </c>
      <c r="AO45" s="339">
        <f t="shared" si="3"/>
        <v>46203</v>
      </c>
      <c r="AP45" s="339">
        <f t="shared" si="3"/>
        <v>46234</v>
      </c>
      <c r="AQ45" s="339">
        <f t="shared" si="3"/>
        <v>46265</v>
      </c>
      <c r="AR45" s="339">
        <f t="shared" si="3"/>
        <v>46295</v>
      </c>
      <c r="AS45" s="339">
        <f t="shared" si="3"/>
        <v>46326</v>
      </c>
      <c r="AT45" s="339">
        <f t="shared" si="3"/>
        <v>46356</v>
      </c>
      <c r="AU45" s="339">
        <f t="shared" si="3"/>
        <v>46387</v>
      </c>
      <c r="AV45" s="339">
        <f t="shared" si="3"/>
        <v>46418</v>
      </c>
      <c r="AW45" s="339">
        <f t="shared" si="3"/>
        <v>46446</v>
      </c>
      <c r="AX45" s="339">
        <f t="shared" si="3"/>
        <v>46477</v>
      </c>
      <c r="AY45" s="339">
        <f t="shared" si="3"/>
        <v>46507</v>
      </c>
      <c r="AZ45" s="339">
        <f t="shared" si="3"/>
        <v>46538</v>
      </c>
      <c r="BA45" s="339">
        <f t="shared" si="3"/>
        <v>46568</v>
      </c>
      <c r="BB45" s="339">
        <f t="shared" si="3"/>
        <v>46599</v>
      </c>
      <c r="BC45" s="339">
        <f t="shared" si="3"/>
        <v>46630</v>
      </c>
      <c r="BD45" s="339">
        <f t="shared" si="3"/>
        <v>46660</v>
      </c>
      <c r="BE45" s="339">
        <f t="shared" si="3"/>
        <v>46691</v>
      </c>
      <c r="BF45" s="339">
        <f t="shared" si="3"/>
        <v>46721</v>
      </c>
      <c r="BG45" s="339">
        <f t="shared" si="3"/>
        <v>46752</v>
      </c>
      <c r="BH45" s="339">
        <f t="shared" si="3"/>
        <v>46783</v>
      </c>
      <c r="BI45" s="339">
        <f t="shared" si="3"/>
        <v>46812</v>
      </c>
      <c r="BJ45" s="339">
        <f t="shared" si="3"/>
        <v>46843</v>
      </c>
      <c r="BK45" s="339">
        <f t="shared" si="3"/>
        <v>46873</v>
      </c>
      <c r="BL45" s="338"/>
      <c r="BM45" s="338"/>
      <c r="BN45" s="338"/>
      <c r="BO45" s="338"/>
      <c r="BP45" s="338"/>
      <c r="BQ45" s="338"/>
      <c r="BR45" s="338"/>
      <c r="BS45" s="338"/>
      <c r="BT45" s="338"/>
      <c r="BU45" s="338"/>
      <c r="BV45" s="338"/>
      <c r="BW45" s="338"/>
      <c r="BX45" s="338"/>
      <c r="BY45" s="338"/>
      <c r="BZ45" s="338"/>
      <c r="CA45" s="338"/>
      <c r="CB45" s="338"/>
      <c r="CC45" s="338"/>
      <c r="CD45" s="338"/>
      <c r="CE45" s="338"/>
      <c r="CF45" s="338"/>
      <c r="CG45" s="338"/>
      <c r="CH45" s="338"/>
      <c r="CI45" s="338"/>
      <c r="CJ45" s="338"/>
      <c r="CK45" s="338"/>
      <c r="CL45" s="338"/>
      <c r="CM45" s="338"/>
      <c r="CN45" s="338"/>
      <c r="CO45" s="338"/>
      <c r="CP45" s="338"/>
      <c r="CQ45" s="338"/>
      <c r="CR45" s="338"/>
      <c r="CS45" s="338"/>
      <c r="CT45" s="338"/>
      <c r="CU45" s="338"/>
      <c r="CV45" s="338"/>
      <c r="CW45" s="338"/>
      <c r="CX45" s="338"/>
      <c r="CY45" s="338"/>
      <c r="CZ45" s="338"/>
      <c r="DA45" s="338"/>
      <c r="DB45" s="338"/>
      <c r="DC45" s="338"/>
      <c r="DD45" s="338"/>
      <c r="DE45" s="338"/>
      <c r="DF45" s="338"/>
      <c r="DG45" s="338"/>
      <c r="DH45" s="338"/>
      <c r="DI45" s="338"/>
      <c r="DJ45" s="338"/>
      <c r="DK45" s="338"/>
      <c r="DL45" s="338"/>
      <c r="DM45" s="338"/>
      <c r="DN45" s="338"/>
      <c r="DO45" s="338"/>
      <c r="DP45" s="338"/>
      <c r="DQ45" s="338"/>
      <c r="DR45" s="338"/>
      <c r="DS45" s="338"/>
      <c r="DT45" s="338"/>
      <c r="DU45" s="338"/>
      <c r="DV45" s="338"/>
      <c r="DW45" s="338"/>
      <c r="DX45" s="338"/>
      <c r="DY45" s="338"/>
      <c r="DZ45" s="338"/>
      <c r="EA45" s="338"/>
      <c r="EB45" s="338"/>
      <c r="EC45" s="338"/>
      <c r="ED45" s="338"/>
      <c r="EE45" s="338"/>
      <c r="EF45" s="338"/>
      <c r="EG45" s="338"/>
      <c r="EH45" s="338"/>
      <c r="EI45" s="338"/>
      <c r="EJ45" s="338"/>
      <c r="EK45" s="338"/>
      <c r="EL45" s="338"/>
      <c r="EM45" s="338"/>
      <c r="EN45" s="338"/>
      <c r="EO45" s="338"/>
      <c r="EP45" s="338"/>
      <c r="EQ45" s="338"/>
      <c r="ER45" s="338"/>
      <c r="ES45" s="338"/>
      <c r="ET45" s="338"/>
      <c r="EU45" s="338"/>
      <c r="EV45" s="338"/>
      <c r="EW45" s="338"/>
      <c r="EX45" s="338"/>
      <c r="EY45" s="338"/>
      <c r="EZ45" s="338"/>
      <c r="FA45" s="338"/>
      <c r="FB45" s="338"/>
      <c r="FC45" s="338"/>
      <c r="FD45" s="338"/>
      <c r="FE45" s="338"/>
      <c r="FF45" s="338"/>
      <c r="FG45" s="338"/>
      <c r="FH45" s="338"/>
      <c r="FI45" s="338"/>
      <c r="FJ45" s="338"/>
      <c r="FK45" s="338"/>
      <c r="FL45" s="338"/>
      <c r="FM45" s="338"/>
      <c r="FN45" s="338"/>
      <c r="FO45" s="338"/>
      <c r="FP45" s="338"/>
      <c r="FQ45" s="338"/>
      <c r="FR45" s="338"/>
      <c r="FS45" s="338"/>
      <c r="FT45" s="338"/>
      <c r="FU45" s="338"/>
      <c r="FV45" s="338"/>
      <c r="FW45" s="338"/>
      <c r="FX45" s="338"/>
      <c r="FY45" s="338"/>
      <c r="FZ45" s="338"/>
      <c r="GA45" s="338"/>
      <c r="GB45" s="338"/>
      <c r="GC45" s="338"/>
      <c r="GD45" s="338"/>
      <c r="GE45" s="338"/>
      <c r="GF45" s="338"/>
      <c r="GG45" s="338"/>
      <c r="GH45" s="338"/>
      <c r="GI45" s="338"/>
      <c r="GJ45" s="338"/>
      <c r="GK45" s="338"/>
      <c r="GL45" s="338"/>
      <c r="GM45" s="338"/>
      <c r="GN45" s="338"/>
      <c r="GO45" s="338"/>
      <c r="GP45" s="338"/>
      <c r="GQ45" s="338"/>
      <c r="GR45" s="338"/>
      <c r="GS45" s="338"/>
      <c r="GT45" s="338"/>
      <c r="GU45" s="338"/>
      <c r="GV45" s="338"/>
      <c r="GW45" s="338"/>
      <c r="GX45" s="338"/>
      <c r="GY45" s="338"/>
      <c r="GZ45" s="338"/>
      <c r="HA45" s="338"/>
      <c r="HB45" s="338"/>
      <c r="HC45" s="338"/>
      <c r="HD45" s="338"/>
      <c r="HE45" s="338"/>
      <c r="HF45" s="338"/>
      <c r="HG45" s="338"/>
      <c r="HH45" s="338"/>
      <c r="HI45" s="338"/>
      <c r="HJ45" s="338"/>
      <c r="HK45" s="338"/>
      <c r="HL45" s="338"/>
      <c r="HM45" s="338"/>
      <c r="HN45" s="338"/>
      <c r="HO45" s="338"/>
      <c r="HP45" s="338"/>
      <c r="HQ45" s="338"/>
      <c r="HR45" s="338"/>
      <c r="HS45" s="338"/>
      <c r="HT45" s="338"/>
      <c r="HU45" s="338"/>
      <c r="HV45" s="338"/>
      <c r="HW45" s="338"/>
      <c r="HX45" s="338"/>
      <c r="HY45" s="338"/>
      <c r="HZ45" s="338"/>
      <c r="IA45" s="338"/>
      <c r="IB45" s="338"/>
      <c r="IC45" s="338"/>
      <c r="ID45" s="338"/>
      <c r="IE45" s="338"/>
      <c r="IF45" s="338"/>
      <c r="IG45" s="338"/>
      <c r="IH45" s="338"/>
      <c r="II45" s="338"/>
      <c r="IJ45" s="338"/>
      <c r="IK45" s="338"/>
      <c r="IL45" s="338"/>
      <c r="IM45" s="338"/>
      <c r="IN45" s="338"/>
      <c r="IO45" s="338"/>
      <c r="IP45" s="338"/>
      <c r="IQ45" s="338"/>
      <c r="IR45" s="338"/>
    </row>
    <row r="46" spans="1:252">
      <c r="A46" s="323"/>
      <c r="B46" s="323"/>
      <c r="C46" s="324"/>
      <c r="D46" s="333"/>
      <c r="E46" s="333"/>
      <c r="F46" s="333"/>
      <c r="G46" s="333"/>
      <c r="H46" s="333"/>
      <c r="I46" s="333"/>
      <c r="J46" s="333"/>
      <c r="K46" s="333"/>
      <c r="L46" s="333"/>
      <c r="M46" s="333"/>
      <c r="N46" s="333"/>
      <c r="O46" s="333"/>
      <c r="P46" s="333"/>
      <c r="Q46" s="333"/>
      <c r="R46" s="333"/>
      <c r="S46" s="333"/>
      <c r="T46" s="333"/>
      <c r="U46" s="333"/>
      <c r="V46" s="333"/>
      <c r="W46" s="333"/>
      <c r="X46" s="333"/>
      <c r="Y46" s="333"/>
      <c r="Z46" s="333"/>
      <c r="AA46" s="333"/>
      <c r="AB46" s="333"/>
      <c r="AC46" s="333"/>
      <c r="AD46" s="333"/>
      <c r="AE46" s="333"/>
      <c r="AF46" s="333"/>
      <c r="AG46" s="333"/>
      <c r="AH46" s="333"/>
      <c r="AI46" s="333"/>
      <c r="AJ46" s="333"/>
      <c r="AK46" s="333"/>
      <c r="AL46" s="333"/>
      <c r="AM46" s="333"/>
      <c r="AN46" s="333"/>
      <c r="AO46" s="333"/>
      <c r="AP46" s="333"/>
      <c r="AQ46" s="333"/>
      <c r="AR46" s="333"/>
      <c r="AS46" s="333"/>
      <c r="AT46" s="333"/>
      <c r="AU46" s="333"/>
      <c r="AV46" s="333"/>
      <c r="AW46" s="333"/>
      <c r="AX46" s="333"/>
      <c r="AY46" s="333"/>
      <c r="AZ46" s="333"/>
      <c r="BA46" s="333"/>
      <c r="BB46" s="333"/>
      <c r="BC46" s="333"/>
      <c r="BD46" s="333"/>
      <c r="BE46" s="333"/>
      <c r="BF46" s="333"/>
      <c r="BG46" s="333"/>
      <c r="BH46" s="333"/>
      <c r="BI46" s="333"/>
      <c r="BJ46" s="333"/>
      <c r="BK46" s="333"/>
      <c r="BL46" s="323"/>
      <c r="BM46" s="323"/>
      <c r="BN46" s="323"/>
      <c r="BO46" s="323"/>
      <c r="BP46" s="323"/>
      <c r="BQ46" s="323"/>
      <c r="BR46" s="323"/>
      <c r="BS46" s="323"/>
      <c r="BT46" s="323"/>
      <c r="BU46" s="323"/>
      <c r="BV46" s="323"/>
      <c r="BW46" s="323"/>
      <c r="BX46" s="323"/>
      <c r="BY46" s="323"/>
      <c r="BZ46" s="323"/>
      <c r="CA46" s="323"/>
      <c r="CB46" s="323"/>
      <c r="CC46" s="323"/>
      <c r="CD46" s="323"/>
      <c r="CE46" s="323"/>
      <c r="CF46" s="323"/>
      <c r="CG46" s="323"/>
      <c r="CH46" s="323"/>
      <c r="CI46" s="323"/>
      <c r="CJ46" s="323"/>
      <c r="CK46" s="323"/>
      <c r="CL46" s="323"/>
      <c r="CM46" s="323"/>
      <c r="CN46" s="323"/>
      <c r="CO46" s="323"/>
      <c r="CP46" s="323"/>
      <c r="CQ46" s="323"/>
      <c r="CR46" s="323"/>
      <c r="CS46" s="323"/>
      <c r="CT46" s="323"/>
      <c r="CU46" s="323"/>
      <c r="CV46" s="323"/>
      <c r="CW46" s="323"/>
      <c r="CX46" s="323"/>
      <c r="CY46" s="323"/>
      <c r="CZ46" s="323"/>
      <c r="DA46" s="323"/>
      <c r="DB46" s="323"/>
      <c r="DC46" s="323"/>
      <c r="DD46" s="323"/>
      <c r="DE46" s="323"/>
      <c r="DF46" s="323"/>
      <c r="DG46" s="323"/>
      <c r="DH46" s="323"/>
      <c r="DI46" s="323"/>
      <c r="DJ46" s="323"/>
      <c r="DK46" s="323"/>
      <c r="DL46" s="323"/>
      <c r="DM46" s="323"/>
      <c r="DN46" s="323"/>
      <c r="DO46" s="323"/>
      <c r="DP46" s="323"/>
      <c r="DQ46" s="323"/>
      <c r="DR46" s="323"/>
      <c r="DS46" s="323"/>
      <c r="DT46" s="323"/>
      <c r="DU46" s="323"/>
      <c r="DV46" s="323"/>
      <c r="DW46" s="323"/>
      <c r="DX46" s="323"/>
      <c r="DY46" s="323"/>
      <c r="DZ46" s="323"/>
      <c r="EA46" s="323"/>
      <c r="EB46" s="323"/>
      <c r="EC46" s="323"/>
      <c r="ED46" s="323"/>
      <c r="EE46" s="323"/>
      <c r="EF46" s="323"/>
      <c r="EG46" s="323"/>
      <c r="EH46" s="323"/>
      <c r="EI46" s="323"/>
      <c r="EJ46" s="323"/>
      <c r="EK46" s="323"/>
      <c r="EL46" s="323"/>
      <c r="EM46" s="323"/>
      <c r="EN46" s="323"/>
      <c r="EO46" s="323"/>
      <c r="EP46" s="323"/>
      <c r="EQ46" s="323"/>
      <c r="ER46" s="323"/>
      <c r="ES46" s="323"/>
      <c r="ET46" s="323"/>
      <c r="EU46" s="323"/>
      <c r="EV46" s="323"/>
      <c r="EW46" s="323"/>
      <c r="EX46" s="323"/>
      <c r="EY46" s="323"/>
      <c r="EZ46" s="323"/>
      <c r="FA46" s="323"/>
      <c r="FB46" s="323"/>
      <c r="FC46" s="323"/>
      <c r="FD46" s="323"/>
      <c r="FE46" s="323"/>
      <c r="FF46" s="323"/>
      <c r="FG46" s="323"/>
      <c r="FH46" s="323"/>
      <c r="FI46" s="323"/>
      <c r="FJ46" s="323"/>
      <c r="FK46" s="323"/>
      <c r="FL46" s="323"/>
      <c r="FM46" s="323"/>
      <c r="FN46" s="323"/>
      <c r="FO46" s="323"/>
      <c r="FP46" s="323"/>
      <c r="FQ46" s="323"/>
      <c r="FR46" s="323"/>
      <c r="FS46" s="323"/>
      <c r="FT46" s="323"/>
      <c r="FU46" s="323"/>
      <c r="FV46" s="323"/>
      <c r="FW46" s="323"/>
      <c r="FX46" s="323"/>
      <c r="FY46" s="323"/>
      <c r="FZ46" s="323"/>
      <c r="GA46" s="323"/>
      <c r="GB46" s="323"/>
      <c r="GC46" s="323"/>
      <c r="GD46" s="323"/>
      <c r="GE46" s="323"/>
      <c r="GF46" s="323"/>
      <c r="GG46" s="323"/>
      <c r="GH46" s="323"/>
      <c r="GI46" s="323"/>
      <c r="GJ46" s="323"/>
      <c r="GK46" s="323"/>
      <c r="GL46" s="323"/>
      <c r="GM46" s="323"/>
      <c r="GN46" s="323"/>
      <c r="GO46" s="323"/>
      <c r="GP46" s="323"/>
      <c r="GQ46" s="323"/>
      <c r="GR46" s="323"/>
      <c r="GS46" s="323"/>
      <c r="GT46" s="323"/>
      <c r="GU46" s="323"/>
      <c r="GV46" s="323"/>
      <c r="GW46" s="323"/>
      <c r="GX46" s="323"/>
      <c r="GY46" s="323"/>
      <c r="GZ46" s="323"/>
      <c r="HA46" s="323"/>
      <c r="HB46" s="323"/>
      <c r="HC46" s="323"/>
      <c r="HD46" s="323"/>
      <c r="HE46" s="323"/>
      <c r="HF46" s="323"/>
      <c r="HG46" s="323"/>
      <c r="HH46" s="323"/>
      <c r="HI46" s="323"/>
      <c r="HJ46" s="323"/>
      <c r="HK46" s="323"/>
      <c r="HL46" s="323"/>
      <c r="HM46" s="323"/>
      <c r="HN46" s="323"/>
      <c r="HO46" s="323"/>
      <c r="HP46" s="323"/>
      <c r="HQ46" s="323"/>
      <c r="HR46" s="323"/>
      <c r="HS46" s="323"/>
      <c r="HT46" s="323"/>
      <c r="HU46" s="323"/>
      <c r="HV46" s="323"/>
      <c r="HW46" s="323"/>
      <c r="HX46" s="323"/>
      <c r="HY46" s="323"/>
      <c r="HZ46" s="323"/>
      <c r="IA46" s="323"/>
      <c r="IB46" s="323"/>
      <c r="IC46" s="323"/>
      <c r="ID46" s="323"/>
      <c r="IE46" s="323"/>
      <c r="IF46" s="323"/>
      <c r="IG46" s="323"/>
      <c r="IH46" s="323"/>
      <c r="II46" s="323"/>
      <c r="IJ46" s="323"/>
      <c r="IK46" s="323"/>
      <c r="IL46" s="323"/>
      <c r="IM46" s="323"/>
      <c r="IN46" s="323"/>
      <c r="IO46" s="323"/>
      <c r="IP46" s="323"/>
      <c r="IQ46" s="323"/>
      <c r="IR46" s="323"/>
    </row>
    <row r="47" spans="1:252" s="332" customFormat="1">
      <c r="A47" s="327"/>
      <c r="B47" s="327" t="str">
        <f>Cashflow!E8</f>
        <v>Cash in from Sales</v>
      </c>
      <c r="C47" s="324"/>
      <c r="D47" s="328">
        <f ca="1">Cashflow!J8</f>
        <v>0</v>
      </c>
      <c r="E47" s="328">
        <f ca="1">Cashflow!K8</f>
        <v>0</v>
      </c>
      <c r="F47" s="328">
        <f ca="1">Cashflow!L8</f>
        <v>0</v>
      </c>
      <c r="G47" s="328">
        <f ca="1">Cashflow!M8</f>
        <v>0</v>
      </c>
      <c r="H47" s="328">
        <f ca="1">Cashflow!N8</f>
        <v>0</v>
      </c>
      <c r="I47" s="328">
        <f ca="1">Cashflow!O8</f>
        <v>0</v>
      </c>
      <c r="J47" s="328">
        <f ca="1">Cashflow!P8</f>
        <v>0</v>
      </c>
      <c r="K47" s="328">
        <f ca="1">Cashflow!Q8</f>
        <v>0</v>
      </c>
      <c r="L47" s="328">
        <f ca="1">Cashflow!R8</f>
        <v>0</v>
      </c>
      <c r="M47" s="328">
        <f ca="1">Cashflow!S8</f>
        <v>725145.29928020365</v>
      </c>
      <c r="N47" s="328">
        <f ca="1">Cashflow!T8</f>
        <v>129720.32895086281</v>
      </c>
      <c r="O47" s="328">
        <f ca="1">Cashflow!U8</f>
        <v>9134.3717689334935</v>
      </c>
      <c r="P47" s="328">
        <f ca="1">Cashflow!V8</f>
        <v>0</v>
      </c>
      <c r="Q47" s="328">
        <f ca="1">Cashflow!W8</f>
        <v>0</v>
      </c>
      <c r="R47" s="328">
        <f ca="1">Cashflow!X8</f>
        <v>0</v>
      </c>
      <c r="S47" s="328">
        <f ca="1">Cashflow!Y8</f>
        <v>764384.25594778592</v>
      </c>
      <c r="T47" s="328">
        <f ca="1">Cashflow!Z8</f>
        <v>99615.744052214053</v>
      </c>
      <c r="U47" s="328">
        <f ca="1">Cashflow!AA8</f>
        <v>0</v>
      </c>
      <c r="V47" s="328">
        <f ca="1">Cashflow!AB8</f>
        <v>0</v>
      </c>
      <c r="W47" s="328">
        <f ca="1">Cashflow!AC8</f>
        <v>0</v>
      </c>
      <c r="X47" s="328">
        <f ca="1">Cashflow!AD8</f>
        <v>0</v>
      </c>
      <c r="Y47" s="328">
        <f ca="1">Cashflow!AE8</f>
        <v>1589145.2992802034</v>
      </c>
      <c r="Z47" s="328">
        <f ca="1">Cashflow!AF8</f>
        <v>129720.32895086281</v>
      </c>
      <c r="AA47" s="328">
        <f ca="1">Cashflow!AG8</f>
        <v>9134.3717689334935</v>
      </c>
      <c r="AB47" s="328">
        <f ca="1">Cashflow!AH8</f>
        <v>0</v>
      </c>
      <c r="AC47" s="328">
        <f ca="1">Cashflow!AI8</f>
        <v>864000</v>
      </c>
      <c r="AD47" s="328">
        <f ca="1">Cashflow!AJ8</f>
        <v>0</v>
      </c>
      <c r="AE47" s="328">
        <f ca="1">Cashflow!AK8</f>
        <v>937184.25594778592</v>
      </c>
      <c r="AF47" s="328">
        <f ca="1">Cashflow!AL8</f>
        <v>282893.88427147525</v>
      </c>
      <c r="AG47" s="328">
        <f ca="1">Cashflow!AM8</f>
        <v>1058022.8415391739</v>
      </c>
      <c r="AH47" s="328">
        <f ca="1">Cashflow!AN8</f>
        <v>205787.87938284824</v>
      </c>
      <c r="AI47" s="328">
        <f ca="1">Cashflow!AO8</f>
        <v>218266.3183620027</v>
      </c>
      <c r="AJ47" s="328">
        <f ca="1">Cashflow!AP8</f>
        <v>1095062.2055103064</v>
      </c>
      <c r="AK47" s="328">
        <f ca="1">Cashflow!AQ8</f>
        <v>1109073.2135468153</v>
      </c>
      <c r="AL47" s="328">
        <f ca="1">Cashflow!AR8</f>
        <v>1123440.6579017255</v>
      </c>
      <c r="AM47" s="328">
        <f ca="1">Cashflow!AS8</f>
        <v>275172.46109658468</v>
      </c>
      <c r="AN47" s="328">
        <f ca="1">Cashflow!AT8</f>
        <v>291858.19970682322</v>
      </c>
      <c r="AO47" s="328">
        <f ca="1">Cashflow!AU8</f>
        <v>2035894.596989301</v>
      </c>
      <c r="AP47" s="328">
        <f ca="1">Cashflow!AV8</f>
        <v>326511.99764072965</v>
      </c>
      <c r="AQ47" s="328">
        <f ca="1">Cashflow!AW8</f>
        <v>518400</v>
      </c>
      <c r="AR47" s="328">
        <f ca="1">Cashflow!AX8</f>
        <v>1414152.6137742535</v>
      </c>
      <c r="AS47" s="328">
        <f ca="1">Cashflow!AY8</f>
        <v>1446375.104153529</v>
      </c>
      <c r="AT47" s="328">
        <f ca="1">Cashflow!AZ8</f>
        <v>1481655.6373524086</v>
      </c>
      <c r="AU47" s="328">
        <f ca="1">Cashflow!BA8</f>
        <v>655073.48130449071</v>
      </c>
      <c r="AV47" s="328">
        <f ca="1">Cashflow!BB8</f>
        <v>2421441.1996417828</v>
      </c>
      <c r="AW47" s="328">
        <f ca="1">Cashflow!BC8</f>
        <v>1599450.1676120043</v>
      </c>
      <c r="AX47" s="328">
        <f ca="1">Cashflow!BD8</f>
        <v>1642525.5585212999</v>
      </c>
      <c r="AY47" s="328">
        <f ca="1">Cashflow!BE8</f>
        <v>1689980.0638350821</v>
      </c>
      <c r="AZ47" s="328">
        <f ca="1">Cashflow!BF8</f>
        <v>1740033.9564166341</v>
      </c>
      <c r="BA47" s="328">
        <f ca="1">Cashflow!BG8</f>
        <v>1787943.4762095995</v>
      </c>
      <c r="BB47" s="328">
        <f ca="1">Cashflow!BH8</f>
        <v>1843881.3745329482</v>
      </c>
      <c r="BC47" s="328">
        <f ca="1">Cashflow!BI8</f>
        <v>2056757.276335455</v>
      </c>
      <c r="BD47" s="328">
        <f ca="1">Cashflow!BJ8</f>
        <v>2993361.7503375923</v>
      </c>
      <c r="BE47" s="328">
        <f ca="1">Cashflow!BK8</f>
        <v>2203473.0915724854</v>
      </c>
      <c r="BF47" s="328">
        <f ca="1">Cashflow!BL8</f>
        <v>3148617.8308315785</v>
      </c>
      <c r="BG47" s="328">
        <f ca="1">Cashflow!BM8</f>
        <v>2370678.286523975</v>
      </c>
      <c r="BH47" s="328">
        <f ca="1">Cashflow!BN8</f>
        <v>3322923.3689910783</v>
      </c>
      <c r="BI47" s="328">
        <f ca="1">Cashflow!BO8</f>
        <v>3419543.1858854569</v>
      </c>
      <c r="BJ47" s="328">
        <f ca="1">Cashflow!BP8</f>
        <v>2654615.6768552866</v>
      </c>
      <c r="BK47" s="328">
        <f ca="1">Cashflow!BQ8</f>
        <v>3627846.7683985629</v>
      </c>
      <c r="BL47" s="327"/>
      <c r="BM47" s="327"/>
      <c r="BN47" s="327"/>
      <c r="BO47" s="327"/>
      <c r="BP47" s="327"/>
      <c r="BQ47" s="327"/>
      <c r="BR47" s="327"/>
      <c r="BS47" s="327"/>
      <c r="BT47" s="327"/>
      <c r="BU47" s="327"/>
      <c r="BV47" s="327"/>
      <c r="BW47" s="327"/>
      <c r="BX47" s="327"/>
      <c r="BY47" s="327"/>
      <c r="BZ47" s="327"/>
      <c r="CA47" s="327"/>
      <c r="CB47" s="327"/>
      <c r="CC47" s="327"/>
      <c r="CD47" s="327"/>
      <c r="CE47" s="327"/>
      <c r="CF47" s="327"/>
      <c r="CG47" s="327"/>
      <c r="CH47" s="327"/>
      <c r="CI47" s="327"/>
      <c r="CJ47" s="327"/>
      <c r="CK47" s="327"/>
      <c r="CL47" s="327"/>
      <c r="CM47" s="327"/>
      <c r="CN47" s="327"/>
      <c r="CO47" s="327"/>
      <c r="CP47" s="327"/>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row>
    <row r="48" spans="1:252">
      <c r="B48" s="327" t="str">
        <f>Cashflow!E9</f>
        <v xml:space="preserve">Cash out on Operating Expense </v>
      </c>
      <c r="C48" s="324"/>
      <c r="D48" s="328">
        <f ca="1">Cashflow!J9</f>
        <v>-57420</v>
      </c>
      <c r="E48" s="328">
        <f ca="1">Cashflow!K9</f>
        <v>-57900.248093382812</v>
      </c>
      <c r="F48" s="328">
        <f ca="1">Cashflow!L9</f>
        <v>-58392.713570545457</v>
      </c>
      <c r="G48" s="328">
        <f ca="1">Cashflow!M9</f>
        <v>-60135.501037377995</v>
      </c>
      <c r="H48" s="328">
        <f ca="1">Cashflow!N9</f>
        <v>-60707.429490589246</v>
      </c>
      <c r="I48" s="328">
        <f ca="1">Cashflow!O9</f>
        <v>-61293.907651553171</v>
      </c>
      <c r="J48" s="328">
        <f ca="1">Cashflow!P9</f>
        <v>-63168.899023067454</v>
      </c>
      <c r="K48" s="328">
        <f ca="1">Cashflow!Q9</f>
        <v>-63827.406889334176</v>
      </c>
      <c r="L48" s="328">
        <f ca="1">Cashflow!R9</f>
        <v>-64548.447869098556</v>
      </c>
      <c r="M48" s="328">
        <f ca="1">Cashflow!S9</f>
        <v>-66576.006186044033</v>
      </c>
      <c r="N48" s="328">
        <f ca="1">Cashflow!T9</f>
        <v>-67311.007728157609</v>
      </c>
      <c r="O48" s="328">
        <f ca="1">Cashflow!U9</f>
        <v>-68164.305258014734</v>
      </c>
      <c r="P48" s="328">
        <f ca="1">Cashflow!V9</f>
        <v>-70290.000000000015</v>
      </c>
      <c r="Q48" s="328">
        <f ca="1">Cashflow!W9</f>
        <v>-71265.080037937165</v>
      </c>
      <c r="R48" s="328">
        <f ca="1">Cashflow!X9</f>
        <v>-72249.478703157962</v>
      </c>
      <c r="S48" s="328">
        <f ca="1">Cashflow!Y9</f>
        <v>-74656.623774612905</v>
      </c>
      <c r="T48" s="328">
        <f ca="1">Cashflow!Z9</f>
        <v>-75799.679835872084</v>
      </c>
      <c r="U48" s="328">
        <f ca="1">Cashflow!AA9</f>
        <v>-76971.722098700731</v>
      </c>
      <c r="V48" s="328">
        <f ca="1">Cashflow!AB9</f>
        <v>-79609.318711038621</v>
      </c>
      <c r="W48" s="328">
        <f ca="1">Cashflow!AC9</f>
        <v>-80925.099594781292</v>
      </c>
      <c r="X48" s="328">
        <f ca="1">Cashflow!AD9</f>
        <v>-82379.056775231918</v>
      </c>
      <c r="Y48" s="328">
        <f ca="1">Cashflow!AE9</f>
        <v>-85300.141550678149</v>
      </c>
      <c r="Z48" s="328">
        <f ca="1">Cashflow!AF9</f>
        <v>-86760.992999075475</v>
      </c>
      <c r="AA48" s="328">
        <f ca="1">Cashflow!AG9</f>
        <v>-88471.515809038494</v>
      </c>
      <c r="AB48" s="328">
        <f ca="1">Cashflow!AH9</f>
        <v>-98728.250638101817</v>
      </c>
      <c r="AC48" s="328">
        <f ca="1">Cashflow!AI9</f>
        <v>-101080.87565859596</v>
      </c>
      <c r="AD48" s="328">
        <f ca="1">Cashflow!AJ9</f>
        <v>-103493.24679997447</v>
      </c>
      <c r="AE48" s="328">
        <f ca="1">Cashflow!AK9</f>
        <v>-107589.67236776305</v>
      </c>
      <c r="AF48" s="328">
        <f ca="1">Cashflow!AL9</f>
        <v>-110391.05385907202</v>
      </c>
      <c r="AG48" s="328">
        <f ca="1">Cashflow!AM9</f>
        <v>-113263.57787598559</v>
      </c>
      <c r="AH48" s="328">
        <f ca="1">Cashflow!AN9</f>
        <v>-117899.1782137165</v>
      </c>
      <c r="AI48" s="328">
        <f ca="1">Cashflow!AO9</f>
        <v>-121124.21983275771</v>
      </c>
      <c r="AJ48" s="328">
        <f ca="1">Cashflow!AP9</f>
        <v>-124676.68768137394</v>
      </c>
      <c r="AK48" s="328">
        <f ca="1">Cashflow!AQ9</f>
        <v>-129954.29390566153</v>
      </c>
      <c r="AL48" s="328">
        <f ca="1">Cashflow!AR9</f>
        <v>-133537.6083871256</v>
      </c>
      <c r="AM48" s="328">
        <f ca="1">Cashflow!AS9</f>
        <v>-137726.79454391476</v>
      </c>
      <c r="AN48" s="328">
        <f ca="1">Cashflow!AT9</f>
        <v>-143534.86543012649</v>
      </c>
      <c r="AO48" s="328">
        <f ca="1">Cashflow!AU9</f>
        <v>-148253.53631941459</v>
      </c>
      <c r="AP48" s="328">
        <f ca="1">Cashflow!AV9</f>
        <v>-153078.1544070298</v>
      </c>
      <c r="AQ48" s="328">
        <f ca="1">Cashflow!AW9</f>
        <v>-159961.60770347869</v>
      </c>
      <c r="AR48" s="328">
        <f ca="1">Cashflow!AX9</f>
        <v>-165564.18378831822</v>
      </c>
      <c r="AS48" s="328">
        <f ca="1">Cashflow!AY9</f>
        <v>-171309.01848511616</v>
      </c>
      <c r="AT48" s="328">
        <f ca="1">Cashflow!AZ9</f>
        <v>-179238.9250168936</v>
      </c>
      <c r="AU48" s="328">
        <f ca="1">Cashflow!BA9</f>
        <v>-185688.72000832635</v>
      </c>
      <c r="AV48" s="328">
        <f ca="1">Cashflow!BB9</f>
        <v>-192797.84131301288</v>
      </c>
      <c r="AW48" s="328">
        <f ca="1">Cashflow!BC9</f>
        <v>-201975.15822232151</v>
      </c>
      <c r="AX48" s="328">
        <f ca="1">Cashflow!BD9</f>
        <v>-209133.68285540037</v>
      </c>
      <c r="AY48" s="328">
        <f ca="1">Cashflow!BE9</f>
        <v>-217515.7973693212</v>
      </c>
      <c r="AZ48" s="328">
        <f ca="1">Cashflow!BF9</f>
        <v>-227774.88243204652</v>
      </c>
      <c r="BA48" s="328">
        <f ca="1">Cashflow!BG9</f>
        <v>-237185.79612314366</v>
      </c>
      <c r="BB48" s="328">
        <f ca="1">Cashflow!BH9</f>
        <v>-246835.77751915995</v>
      </c>
      <c r="BC48" s="328">
        <f ca="1">Cashflow!BI9</f>
        <v>-259163.00499886635</v>
      </c>
      <c r="BD48" s="328">
        <f ca="1">Cashflow!BJ9</f>
        <v>-270369.27825401031</v>
      </c>
      <c r="BE48" s="328">
        <f ca="1">Cashflow!BK9</f>
        <v>-281860.22716739168</v>
      </c>
      <c r="BF48" s="328">
        <f ca="1">Cashflow!BL9</f>
        <v>-296245.97162889544</v>
      </c>
      <c r="BG48" s="328">
        <f ca="1">Cashflow!BM9</f>
        <v>-309147.29006830743</v>
      </c>
      <c r="BH48" s="328">
        <f ca="1">Cashflow!BN9</f>
        <v>-323054.07217238902</v>
      </c>
      <c r="BI48" s="328">
        <f ca="1">Cashflow!BO9</f>
        <v>-339853.80807572545</v>
      </c>
      <c r="BJ48" s="328">
        <f ca="1">Cashflow!BP9</f>
        <v>-354576.26374973258</v>
      </c>
      <c r="BK48" s="328">
        <f ca="1">Cashflow!BQ9</f>
        <v>-371339.54277136282</v>
      </c>
      <c r="BL48" s="334"/>
      <c r="BM48" s="334"/>
      <c r="BN48" s="334"/>
      <c r="BO48" s="334"/>
      <c r="BP48" s="334"/>
      <c r="BQ48" s="334"/>
      <c r="BR48" s="334"/>
      <c r="BS48" s="334"/>
      <c r="BT48" s="334"/>
      <c r="BU48" s="334"/>
      <c r="BV48" s="334"/>
      <c r="BW48" s="334"/>
      <c r="BX48" s="334"/>
      <c r="BY48" s="334"/>
      <c r="BZ48" s="334"/>
      <c r="CA48" s="334"/>
      <c r="CB48" s="334"/>
      <c r="CC48" s="334"/>
      <c r="CD48" s="334"/>
      <c r="CE48" s="334"/>
      <c r="CF48" s="334"/>
      <c r="CG48" s="334"/>
      <c r="CH48" s="334"/>
      <c r="CI48" s="334"/>
      <c r="CJ48" s="334"/>
      <c r="CK48" s="334"/>
      <c r="CL48" s="334"/>
      <c r="CM48" s="334"/>
      <c r="CN48" s="334"/>
      <c r="CO48" s="334"/>
      <c r="CP48" s="334"/>
      <c r="CQ48" s="334"/>
      <c r="CR48" s="334"/>
      <c r="CS48" s="334"/>
      <c r="CT48" s="334"/>
      <c r="CU48" s="334"/>
      <c r="CV48" s="334"/>
      <c r="CW48" s="334"/>
      <c r="CX48" s="334"/>
      <c r="CY48" s="334"/>
      <c r="CZ48" s="334"/>
      <c r="DA48" s="334"/>
      <c r="DB48" s="334"/>
      <c r="DC48" s="334"/>
      <c r="DD48" s="334"/>
      <c r="DE48" s="334"/>
      <c r="DF48" s="334"/>
      <c r="DG48" s="334"/>
      <c r="DH48" s="334"/>
      <c r="DI48" s="334"/>
      <c r="DJ48" s="334"/>
      <c r="DK48" s="334"/>
      <c r="DL48" s="334"/>
      <c r="DM48" s="334"/>
      <c r="DN48" s="334"/>
      <c r="DO48" s="334"/>
      <c r="DP48" s="334"/>
      <c r="DQ48" s="334"/>
      <c r="DR48" s="334"/>
      <c r="DS48" s="334"/>
      <c r="DT48" s="334"/>
      <c r="DU48" s="334"/>
      <c r="DV48" s="334"/>
      <c r="DW48" s="334"/>
      <c r="DX48" s="334"/>
      <c r="DY48" s="334"/>
      <c r="DZ48" s="334"/>
      <c r="EA48" s="334"/>
      <c r="EB48" s="334"/>
      <c r="EC48" s="334"/>
      <c r="ED48" s="334"/>
      <c r="EE48" s="334"/>
      <c r="EF48" s="334"/>
      <c r="EG48" s="334"/>
      <c r="EH48" s="334"/>
      <c r="EI48" s="334"/>
      <c r="EJ48" s="334"/>
      <c r="EK48" s="334"/>
      <c r="EL48" s="334"/>
      <c r="EM48" s="334"/>
      <c r="EN48" s="334"/>
      <c r="EO48" s="334"/>
      <c r="EP48" s="334"/>
      <c r="EQ48" s="334"/>
      <c r="ER48" s="334"/>
      <c r="ES48" s="334"/>
      <c r="ET48" s="334"/>
      <c r="EU48" s="334"/>
      <c r="EV48" s="334"/>
      <c r="EW48" s="334"/>
      <c r="EX48" s="334"/>
      <c r="EY48" s="334"/>
      <c r="EZ48" s="334"/>
      <c r="FA48" s="334"/>
      <c r="FB48" s="334"/>
      <c r="FC48" s="334"/>
      <c r="FD48" s="334"/>
      <c r="FE48" s="334"/>
      <c r="FF48" s="334"/>
      <c r="FG48" s="334"/>
      <c r="FH48" s="334"/>
      <c r="FI48" s="334"/>
      <c r="FJ48" s="334"/>
      <c r="FK48" s="334"/>
      <c r="FL48" s="334"/>
      <c r="FM48" s="334"/>
      <c r="FN48" s="334"/>
      <c r="FO48" s="334"/>
      <c r="FP48" s="334"/>
      <c r="FQ48" s="334"/>
      <c r="FR48" s="334"/>
      <c r="FS48" s="334"/>
      <c r="FT48" s="334"/>
      <c r="FU48" s="334"/>
      <c r="FV48" s="334"/>
      <c r="FW48" s="334"/>
      <c r="FX48" s="334"/>
      <c r="FY48" s="334"/>
      <c r="FZ48" s="334"/>
      <c r="GA48" s="334"/>
      <c r="GB48" s="334"/>
      <c r="GC48" s="334"/>
      <c r="GD48" s="334"/>
      <c r="GE48" s="334"/>
      <c r="GF48" s="334"/>
      <c r="GG48" s="334"/>
      <c r="GH48" s="334"/>
      <c r="GI48" s="334"/>
      <c r="GJ48" s="334"/>
      <c r="GK48" s="334"/>
      <c r="GL48" s="334"/>
      <c r="GM48" s="334"/>
      <c r="GN48" s="334"/>
      <c r="GO48" s="334"/>
      <c r="GP48" s="334"/>
      <c r="GQ48" s="334"/>
      <c r="GR48" s="334"/>
      <c r="GS48" s="334"/>
      <c r="GT48" s="334"/>
      <c r="GU48" s="334"/>
      <c r="GV48" s="334"/>
      <c r="GW48" s="334"/>
      <c r="GX48" s="334"/>
      <c r="GY48" s="334"/>
      <c r="GZ48" s="334"/>
      <c r="HA48" s="334"/>
      <c r="HB48" s="334"/>
      <c r="HC48" s="334"/>
      <c r="HD48" s="334"/>
      <c r="HE48" s="334"/>
      <c r="HF48" s="334"/>
      <c r="HG48" s="334"/>
      <c r="HH48" s="334"/>
      <c r="HI48" s="334"/>
      <c r="HJ48" s="334"/>
      <c r="HK48" s="334"/>
      <c r="HL48" s="334"/>
      <c r="HM48" s="334"/>
      <c r="HN48" s="334"/>
      <c r="HO48" s="334"/>
      <c r="HP48" s="334"/>
      <c r="HQ48" s="334"/>
      <c r="HR48" s="334"/>
      <c r="HS48" s="334"/>
      <c r="HT48" s="334"/>
      <c r="HU48" s="334"/>
      <c r="HV48" s="334"/>
      <c r="HW48" s="334"/>
      <c r="HX48" s="334"/>
      <c r="HY48" s="334"/>
      <c r="HZ48" s="334"/>
      <c r="IA48" s="334"/>
      <c r="IB48" s="334"/>
      <c r="IC48" s="334"/>
      <c r="ID48" s="334"/>
      <c r="IE48" s="334"/>
      <c r="IF48" s="334"/>
      <c r="IG48" s="334"/>
      <c r="IH48" s="334"/>
      <c r="II48" s="334"/>
      <c r="IJ48" s="334"/>
      <c r="IK48" s="334"/>
      <c r="IL48" s="334"/>
      <c r="IM48" s="334"/>
      <c r="IN48" s="334"/>
      <c r="IO48" s="334"/>
      <c r="IP48" s="334"/>
      <c r="IQ48" s="334"/>
      <c r="IR48" s="334"/>
    </row>
    <row r="49" spans="1:252">
      <c r="B49" s="327" t="str">
        <f>Cashflow!E10</f>
        <v xml:space="preserve">VAT paid </v>
      </c>
      <c r="C49" s="324"/>
      <c r="D49" s="328">
        <f ca="1">Cashflow!J10</f>
        <v>0</v>
      </c>
      <c r="E49" s="328">
        <f ca="1">Cashflow!K10</f>
        <v>0</v>
      </c>
      <c r="F49" s="328">
        <f ca="1">Cashflow!L10</f>
        <v>45483.658917580258</v>
      </c>
      <c r="G49" s="328">
        <f ca="1">Cashflow!M10</f>
        <v>0</v>
      </c>
      <c r="H49" s="328">
        <f ca="1">Cashflow!N10</f>
        <v>0</v>
      </c>
      <c r="I49" s="328">
        <f ca="1">Cashflow!O10</f>
        <v>16294.149463501151</v>
      </c>
      <c r="J49" s="328">
        <f ca="1">Cashflow!P10</f>
        <v>0</v>
      </c>
      <c r="K49" s="328">
        <f ca="1">Cashflow!Q10</f>
        <v>0</v>
      </c>
      <c r="L49" s="328">
        <f ca="1">Cashflow!R10</f>
        <v>-68740.257737856227</v>
      </c>
      <c r="M49" s="328">
        <f ca="1">Cashflow!S10</f>
        <v>0</v>
      </c>
      <c r="N49" s="328">
        <f ca="1">Cashflow!T10</f>
        <v>0</v>
      </c>
      <c r="O49" s="328">
        <f ca="1">Cashflow!U10</f>
        <v>-5102.8626851205763</v>
      </c>
      <c r="P49" s="328">
        <f ca="1">Cashflow!V10</f>
        <v>0</v>
      </c>
      <c r="Q49" s="328">
        <f ca="1">Cashflow!W10</f>
        <v>0</v>
      </c>
      <c r="R49" s="328">
        <f ca="1">Cashflow!X10</f>
        <v>-73331.977328029301</v>
      </c>
      <c r="S49" s="328">
        <f ca="1">Cashflow!Y10</f>
        <v>0</v>
      </c>
      <c r="T49" s="328">
        <f ca="1">Cashflow!Z10</f>
        <v>0</v>
      </c>
      <c r="U49" s="328">
        <f ca="1">Cashflow!AA10</f>
        <v>38643.356201628834</v>
      </c>
      <c r="V49" s="328">
        <f ca="1">Cashflow!AB10</f>
        <v>0</v>
      </c>
      <c r="W49" s="328">
        <f ca="1">Cashflow!AC10</f>
        <v>0</v>
      </c>
      <c r="X49" s="328">
        <f ca="1">Cashflow!AD10</f>
        <v>-243266.08257053205</v>
      </c>
      <c r="Y49" s="328">
        <f ca="1">Cashflow!AE10</f>
        <v>0</v>
      </c>
      <c r="Z49" s="328">
        <f ca="1">Cashflow!AF10</f>
        <v>0</v>
      </c>
      <c r="AA49" s="328">
        <f ca="1">Cashflow!AG10</f>
        <v>34988.476364123555</v>
      </c>
      <c r="AB49" s="328">
        <f ca="1">Cashflow!AH10</f>
        <v>0</v>
      </c>
      <c r="AC49" s="328">
        <f ca="1">Cashflow!AI10</f>
        <v>0</v>
      </c>
      <c r="AD49" s="328">
        <f ca="1">Cashflow!AJ10</f>
        <v>-203990.04489077616</v>
      </c>
      <c r="AE49" s="328">
        <f ca="1">Cashflow!AK10</f>
        <v>0</v>
      </c>
      <c r="AF49" s="328">
        <f ca="1">Cashflow!AL10</f>
        <v>0</v>
      </c>
      <c r="AG49" s="328">
        <f ca="1">Cashflow!AM10</f>
        <v>-193559.19422678204</v>
      </c>
      <c r="AH49" s="328">
        <f ca="1">Cashflow!AN10</f>
        <v>0</v>
      </c>
      <c r="AI49" s="328">
        <f ca="1">Cashflow!AO10</f>
        <v>0</v>
      </c>
      <c r="AJ49" s="328">
        <f ca="1">Cashflow!AP10</f>
        <v>-336707.53418296378</v>
      </c>
      <c r="AK49" s="328">
        <f ca="1">Cashflow!AQ10</f>
        <v>0</v>
      </c>
      <c r="AL49" s="328">
        <f ca="1">Cashflow!AR10</f>
        <v>0</v>
      </c>
      <c r="AM49" s="328">
        <f ca="1">Cashflow!AS10</f>
        <v>-211457.16615017428</v>
      </c>
      <c r="AN49" s="328">
        <f ca="1">Cashflow!AT10</f>
        <v>0</v>
      </c>
      <c r="AO49" s="328">
        <f ca="1">Cashflow!AU10</f>
        <v>0</v>
      </c>
      <c r="AP49" s="328">
        <f ca="1">Cashflow!AV10</f>
        <v>-371087.59641166066</v>
      </c>
      <c r="AQ49" s="328">
        <f ca="1">Cashflow!AW10</f>
        <v>0</v>
      </c>
      <c r="AR49" s="328">
        <f ca="1">Cashflow!AX10</f>
        <v>0</v>
      </c>
      <c r="AS49" s="328">
        <f ca="1">Cashflow!AY10</f>
        <v>-610187.77625286591</v>
      </c>
      <c r="AT49" s="328">
        <f ca="1">Cashflow!AZ10</f>
        <v>0</v>
      </c>
      <c r="AU49" s="328">
        <f ca="1">Cashflow!BA10</f>
        <v>0</v>
      </c>
      <c r="AV49" s="328">
        <f ca="1">Cashflow!BB10</f>
        <v>-625578.68716786429</v>
      </c>
      <c r="AW49" s="328">
        <f ca="1">Cashflow!BC10</f>
        <v>0</v>
      </c>
      <c r="AX49" s="328">
        <f ca="1">Cashflow!BD10</f>
        <v>0</v>
      </c>
      <c r="AY49" s="328">
        <f ca="1">Cashflow!BE10</f>
        <v>-685522.65563876927</v>
      </c>
      <c r="AZ49" s="328">
        <f ca="1">Cashflow!BF10</f>
        <v>0</v>
      </c>
      <c r="BA49" s="328">
        <f ca="1">Cashflow!BG10</f>
        <v>0</v>
      </c>
      <c r="BB49" s="328">
        <f ca="1">Cashflow!BH10</f>
        <v>-781053.70518652978</v>
      </c>
      <c r="BC49" s="328">
        <f ca="1">Cashflow!BI10</f>
        <v>0</v>
      </c>
      <c r="BD49" s="328">
        <f ca="1">Cashflow!BJ10</f>
        <v>0</v>
      </c>
      <c r="BE49" s="328">
        <f ca="1">Cashflow!BK10</f>
        <v>-1215329.8641746363</v>
      </c>
      <c r="BF49" s="328">
        <f ca="1">Cashflow!BL10</f>
        <v>0</v>
      </c>
      <c r="BG49" s="328">
        <f ca="1">Cashflow!BM10</f>
        <v>0</v>
      </c>
      <c r="BH49" s="328">
        <f ca="1">Cashflow!BN10</f>
        <v>-1333198.0654881524</v>
      </c>
      <c r="BI49" s="328">
        <f ca="1">Cashflow!BO10</f>
        <v>0</v>
      </c>
      <c r="BJ49" s="328">
        <f ca="1">Cashflow!BP10</f>
        <v>0</v>
      </c>
      <c r="BK49" s="328">
        <f ca="1">Cashflow!BQ10</f>
        <v>-1473406.8591132574</v>
      </c>
      <c r="BS49" s="329"/>
      <c r="BT49" s="329"/>
      <c r="BU49" s="329"/>
      <c r="BV49" s="329"/>
      <c r="BW49" s="329"/>
      <c r="BX49" s="329"/>
      <c r="BY49" s="329"/>
      <c r="BZ49" s="329"/>
      <c r="CA49" s="329"/>
      <c r="CB49" s="329"/>
      <c r="CC49" s="329"/>
      <c r="CD49" s="329"/>
      <c r="CE49" s="329"/>
      <c r="CF49" s="329"/>
      <c r="CG49" s="329"/>
      <c r="CH49" s="329"/>
      <c r="CI49" s="329"/>
      <c r="CJ49" s="329"/>
      <c r="CK49" s="329"/>
      <c r="CL49" s="329"/>
      <c r="CM49" s="329"/>
      <c r="CN49" s="329"/>
      <c r="CO49" s="329"/>
      <c r="CP49" s="329"/>
      <c r="CQ49" s="329"/>
      <c r="CR49" s="329"/>
      <c r="CS49" s="329"/>
      <c r="CT49" s="329"/>
      <c r="CU49" s="329"/>
      <c r="CV49" s="329"/>
      <c r="CW49" s="329"/>
      <c r="CX49" s="329"/>
      <c r="CY49" s="329"/>
      <c r="CZ49" s="329"/>
      <c r="DA49" s="329"/>
      <c r="DB49" s="329"/>
      <c r="DC49" s="329"/>
      <c r="DD49" s="329"/>
      <c r="DE49" s="329"/>
      <c r="DF49" s="329"/>
      <c r="DG49" s="329"/>
      <c r="DH49" s="329"/>
      <c r="DI49" s="329"/>
      <c r="DJ49" s="329"/>
      <c r="DK49" s="329"/>
      <c r="DL49" s="329"/>
      <c r="DM49" s="329"/>
      <c r="DN49" s="329"/>
      <c r="DO49" s="329"/>
      <c r="DP49" s="329"/>
      <c r="DQ49" s="329"/>
      <c r="DR49" s="329"/>
      <c r="DS49" s="329"/>
      <c r="DT49" s="329"/>
      <c r="DU49" s="329"/>
      <c r="DV49" s="329"/>
      <c r="DW49" s="329"/>
      <c r="DX49" s="329"/>
      <c r="DY49" s="329"/>
      <c r="DZ49" s="329"/>
      <c r="EA49" s="329"/>
      <c r="EB49" s="329"/>
      <c r="EC49" s="329"/>
      <c r="ED49" s="329"/>
      <c r="EE49" s="329"/>
      <c r="EF49" s="329"/>
      <c r="EG49" s="329"/>
      <c r="EH49" s="329"/>
      <c r="EI49" s="329"/>
      <c r="EJ49" s="329"/>
      <c r="EK49" s="329"/>
      <c r="EL49" s="329"/>
      <c r="EM49" s="329"/>
      <c r="EN49" s="329"/>
      <c r="EO49" s="329"/>
      <c r="EP49" s="329"/>
      <c r="EQ49" s="329"/>
      <c r="ER49" s="329"/>
      <c r="ES49" s="329"/>
      <c r="ET49" s="329"/>
      <c r="EU49" s="329"/>
      <c r="EV49" s="329"/>
      <c r="EW49" s="329"/>
      <c r="EX49" s="329"/>
      <c r="EY49" s="329"/>
      <c r="EZ49" s="329"/>
      <c r="FA49" s="329"/>
      <c r="FB49" s="329"/>
      <c r="FC49" s="329"/>
      <c r="FD49" s="329"/>
      <c r="FE49" s="329"/>
      <c r="FF49" s="329"/>
      <c r="FG49" s="329"/>
      <c r="FH49" s="329"/>
      <c r="FI49" s="329"/>
      <c r="FJ49" s="329"/>
      <c r="FK49" s="329"/>
      <c r="FL49" s="329"/>
      <c r="FM49" s="329"/>
      <c r="FN49" s="329"/>
      <c r="FO49" s="329"/>
      <c r="FP49" s="329"/>
      <c r="FQ49" s="329"/>
      <c r="FR49" s="329"/>
      <c r="FS49" s="329"/>
      <c r="FT49" s="329"/>
      <c r="FU49" s="329"/>
      <c r="FV49" s="329"/>
      <c r="FW49" s="329"/>
      <c r="FX49" s="329"/>
      <c r="FY49" s="329"/>
      <c r="FZ49" s="329"/>
      <c r="GA49" s="329"/>
      <c r="GB49" s="329"/>
      <c r="GC49" s="329"/>
      <c r="GD49" s="329"/>
      <c r="GE49" s="329"/>
      <c r="GF49" s="329"/>
      <c r="GG49" s="329"/>
      <c r="GH49" s="329"/>
      <c r="GI49" s="329"/>
      <c r="GJ49" s="329"/>
      <c r="GK49" s="329"/>
      <c r="GL49" s="329"/>
      <c r="GM49" s="329"/>
      <c r="GN49" s="329"/>
      <c r="GO49" s="329"/>
      <c r="GP49" s="329"/>
      <c r="GQ49" s="329"/>
      <c r="GR49" s="329"/>
      <c r="GS49" s="329"/>
      <c r="GT49" s="329"/>
      <c r="GU49" s="329"/>
      <c r="GV49" s="329"/>
      <c r="GW49" s="329"/>
      <c r="GX49" s="329"/>
      <c r="GY49" s="329"/>
      <c r="GZ49" s="329"/>
      <c r="HA49" s="329"/>
      <c r="HB49" s="329"/>
      <c r="HC49" s="329"/>
      <c r="HD49" s="329"/>
      <c r="HE49" s="329"/>
      <c r="HF49" s="329"/>
      <c r="HG49" s="329"/>
      <c r="HH49" s="329"/>
      <c r="HI49" s="329"/>
      <c r="HJ49" s="329"/>
      <c r="HK49" s="329"/>
      <c r="HL49" s="329"/>
      <c r="HM49" s="329"/>
      <c r="HN49" s="329"/>
      <c r="HO49" s="329"/>
      <c r="HP49" s="329"/>
      <c r="HQ49" s="329"/>
      <c r="HR49" s="329"/>
      <c r="HS49" s="329"/>
      <c r="HT49" s="329"/>
      <c r="HU49" s="329"/>
      <c r="HV49" s="329"/>
      <c r="HW49" s="329"/>
      <c r="HX49" s="329"/>
      <c r="HY49" s="329"/>
      <c r="HZ49" s="329"/>
      <c r="IA49" s="329"/>
      <c r="IB49" s="329"/>
      <c r="IC49" s="329"/>
      <c r="ID49" s="329"/>
      <c r="IE49" s="329"/>
      <c r="IF49" s="329"/>
      <c r="IG49" s="329"/>
      <c r="IH49" s="329"/>
      <c r="II49" s="329"/>
      <c r="IJ49" s="329"/>
      <c r="IK49" s="329"/>
      <c r="IL49" s="329"/>
      <c r="IM49" s="329"/>
      <c r="IN49" s="329"/>
      <c r="IO49" s="329"/>
      <c r="IP49" s="329"/>
      <c r="IQ49" s="329"/>
      <c r="IR49" s="329"/>
    </row>
    <row r="50" spans="1:252" s="332" customFormat="1">
      <c r="A50" s="323"/>
      <c r="B50" s="327" t="str">
        <f>Cashflow!E11</f>
        <v xml:space="preserve">Corporation tax paid </v>
      </c>
      <c r="C50" s="324"/>
      <c r="D50" s="328">
        <f>Cashflow!J11</f>
        <v>0</v>
      </c>
      <c r="E50" s="328">
        <f ca="1">Cashflow!K11</f>
        <v>0</v>
      </c>
      <c r="F50" s="328">
        <f ca="1">Cashflow!L11</f>
        <v>0</v>
      </c>
      <c r="G50" s="328">
        <f ca="1">Cashflow!M11</f>
        <v>0</v>
      </c>
      <c r="H50" s="328">
        <f ca="1">Cashflow!N11</f>
        <v>0</v>
      </c>
      <c r="I50" s="328">
        <f ca="1">Cashflow!O11</f>
        <v>0</v>
      </c>
      <c r="J50" s="328">
        <f ca="1">Cashflow!P11</f>
        <v>0</v>
      </c>
      <c r="K50" s="328">
        <f ca="1">Cashflow!Q11</f>
        <v>0</v>
      </c>
      <c r="L50" s="328">
        <f ca="1">Cashflow!R11</f>
        <v>0</v>
      </c>
      <c r="M50" s="328">
        <f ca="1">Cashflow!S11</f>
        <v>0</v>
      </c>
      <c r="N50" s="328">
        <f ca="1">Cashflow!T11</f>
        <v>0</v>
      </c>
      <c r="O50" s="328">
        <f ca="1">Cashflow!U11</f>
        <v>0</v>
      </c>
      <c r="P50" s="328">
        <f ca="1">Cashflow!V11</f>
        <v>0</v>
      </c>
      <c r="Q50" s="328">
        <f ca="1">Cashflow!W11</f>
        <v>0</v>
      </c>
      <c r="R50" s="328">
        <f ca="1">Cashflow!X11</f>
        <v>0</v>
      </c>
      <c r="S50" s="328">
        <f ca="1">Cashflow!Y11</f>
        <v>0</v>
      </c>
      <c r="T50" s="328">
        <f ca="1">Cashflow!Z11</f>
        <v>0</v>
      </c>
      <c r="U50" s="328">
        <f ca="1">Cashflow!AA11</f>
        <v>0</v>
      </c>
      <c r="V50" s="328">
        <f ca="1">Cashflow!AB11</f>
        <v>0</v>
      </c>
      <c r="W50" s="328">
        <f ca="1">Cashflow!AC11</f>
        <v>0</v>
      </c>
      <c r="X50" s="328">
        <f ca="1">Cashflow!AD11</f>
        <v>0</v>
      </c>
      <c r="Y50" s="328">
        <f ca="1">Cashflow!AE11</f>
        <v>0</v>
      </c>
      <c r="Z50" s="328">
        <f ca="1">Cashflow!AF11</f>
        <v>0</v>
      </c>
      <c r="AA50" s="328">
        <f ca="1">Cashflow!AG11</f>
        <v>0</v>
      </c>
      <c r="AB50" s="328">
        <f ca="1">Cashflow!AH11</f>
        <v>0</v>
      </c>
      <c r="AC50" s="328">
        <f ca="1">Cashflow!AI11</f>
        <v>0</v>
      </c>
      <c r="AD50" s="328">
        <f ca="1">Cashflow!AJ11</f>
        <v>0</v>
      </c>
      <c r="AE50" s="328">
        <f ca="1">Cashflow!AK11</f>
        <v>-195685.12595542119</v>
      </c>
      <c r="AF50" s="328">
        <f ca="1">Cashflow!AL11</f>
        <v>0</v>
      </c>
      <c r="AG50" s="328">
        <f ca="1">Cashflow!AM11</f>
        <v>0</v>
      </c>
      <c r="AH50" s="328">
        <f ca="1">Cashflow!AN11</f>
        <v>0</v>
      </c>
      <c r="AI50" s="328">
        <f ca="1">Cashflow!AO11</f>
        <v>0</v>
      </c>
      <c r="AJ50" s="328">
        <f ca="1">Cashflow!AP11</f>
        <v>0</v>
      </c>
      <c r="AK50" s="328">
        <f ca="1">Cashflow!AQ11</f>
        <v>0</v>
      </c>
      <c r="AL50" s="328">
        <f ca="1">Cashflow!AR11</f>
        <v>0</v>
      </c>
      <c r="AM50" s="328">
        <f ca="1">Cashflow!AS11</f>
        <v>0</v>
      </c>
      <c r="AN50" s="328">
        <f ca="1">Cashflow!AT11</f>
        <v>0</v>
      </c>
      <c r="AO50" s="328">
        <f ca="1">Cashflow!AU11</f>
        <v>0</v>
      </c>
      <c r="AP50" s="328">
        <f ca="1">Cashflow!AV11</f>
        <v>0</v>
      </c>
      <c r="AQ50" s="328">
        <f ca="1">Cashflow!AW11</f>
        <v>-829461.348841978</v>
      </c>
      <c r="AR50" s="328">
        <f ca="1">Cashflow!AX11</f>
        <v>0</v>
      </c>
      <c r="AS50" s="328">
        <f ca="1">Cashflow!AY11</f>
        <v>0</v>
      </c>
      <c r="AT50" s="328">
        <f ca="1">Cashflow!AZ11</f>
        <v>0</v>
      </c>
      <c r="AU50" s="328">
        <f ca="1">Cashflow!BA11</f>
        <v>0</v>
      </c>
      <c r="AV50" s="328">
        <f ca="1">Cashflow!BB11</f>
        <v>0</v>
      </c>
      <c r="AW50" s="328">
        <f ca="1">Cashflow!BC11</f>
        <v>0</v>
      </c>
      <c r="AX50" s="328">
        <f ca="1">Cashflow!BD11</f>
        <v>0</v>
      </c>
      <c r="AY50" s="328">
        <f ca="1">Cashflow!BE11</f>
        <v>0</v>
      </c>
      <c r="AZ50" s="328">
        <f ca="1">Cashflow!BF11</f>
        <v>0</v>
      </c>
      <c r="BA50" s="328">
        <f ca="1">Cashflow!BG11</f>
        <v>0</v>
      </c>
      <c r="BB50" s="328">
        <f ca="1">Cashflow!BH11</f>
        <v>0</v>
      </c>
      <c r="BC50" s="328">
        <f ca="1">Cashflow!BI11</f>
        <v>-1918477.5042626159</v>
      </c>
      <c r="BD50" s="328">
        <f ca="1">Cashflow!BJ11</f>
        <v>0</v>
      </c>
      <c r="BE50" s="328">
        <f ca="1">Cashflow!BK11</f>
        <v>0</v>
      </c>
      <c r="BF50" s="328">
        <f ca="1">Cashflow!BL11</f>
        <v>0</v>
      </c>
      <c r="BG50" s="328">
        <f ca="1">Cashflow!BM11</f>
        <v>0</v>
      </c>
      <c r="BH50" s="328">
        <f ca="1">Cashflow!BN11</f>
        <v>0</v>
      </c>
      <c r="BI50" s="328">
        <f ca="1">Cashflow!BO11</f>
        <v>0</v>
      </c>
      <c r="BJ50" s="328">
        <f ca="1">Cashflow!BP11</f>
        <v>0</v>
      </c>
      <c r="BK50" s="328">
        <f ca="1">Cashflow!BQ11</f>
        <v>0</v>
      </c>
      <c r="BL50" s="323"/>
      <c r="BM50" s="323"/>
      <c r="BN50" s="323"/>
      <c r="BO50" s="323"/>
      <c r="BP50" s="323"/>
      <c r="BQ50" s="323"/>
      <c r="BR50" s="323"/>
      <c r="BS50" s="323"/>
      <c r="BT50" s="323"/>
      <c r="BU50" s="323"/>
      <c r="BV50" s="323"/>
      <c r="BW50" s="323"/>
      <c r="BX50" s="323"/>
      <c r="BY50" s="323"/>
      <c r="BZ50" s="323"/>
      <c r="CA50" s="323"/>
      <c r="CB50" s="323"/>
      <c r="CC50" s="323"/>
      <c r="CD50" s="323"/>
      <c r="CE50" s="323"/>
      <c r="CF50" s="323"/>
      <c r="CG50" s="323"/>
      <c r="CH50" s="323"/>
      <c r="CI50" s="323"/>
      <c r="CJ50" s="323"/>
      <c r="CK50" s="323"/>
      <c r="CL50" s="323"/>
      <c r="CM50" s="323"/>
      <c r="CN50" s="323"/>
      <c r="CO50" s="323"/>
      <c r="CP50" s="323"/>
      <c r="CQ50" s="323"/>
      <c r="CR50" s="323"/>
      <c r="CS50" s="323"/>
      <c r="CT50" s="323"/>
      <c r="CU50" s="323"/>
      <c r="CV50" s="323"/>
      <c r="CW50" s="323"/>
      <c r="CX50" s="323"/>
      <c r="CY50" s="323"/>
      <c r="CZ50" s="323"/>
      <c r="DA50" s="323"/>
      <c r="DB50" s="323"/>
      <c r="DC50" s="323"/>
      <c r="DD50" s="323"/>
      <c r="DE50" s="323"/>
      <c r="DF50" s="323"/>
      <c r="DG50" s="323"/>
      <c r="DH50" s="323"/>
      <c r="DI50" s="323"/>
      <c r="DJ50" s="323"/>
      <c r="DK50" s="323"/>
      <c r="DL50" s="323"/>
      <c r="DM50" s="323"/>
      <c r="DN50" s="323"/>
      <c r="DO50" s="323"/>
      <c r="DP50" s="323"/>
      <c r="DQ50" s="323"/>
      <c r="DR50" s="323"/>
      <c r="DS50" s="323"/>
      <c r="DT50" s="323"/>
      <c r="DU50" s="323"/>
      <c r="DV50" s="323"/>
      <c r="DW50" s="323"/>
      <c r="DX50" s="323"/>
      <c r="DY50" s="323"/>
      <c r="DZ50" s="323"/>
      <c r="EA50" s="323"/>
      <c r="EB50" s="323"/>
      <c r="EC50" s="323"/>
      <c r="ED50" s="323"/>
      <c r="EE50" s="323"/>
      <c r="EF50" s="323"/>
      <c r="EG50" s="323"/>
      <c r="EH50" s="323"/>
      <c r="EI50" s="323"/>
      <c r="EJ50" s="323"/>
      <c r="EK50" s="323"/>
      <c r="EL50" s="323"/>
      <c r="EM50" s="323"/>
      <c r="EN50" s="323"/>
      <c r="EO50" s="323"/>
      <c r="EP50" s="323"/>
      <c r="EQ50" s="323"/>
      <c r="ER50" s="323"/>
      <c r="ES50" s="323"/>
      <c r="ET50" s="323"/>
      <c r="EU50" s="323"/>
      <c r="EV50" s="323"/>
      <c r="EW50" s="323"/>
      <c r="EX50" s="323"/>
      <c r="EY50" s="323"/>
      <c r="EZ50" s="323"/>
      <c r="FA50" s="323"/>
      <c r="FB50" s="323"/>
      <c r="FC50" s="323"/>
      <c r="FD50" s="323"/>
      <c r="FE50" s="323"/>
      <c r="FF50" s="323"/>
      <c r="FG50" s="323"/>
      <c r="FH50" s="323"/>
      <c r="FI50" s="323"/>
      <c r="FJ50" s="323"/>
      <c r="FK50" s="323"/>
      <c r="FL50" s="323"/>
      <c r="FM50" s="323"/>
      <c r="FN50" s="323"/>
      <c r="FO50" s="323"/>
      <c r="FP50" s="323"/>
      <c r="FQ50" s="323"/>
      <c r="FR50" s="323"/>
      <c r="FS50" s="323"/>
      <c r="FT50" s="323"/>
      <c r="FU50" s="323"/>
      <c r="FV50" s="323"/>
      <c r="FW50" s="323"/>
      <c r="FX50" s="323"/>
      <c r="FY50" s="323"/>
      <c r="FZ50" s="323"/>
      <c r="GA50" s="323"/>
      <c r="GB50" s="323"/>
      <c r="GC50" s="323"/>
      <c r="GD50" s="323"/>
      <c r="GE50" s="323"/>
      <c r="GF50" s="323"/>
      <c r="GG50" s="323"/>
      <c r="GH50" s="323"/>
      <c r="GI50" s="323"/>
      <c r="GJ50" s="323"/>
      <c r="GK50" s="323"/>
      <c r="GL50" s="323"/>
      <c r="GM50" s="323"/>
      <c r="GN50" s="323"/>
      <c r="GO50" s="323"/>
      <c r="GP50" s="323"/>
      <c r="GQ50" s="323"/>
      <c r="GR50" s="323"/>
      <c r="GS50" s="323"/>
      <c r="GT50" s="323"/>
      <c r="GU50" s="323"/>
      <c r="GV50" s="323"/>
      <c r="GW50" s="323"/>
      <c r="GX50" s="323"/>
      <c r="GY50" s="323"/>
      <c r="GZ50" s="323"/>
      <c r="HA50" s="323"/>
      <c r="HB50" s="323"/>
      <c r="HC50" s="323"/>
      <c r="HD50" s="323"/>
      <c r="HE50" s="323"/>
      <c r="HF50" s="323"/>
      <c r="HG50" s="323"/>
      <c r="HH50" s="323"/>
      <c r="HI50" s="323"/>
      <c r="HJ50" s="323"/>
      <c r="HK50" s="323"/>
      <c r="HL50" s="323"/>
      <c r="HM50" s="323"/>
      <c r="HN50" s="323"/>
      <c r="HO50" s="323"/>
      <c r="HP50" s="323"/>
      <c r="HQ50" s="323"/>
      <c r="HR50" s="323"/>
      <c r="HS50" s="323"/>
      <c r="HT50" s="323"/>
      <c r="HU50" s="323"/>
      <c r="HV50" s="323"/>
      <c r="HW50" s="323"/>
      <c r="HX50" s="323"/>
      <c r="HY50" s="323"/>
      <c r="HZ50" s="323"/>
      <c r="IA50" s="323"/>
      <c r="IB50" s="323"/>
      <c r="IC50" s="323"/>
      <c r="ID50" s="323"/>
      <c r="IE50" s="323"/>
      <c r="IF50" s="323"/>
      <c r="IG50" s="323"/>
      <c r="IH50" s="323"/>
      <c r="II50" s="323"/>
      <c r="IJ50" s="323"/>
      <c r="IK50" s="323"/>
      <c r="IL50" s="323"/>
      <c r="IM50" s="323"/>
      <c r="IN50" s="323"/>
      <c r="IO50" s="323"/>
      <c r="IP50" s="323"/>
      <c r="IQ50" s="323"/>
      <c r="IR50" s="323"/>
    </row>
    <row r="51" spans="1:252">
      <c r="B51" s="329" t="str">
        <f>Cashflow!E12</f>
        <v>Operating Cashflow</v>
      </c>
      <c r="C51" s="330"/>
      <c r="D51" s="331">
        <f ca="1">Cashflow!J12</f>
        <v>-57420</v>
      </c>
      <c r="E51" s="331">
        <f ca="1">Cashflow!K12</f>
        <v>-57900.248093382812</v>
      </c>
      <c r="F51" s="331">
        <f ca="1">Cashflow!L12</f>
        <v>-12909.054652965198</v>
      </c>
      <c r="G51" s="331">
        <f ca="1">Cashflow!M12</f>
        <v>-60135.501037377995</v>
      </c>
      <c r="H51" s="331">
        <f ca="1">Cashflow!N12</f>
        <v>-60707.429490589246</v>
      </c>
      <c r="I51" s="331">
        <f ca="1">Cashflow!O12</f>
        <v>-44999.758188052016</v>
      </c>
      <c r="J51" s="331">
        <f ca="1">Cashflow!P12</f>
        <v>-63168.899023067454</v>
      </c>
      <c r="K51" s="331">
        <f ca="1">Cashflow!Q12</f>
        <v>-63827.406889334176</v>
      </c>
      <c r="L51" s="331">
        <f ca="1">Cashflow!R12</f>
        <v>-133288.70560695478</v>
      </c>
      <c r="M51" s="331">
        <f ca="1">Cashflow!S12</f>
        <v>658569.29309415957</v>
      </c>
      <c r="N51" s="331">
        <f ca="1">Cashflow!T12</f>
        <v>62409.321222705199</v>
      </c>
      <c r="O51" s="331">
        <f ca="1">Cashflow!U12</f>
        <v>-64132.796174201816</v>
      </c>
      <c r="P51" s="331">
        <f ca="1">Cashflow!V12</f>
        <v>-70290.000000000015</v>
      </c>
      <c r="Q51" s="331">
        <f ca="1">Cashflow!W12</f>
        <v>-71265.080037937165</v>
      </c>
      <c r="R51" s="331">
        <f ca="1">Cashflow!X12</f>
        <v>-145581.45603118726</v>
      </c>
      <c r="S51" s="331">
        <f ca="1">Cashflow!Y12</f>
        <v>689727.63217317301</v>
      </c>
      <c r="T51" s="331">
        <f ca="1">Cashflow!Z12</f>
        <v>23816.064216341969</v>
      </c>
      <c r="U51" s="331">
        <f ca="1">Cashflow!AA12</f>
        <v>-38328.365897071897</v>
      </c>
      <c r="V51" s="331">
        <f ca="1">Cashflow!AB12</f>
        <v>-79609.318711038621</v>
      </c>
      <c r="W51" s="331">
        <f ca="1">Cashflow!AC12</f>
        <v>-80925.099594781292</v>
      </c>
      <c r="X51" s="331">
        <f ca="1">Cashflow!AD12</f>
        <v>-325645.13934576395</v>
      </c>
      <c r="Y51" s="331">
        <f ca="1">Cashflow!AE12</f>
        <v>1503845.1577295254</v>
      </c>
      <c r="Z51" s="331">
        <f ca="1">Cashflow!AF12</f>
        <v>42959.335951787332</v>
      </c>
      <c r="AA51" s="331">
        <f ca="1">Cashflow!AG12</f>
        <v>-44348.667675981451</v>
      </c>
      <c r="AB51" s="331">
        <f ca="1">Cashflow!AH12</f>
        <v>-98728.250638101817</v>
      </c>
      <c r="AC51" s="331">
        <f ca="1">Cashflow!AI12</f>
        <v>762919.12434140407</v>
      </c>
      <c r="AD51" s="331">
        <f ca="1">Cashflow!AJ12</f>
        <v>-307483.29169075063</v>
      </c>
      <c r="AE51" s="331">
        <f ca="1">Cashflow!AK12</f>
        <v>633909.45762460167</v>
      </c>
      <c r="AF51" s="331">
        <f ca="1">Cashflow!AL12</f>
        <v>172502.83041240321</v>
      </c>
      <c r="AG51" s="331">
        <f ca="1">Cashflow!AM12</f>
        <v>751200.06943640625</v>
      </c>
      <c r="AH51" s="331">
        <f ca="1">Cashflow!AN12</f>
        <v>87888.701169131746</v>
      </c>
      <c r="AI51" s="331">
        <f ca="1">Cashflow!AO12</f>
        <v>97142.098529244991</v>
      </c>
      <c r="AJ51" s="331">
        <f ca="1">Cashflow!AP12</f>
        <v>633677.98364596872</v>
      </c>
      <c r="AK51" s="331">
        <f ca="1">Cashflow!AQ12</f>
        <v>979118.91964115377</v>
      </c>
      <c r="AL51" s="331">
        <f ca="1">Cashflow!AR12</f>
        <v>989903.04951459984</v>
      </c>
      <c r="AM51" s="331">
        <f ca="1">Cashflow!AS12</f>
        <v>-74011.499597504357</v>
      </c>
      <c r="AN51" s="331">
        <f ca="1">Cashflow!AT12</f>
        <v>148323.33427669673</v>
      </c>
      <c r="AO51" s="331">
        <f ca="1">Cashflow!AU12</f>
        <v>1887641.0606698864</v>
      </c>
      <c r="AP51" s="331">
        <f ca="1">Cashflow!AV12</f>
        <v>-197653.75317796081</v>
      </c>
      <c r="AQ51" s="331">
        <f ca="1">Cashflow!AW12</f>
        <v>-471022.95654545666</v>
      </c>
      <c r="AR51" s="331">
        <f ca="1">Cashflow!AX12</f>
        <v>1248588.4299859353</v>
      </c>
      <c r="AS51" s="331">
        <f ca="1">Cashflow!AY12</f>
        <v>664878.30941554706</v>
      </c>
      <c r="AT51" s="331">
        <f ca="1">Cashflow!AZ12</f>
        <v>1302416.7123355151</v>
      </c>
      <c r="AU51" s="331">
        <f ca="1">Cashflow!BA12</f>
        <v>469384.76129616436</v>
      </c>
      <c r="AV51" s="331">
        <f ca="1">Cashflow!BB12</f>
        <v>1603064.6711609056</v>
      </c>
      <c r="AW51" s="331">
        <f ca="1">Cashflow!BC12</f>
        <v>1397475.0093896829</v>
      </c>
      <c r="AX51" s="331">
        <f ca="1">Cashflow!BD12</f>
        <v>1433391.8756658994</v>
      </c>
      <c r="AY51" s="331">
        <f ca="1">Cashflow!BE12</f>
        <v>786941.61082699173</v>
      </c>
      <c r="AZ51" s="331">
        <f ca="1">Cashflow!BF12</f>
        <v>1512259.0739845876</v>
      </c>
      <c r="BA51" s="331">
        <f ca="1">Cashflow!BG12</f>
        <v>1550757.6800864558</v>
      </c>
      <c r="BB51" s="331">
        <f ca="1">Cashflow!BH12</f>
        <v>815991.89182725851</v>
      </c>
      <c r="BC51" s="331">
        <f ca="1">Cashflow!BI12</f>
        <v>-120883.23292602738</v>
      </c>
      <c r="BD51" s="331">
        <f ca="1">Cashflow!BJ12</f>
        <v>2722992.4720835821</v>
      </c>
      <c r="BE51" s="331">
        <f ca="1">Cashflow!BK12</f>
        <v>706283.0002304574</v>
      </c>
      <c r="BF51" s="331">
        <f ca="1">Cashflow!BL12</f>
        <v>2852371.859202683</v>
      </c>
      <c r="BG51" s="331">
        <f ca="1">Cashflow!BM12</f>
        <v>2061530.9964556675</v>
      </c>
      <c r="BH51" s="331">
        <f ca="1">Cashflow!BN12</f>
        <v>1666671.231330537</v>
      </c>
      <c r="BI51" s="331">
        <f ca="1">Cashflow!BO12</f>
        <v>3079689.3778097313</v>
      </c>
      <c r="BJ51" s="331">
        <f ca="1">Cashflow!BP12</f>
        <v>2300039.4131055539</v>
      </c>
      <c r="BK51" s="331">
        <f ca="1">Cashflow!BQ12</f>
        <v>1783100.3665139428</v>
      </c>
      <c r="BL51" s="334"/>
      <c r="BM51" s="334"/>
      <c r="BN51" s="334"/>
      <c r="BO51" s="334"/>
      <c r="BP51" s="334"/>
      <c r="BQ51" s="334"/>
      <c r="BR51" s="334"/>
      <c r="BS51" s="334"/>
      <c r="BT51" s="334"/>
      <c r="BU51" s="334"/>
      <c r="BV51" s="334"/>
      <c r="BW51" s="334"/>
      <c r="BX51" s="334"/>
      <c r="BY51" s="334"/>
      <c r="BZ51" s="334"/>
      <c r="CA51" s="334"/>
      <c r="CB51" s="334"/>
      <c r="CC51" s="334"/>
      <c r="CD51" s="334"/>
      <c r="CE51" s="334"/>
      <c r="CF51" s="334"/>
      <c r="CG51" s="334"/>
      <c r="CH51" s="334"/>
      <c r="CI51" s="334"/>
      <c r="CJ51" s="334"/>
      <c r="CK51" s="334"/>
      <c r="CL51" s="334"/>
      <c r="CM51" s="334"/>
      <c r="CN51" s="334"/>
      <c r="CO51" s="334"/>
      <c r="CP51" s="334"/>
      <c r="CQ51" s="334"/>
      <c r="CR51" s="334"/>
      <c r="CS51" s="334"/>
      <c r="CT51" s="334"/>
      <c r="CU51" s="334"/>
      <c r="CV51" s="334"/>
      <c r="CW51" s="334"/>
      <c r="CX51" s="334"/>
      <c r="CY51" s="334"/>
      <c r="CZ51" s="334"/>
      <c r="DA51" s="334"/>
      <c r="DB51" s="334"/>
      <c r="DC51" s="334"/>
      <c r="DD51" s="334"/>
      <c r="DE51" s="334"/>
      <c r="DF51" s="334"/>
      <c r="DG51" s="334"/>
      <c r="DH51" s="334"/>
      <c r="DI51" s="334"/>
      <c r="DJ51" s="334"/>
      <c r="DK51" s="334"/>
      <c r="DL51" s="334"/>
      <c r="DM51" s="334"/>
      <c r="DN51" s="334"/>
      <c r="DO51" s="334"/>
      <c r="DP51" s="334"/>
      <c r="DQ51" s="334"/>
      <c r="DR51" s="334"/>
      <c r="DS51" s="334"/>
      <c r="DT51" s="334"/>
      <c r="DU51" s="334"/>
      <c r="DV51" s="334"/>
      <c r="DW51" s="334"/>
      <c r="DX51" s="334"/>
      <c r="DY51" s="334"/>
      <c r="DZ51" s="334"/>
      <c r="EA51" s="334"/>
      <c r="EB51" s="334"/>
      <c r="EC51" s="334"/>
      <c r="ED51" s="334"/>
      <c r="EE51" s="334"/>
      <c r="EF51" s="334"/>
      <c r="EG51" s="334"/>
      <c r="EH51" s="334"/>
      <c r="EI51" s="334"/>
      <c r="EJ51" s="334"/>
      <c r="EK51" s="334"/>
      <c r="EL51" s="334"/>
      <c r="EM51" s="334"/>
      <c r="EN51" s="334"/>
      <c r="EO51" s="334"/>
      <c r="EP51" s="334"/>
      <c r="EQ51" s="334"/>
      <c r="ER51" s="334"/>
      <c r="ES51" s="334"/>
      <c r="ET51" s="334"/>
      <c r="EU51" s="334"/>
      <c r="EV51" s="334"/>
      <c r="EW51" s="334"/>
      <c r="EX51" s="334"/>
      <c r="EY51" s="334"/>
      <c r="EZ51" s="334"/>
      <c r="FA51" s="334"/>
      <c r="FB51" s="334"/>
      <c r="FC51" s="334"/>
      <c r="FD51" s="334"/>
      <c r="FE51" s="334"/>
      <c r="FF51" s="334"/>
      <c r="FG51" s="334"/>
      <c r="FH51" s="334"/>
      <c r="FI51" s="334"/>
      <c r="FJ51" s="334"/>
      <c r="FK51" s="334"/>
      <c r="FL51" s="334"/>
      <c r="FM51" s="334"/>
      <c r="FN51" s="334"/>
      <c r="FO51" s="334"/>
      <c r="FP51" s="334"/>
      <c r="FQ51" s="334"/>
      <c r="FR51" s="334"/>
      <c r="FS51" s="334"/>
      <c r="FT51" s="334"/>
      <c r="FU51" s="334"/>
      <c r="FV51" s="334"/>
      <c r="FW51" s="334"/>
      <c r="FX51" s="334"/>
      <c r="FY51" s="334"/>
      <c r="FZ51" s="334"/>
      <c r="GA51" s="334"/>
      <c r="GB51" s="334"/>
      <c r="GC51" s="334"/>
      <c r="GD51" s="334"/>
      <c r="GE51" s="334"/>
      <c r="GF51" s="334"/>
      <c r="GG51" s="334"/>
      <c r="GH51" s="334"/>
      <c r="GI51" s="334"/>
      <c r="GJ51" s="334"/>
      <c r="GK51" s="334"/>
      <c r="GL51" s="334"/>
      <c r="GM51" s="334"/>
      <c r="GN51" s="334"/>
      <c r="GO51" s="334"/>
      <c r="GP51" s="334"/>
      <c r="GQ51" s="334"/>
      <c r="GR51" s="334"/>
      <c r="GS51" s="334"/>
      <c r="GT51" s="334"/>
      <c r="GU51" s="334"/>
      <c r="GV51" s="334"/>
      <c r="GW51" s="334"/>
      <c r="GX51" s="334"/>
      <c r="GY51" s="334"/>
      <c r="GZ51" s="334"/>
      <c r="HA51" s="334"/>
      <c r="HB51" s="334"/>
      <c r="HC51" s="334"/>
      <c r="HD51" s="334"/>
      <c r="HE51" s="334"/>
      <c r="HF51" s="334"/>
      <c r="HG51" s="334"/>
      <c r="HH51" s="334"/>
      <c r="HI51" s="334"/>
      <c r="HJ51" s="334"/>
      <c r="HK51" s="334"/>
      <c r="HL51" s="334"/>
      <c r="HM51" s="334"/>
      <c r="HN51" s="334"/>
      <c r="HO51" s="334"/>
      <c r="HP51" s="334"/>
      <c r="HQ51" s="334"/>
      <c r="HR51" s="334"/>
      <c r="HS51" s="334"/>
      <c r="HT51" s="334"/>
      <c r="HU51" s="334"/>
      <c r="HV51" s="334"/>
      <c r="HW51" s="334"/>
      <c r="HX51" s="334"/>
      <c r="HY51" s="334"/>
      <c r="HZ51" s="334"/>
      <c r="IA51" s="334"/>
      <c r="IB51" s="334"/>
      <c r="IC51" s="334"/>
      <c r="ID51" s="334"/>
      <c r="IE51" s="334"/>
      <c r="IF51" s="334"/>
      <c r="IG51" s="334"/>
      <c r="IH51" s="334"/>
      <c r="II51" s="334"/>
      <c r="IJ51" s="334"/>
      <c r="IK51" s="334"/>
      <c r="IL51" s="334"/>
      <c r="IM51" s="334"/>
      <c r="IN51" s="334"/>
      <c r="IO51" s="334"/>
      <c r="IP51" s="334"/>
      <c r="IQ51" s="334"/>
      <c r="IR51" s="334"/>
    </row>
    <row r="52" spans="1:252">
      <c r="C52" s="324"/>
      <c r="D52" s="328"/>
      <c r="E52" s="328"/>
      <c r="F52" s="328"/>
      <c r="G52" s="328"/>
      <c r="H52" s="328"/>
      <c r="I52" s="328"/>
      <c r="J52" s="328"/>
      <c r="K52" s="328"/>
      <c r="L52" s="328"/>
      <c r="M52" s="328"/>
      <c r="N52" s="328"/>
      <c r="O52" s="328"/>
      <c r="P52" s="328"/>
      <c r="Q52" s="328"/>
      <c r="R52" s="328"/>
      <c r="S52" s="328"/>
      <c r="T52" s="328"/>
      <c r="U52" s="328"/>
      <c r="V52" s="328"/>
      <c r="W52" s="328"/>
      <c r="X52" s="328"/>
      <c r="Y52" s="328"/>
      <c r="Z52" s="328"/>
      <c r="AA52" s="328"/>
      <c r="AB52" s="328"/>
      <c r="AC52" s="328"/>
      <c r="AD52" s="328"/>
      <c r="AE52" s="328"/>
      <c r="AF52" s="328"/>
      <c r="AG52" s="328"/>
      <c r="AH52" s="328"/>
      <c r="AI52" s="328"/>
      <c r="AJ52" s="328"/>
      <c r="AK52" s="328"/>
      <c r="AL52" s="328"/>
      <c r="AM52" s="328"/>
      <c r="AN52" s="328"/>
      <c r="AO52" s="328"/>
      <c r="AP52" s="328"/>
      <c r="AQ52" s="328"/>
      <c r="AR52" s="328"/>
      <c r="AS52" s="328"/>
      <c r="AT52" s="328"/>
      <c r="AU52" s="328"/>
      <c r="AV52" s="328"/>
      <c r="AW52" s="328"/>
      <c r="AX52" s="328"/>
      <c r="AY52" s="328"/>
      <c r="AZ52" s="328"/>
      <c r="BA52" s="328"/>
      <c r="BB52" s="328"/>
      <c r="BC52" s="328"/>
      <c r="BD52" s="328"/>
      <c r="BE52" s="328"/>
      <c r="BF52" s="328"/>
      <c r="BG52" s="328"/>
      <c r="BH52" s="328"/>
      <c r="BI52" s="328"/>
      <c r="BJ52" s="328"/>
      <c r="BK52" s="328"/>
      <c r="BS52" s="329"/>
      <c r="BT52" s="329"/>
      <c r="BU52" s="329"/>
      <c r="BV52" s="329"/>
      <c r="BW52" s="329"/>
      <c r="BX52" s="329"/>
      <c r="BY52" s="329"/>
      <c r="BZ52" s="329"/>
      <c r="CA52" s="329"/>
      <c r="CB52" s="329"/>
      <c r="CC52" s="329"/>
      <c r="CD52" s="329"/>
      <c r="CE52" s="329"/>
      <c r="CF52" s="329"/>
      <c r="CG52" s="329"/>
      <c r="CH52" s="329"/>
      <c r="CI52" s="329"/>
      <c r="CJ52" s="329"/>
      <c r="CK52" s="329"/>
      <c r="CL52" s="329"/>
      <c r="CM52" s="329"/>
      <c r="CN52" s="329"/>
      <c r="CO52" s="329"/>
      <c r="CP52" s="329"/>
      <c r="CQ52" s="329"/>
      <c r="CR52" s="329"/>
      <c r="CS52" s="329"/>
      <c r="CT52" s="329"/>
      <c r="CU52" s="329"/>
      <c r="CV52" s="329"/>
      <c r="CW52" s="329"/>
      <c r="CX52" s="329"/>
      <c r="CY52" s="329"/>
      <c r="CZ52" s="329"/>
      <c r="DA52" s="329"/>
      <c r="DB52" s="329"/>
      <c r="DC52" s="329"/>
      <c r="DD52" s="329"/>
      <c r="DE52" s="329"/>
      <c r="DF52" s="329"/>
      <c r="DG52" s="329"/>
      <c r="DH52" s="329"/>
      <c r="DI52" s="329"/>
      <c r="DJ52" s="329"/>
      <c r="DK52" s="329"/>
      <c r="DL52" s="329"/>
      <c r="DM52" s="329"/>
      <c r="DN52" s="329"/>
      <c r="DO52" s="329"/>
      <c r="DP52" s="329"/>
      <c r="DQ52" s="329"/>
      <c r="DR52" s="329"/>
      <c r="DS52" s="329"/>
      <c r="DT52" s="329"/>
      <c r="DU52" s="329"/>
      <c r="DV52" s="329"/>
      <c r="DW52" s="329"/>
      <c r="DX52" s="329"/>
      <c r="DY52" s="329"/>
      <c r="DZ52" s="329"/>
      <c r="EA52" s="329"/>
      <c r="EB52" s="329"/>
      <c r="EC52" s="329"/>
      <c r="ED52" s="329"/>
      <c r="EE52" s="329"/>
      <c r="EF52" s="329"/>
      <c r="EG52" s="329"/>
      <c r="EH52" s="329"/>
      <c r="EI52" s="329"/>
      <c r="EJ52" s="329"/>
      <c r="EK52" s="329"/>
      <c r="EL52" s="329"/>
      <c r="EM52" s="329"/>
      <c r="EN52" s="329"/>
      <c r="EO52" s="329"/>
      <c r="EP52" s="329"/>
      <c r="EQ52" s="329"/>
      <c r="ER52" s="329"/>
      <c r="ES52" s="329"/>
      <c r="ET52" s="329"/>
      <c r="EU52" s="329"/>
      <c r="EV52" s="329"/>
      <c r="EW52" s="329"/>
      <c r="EX52" s="329"/>
      <c r="EY52" s="329"/>
      <c r="EZ52" s="329"/>
      <c r="FA52" s="329"/>
      <c r="FB52" s="329"/>
      <c r="FC52" s="329"/>
      <c r="FD52" s="329"/>
      <c r="FE52" s="329"/>
      <c r="FF52" s="329"/>
      <c r="FG52" s="329"/>
      <c r="FH52" s="329"/>
      <c r="FI52" s="329"/>
      <c r="FJ52" s="329"/>
      <c r="FK52" s="329"/>
      <c r="FL52" s="329"/>
      <c r="FM52" s="329"/>
      <c r="FN52" s="329"/>
      <c r="FO52" s="329"/>
      <c r="FP52" s="329"/>
      <c r="FQ52" s="329"/>
      <c r="FR52" s="329"/>
      <c r="FS52" s="329"/>
      <c r="FT52" s="329"/>
      <c r="FU52" s="329"/>
      <c r="FV52" s="329"/>
      <c r="FW52" s="329"/>
      <c r="FX52" s="329"/>
      <c r="FY52" s="329"/>
      <c r="FZ52" s="329"/>
      <c r="GA52" s="329"/>
      <c r="GB52" s="329"/>
      <c r="GC52" s="329"/>
      <c r="GD52" s="329"/>
      <c r="GE52" s="329"/>
      <c r="GF52" s="329"/>
      <c r="GG52" s="329"/>
      <c r="GH52" s="329"/>
      <c r="GI52" s="329"/>
      <c r="GJ52" s="329"/>
      <c r="GK52" s="329"/>
      <c r="GL52" s="329"/>
      <c r="GM52" s="329"/>
      <c r="GN52" s="329"/>
      <c r="GO52" s="329"/>
      <c r="GP52" s="329"/>
      <c r="GQ52" s="329"/>
      <c r="GR52" s="329"/>
      <c r="GS52" s="329"/>
      <c r="GT52" s="329"/>
      <c r="GU52" s="329"/>
      <c r="GV52" s="329"/>
      <c r="GW52" s="329"/>
      <c r="GX52" s="329"/>
      <c r="GY52" s="329"/>
      <c r="GZ52" s="329"/>
      <c r="HA52" s="329"/>
      <c r="HB52" s="329"/>
      <c r="HC52" s="329"/>
      <c r="HD52" s="329"/>
      <c r="HE52" s="329"/>
      <c r="HF52" s="329"/>
      <c r="HG52" s="329"/>
      <c r="HH52" s="329"/>
      <c r="HI52" s="329"/>
      <c r="HJ52" s="329"/>
      <c r="HK52" s="329"/>
      <c r="HL52" s="329"/>
      <c r="HM52" s="329"/>
      <c r="HN52" s="329"/>
      <c r="HO52" s="329"/>
      <c r="HP52" s="329"/>
      <c r="HQ52" s="329"/>
      <c r="HR52" s="329"/>
      <c r="HS52" s="329"/>
      <c r="HT52" s="329"/>
      <c r="HU52" s="329"/>
      <c r="HV52" s="329"/>
      <c r="HW52" s="329"/>
      <c r="HX52" s="329"/>
      <c r="HY52" s="329"/>
      <c r="HZ52" s="329"/>
      <c r="IA52" s="329"/>
      <c r="IB52" s="329"/>
      <c r="IC52" s="329"/>
      <c r="ID52" s="329"/>
      <c r="IE52" s="329"/>
      <c r="IF52" s="329"/>
      <c r="IG52" s="329"/>
      <c r="IH52" s="329"/>
      <c r="II52" s="329"/>
      <c r="IJ52" s="329"/>
      <c r="IK52" s="329"/>
      <c r="IL52" s="329"/>
      <c r="IM52" s="329"/>
      <c r="IN52" s="329"/>
      <c r="IO52" s="329"/>
      <c r="IP52" s="329"/>
      <c r="IQ52" s="329"/>
      <c r="IR52" s="329"/>
    </row>
    <row r="53" spans="1:252">
      <c r="A53" s="323"/>
      <c r="B53" s="327" t="str">
        <f>Cashflow!E14</f>
        <v xml:space="preserve">Cash out on Inventory </v>
      </c>
      <c r="C53" s="324"/>
      <c r="D53" s="328">
        <f ca="1">Cashflow!J14</f>
        <v>-52500</v>
      </c>
      <c r="E53" s="328">
        <f ca="1">Cashflow!K14</f>
        <v>0</v>
      </c>
      <c r="F53" s="328">
        <f ca="1">Cashflow!L14</f>
        <v>0</v>
      </c>
      <c r="G53" s="328">
        <f ca="1">Cashflow!M14</f>
        <v>0</v>
      </c>
      <c r="H53" s="328">
        <f ca="1">Cashflow!N14</f>
        <v>0</v>
      </c>
      <c r="I53" s="328">
        <f ca="1">Cashflow!O14</f>
        <v>0</v>
      </c>
      <c r="J53" s="328">
        <f ca="1">Cashflow!P14</f>
        <v>-199499.99999999997</v>
      </c>
      <c r="K53" s="328">
        <f ca="1">Cashflow!Q14</f>
        <v>0</v>
      </c>
      <c r="L53" s="328">
        <f ca="1">Cashflow!R14</f>
        <v>0</v>
      </c>
      <c r="M53" s="328">
        <f ca="1">Cashflow!S14</f>
        <v>0</v>
      </c>
      <c r="N53" s="328">
        <f ca="1">Cashflow!T14</f>
        <v>0</v>
      </c>
      <c r="O53" s="328">
        <f ca="1">Cashflow!U14</f>
        <v>0</v>
      </c>
      <c r="P53" s="328">
        <f ca="1">Cashflow!V14</f>
        <v>-199499.99999999997</v>
      </c>
      <c r="Q53" s="328">
        <f ca="1">Cashflow!W14</f>
        <v>0</v>
      </c>
      <c r="R53" s="328">
        <f ca="1">Cashflow!X14</f>
        <v>0</v>
      </c>
      <c r="S53" s="328">
        <f ca="1">Cashflow!Y14</f>
        <v>0</v>
      </c>
      <c r="T53" s="328">
        <f ca="1">Cashflow!Z14</f>
        <v>-52500</v>
      </c>
      <c r="U53" s="328">
        <f ca="1">Cashflow!AA14</f>
        <v>0</v>
      </c>
      <c r="V53" s="328">
        <f ca="1">Cashflow!AB14</f>
        <v>-146999.99999999997</v>
      </c>
      <c r="W53" s="328">
        <f ca="1">Cashflow!AC14</f>
        <v>0</v>
      </c>
      <c r="X53" s="328">
        <f ca="1">Cashflow!AD14</f>
        <v>-52500</v>
      </c>
      <c r="Y53" s="328">
        <f ca="1">Cashflow!AE14</f>
        <v>0</v>
      </c>
      <c r="Z53" s="328">
        <f ca="1">Cashflow!AF14</f>
        <v>-146999.99999999997</v>
      </c>
      <c r="AA53" s="328">
        <f ca="1">Cashflow!AG14</f>
        <v>-52500</v>
      </c>
      <c r="AB53" s="328">
        <f ca="1">Cashflow!AH14</f>
        <v>0</v>
      </c>
      <c r="AC53" s="328">
        <f ca="1">Cashflow!AI14</f>
        <v>-52500</v>
      </c>
      <c r="AD53" s="328">
        <f ca="1">Cashflow!AJ14</f>
        <v>-146999.99999999997</v>
      </c>
      <c r="AE53" s="328">
        <f ca="1">Cashflow!AK14</f>
        <v>0</v>
      </c>
      <c r="AF53" s="328">
        <f ca="1">Cashflow!AL14</f>
        <v>-52500</v>
      </c>
      <c r="AG53" s="328">
        <f ca="1">Cashflow!AM14</f>
        <v>-146999.99999999997</v>
      </c>
      <c r="AH53" s="328">
        <f ca="1">Cashflow!AN14</f>
        <v>0</v>
      </c>
      <c r="AI53" s="328">
        <f ca="1">Cashflow!AO14</f>
        <v>-199499.99999999997</v>
      </c>
      <c r="AJ53" s="328">
        <f ca="1">Cashflow!AP14</f>
        <v>0</v>
      </c>
      <c r="AK53" s="328">
        <f ca="1">Cashflow!AQ14</f>
        <v>-52500</v>
      </c>
      <c r="AL53" s="328">
        <f ca="1">Cashflow!AR14</f>
        <v>-146999.99999999997</v>
      </c>
      <c r="AM53" s="328">
        <f ca="1">Cashflow!AS14</f>
        <v>-52500</v>
      </c>
      <c r="AN53" s="328">
        <f ca="1">Cashflow!AT14</f>
        <v>-52500</v>
      </c>
      <c r="AO53" s="328">
        <f ca="1">Cashflow!AU14</f>
        <v>-146999.99999999997</v>
      </c>
      <c r="AP53" s="328">
        <f ca="1">Cashflow!AV14</f>
        <v>-52500</v>
      </c>
      <c r="AQ53" s="328">
        <f ca="1">Cashflow!AW14</f>
        <v>-199499.99999999997</v>
      </c>
      <c r="AR53" s="328">
        <f ca="1">Cashflow!AX14</f>
        <v>0</v>
      </c>
      <c r="AS53" s="328">
        <f ca="1">Cashflow!AY14</f>
        <v>-199499.99999999997</v>
      </c>
      <c r="AT53" s="328">
        <f ca="1">Cashflow!AZ14</f>
        <v>-199499.99999999997</v>
      </c>
      <c r="AU53" s="328">
        <f ca="1">Cashflow!BA14</f>
        <v>-52500</v>
      </c>
      <c r="AV53" s="328">
        <f ca="1">Cashflow!BB14</f>
        <v>-199499.99999999997</v>
      </c>
      <c r="AW53" s="328">
        <f ca="1">Cashflow!BC14</f>
        <v>-199499.99999999997</v>
      </c>
      <c r="AX53" s="328">
        <f ca="1">Cashflow!BD14</f>
        <v>-52500</v>
      </c>
      <c r="AY53" s="328">
        <f ca="1">Cashflow!BE14</f>
        <v>-199499.99999999997</v>
      </c>
      <c r="AZ53" s="328">
        <f ca="1">Cashflow!BF14</f>
        <v>-199499.99999999997</v>
      </c>
      <c r="BA53" s="328">
        <f ca="1">Cashflow!BG14</f>
        <v>-199499.99999999997</v>
      </c>
      <c r="BB53" s="328">
        <f ca="1">Cashflow!BH14</f>
        <v>-199499.99999999997</v>
      </c>
      <c r="BC53" s="328">
        <f ca="1">Cashflow!BI14</f>
        <v>-199499.99999999997</v>
      </c>
      <c r="BD53" s="328">
        <f ca="1">Cashflow!BJ14</f>
        <v>-199499.99999999997</v>
      </c>
      <c r="BE53" s="328">
        <f ca="1">Cashflow!BK14</f>
        <v>-199499.99999999997</v>
      </c>
      <c r="BF53" s="328">
        <f ca="1">Cashflow!BL14</f>
        <v>-199499.99999999997</v>
      </c>
      <c r="BG53" s="328">
        <f ca="1">Cashflow!BM14</f>
        <v>-199499.99999999997</v>
      </c>
      <c r="BH53" s="328">
        <f ca="1">Cashflow!BN14</f>
        <v>-199499.99999999997</v>
      </c>
      <c r="BI53" s="328">
        <f ca="1">Cashflow!BO14</f>
        <v>-199499.99999999997</v>
      </c>
      <c r="BJ53" s="328">
        <f ca="1">Cashflow!BP14</f>
        <v>-199499.99999999997</v>
      </c>
      <c r="BK53" s="328">
        <f ca="1">Cashflow!BQ14</f>
        <v>-199499.99999999997</v>
      </c>
      <c r="BL53" s="323"/>
      <c r="BM53" s="323"/>
      <c r="BN53" s="323"/>
      <c r="BO53" s="323"/>
      <c r="BP53" s="323"/>
      <c r="BQ53" s="323"/>
      <c r="BR53" s="323"/>
      <c r="BS53" s="323"/>
      <c r="BT53" s="323"/>
      <c r="BU53" s="323"/>
      <c r="BV53" s="323"/>
      <c r="BW53" s="323"/>
      <c r="BX53" s="323"/>
      <c r="BY53" s="323"/>
      <c r="BZ53" s="323"/>
      <c r="CA53" s="323"/>
      <c r="CB53" s="323"/>
      <c r="CC53" s="323"/>
      <c r="CD53" s="323"/>
      <c r="CE53" s="323"/>
      <c r="CF53" s="323"/>
      <c r="CG53" s="323"/>
      <c r="CH53" s="323"/>
      <c r="CI53" s="323"/>
      <c r="CJ53" s="323"/>
      <c r="CK53" s="323"/>
      <c r="CL53" s="323"/>
      <c r="CM53" s="323"/>
      <c r="CN53" s="323"/>
      <c r="CO53" s="323"/>
      <c r="CP53" s="323"/>
      <c r="CQ53" s="323"/>
      <c r="CR53" s="323"/>
      <c r="CS53" s="323"/>
      <c r="CT53" s="323"/>
      <c r="CU53" s="323"/>
      <c r="CV53" s="323"/>
      <c r="CW53" s="323"/>
      <c r="CX53" s="323"/>
      <c r="CY53" s="323"/>
      <c r="CZ53" s="323"/>
      <c r="DA53" s="323"/>
      <c r="DB53" s="323"/>
      <c r="DC53" s="323"/>
      <c r="DD53" s="323"/>
      <c r="DE53" s="323"/>
      <c r="DF53" s="323"/>
      <c r="DG53" s="323"/>
      <c r="DH53" s="323"/>
      <c r="DI53" s="323"/>
      <c r="DJ53" s="323"/>
      <c r="DK53" s="323"/>
      <c r="DL53" s="323"/>
      <c r="DM53" s="323"/>
      <c r="DN53" s="323"/>
      <c r="DO53" s="323"/>
      <c r="DP53" s="323"/>
      <c r="DQ53" s="323"/>
      <c r="DR53" s="323"/>
      <c r="DS53" s="323"/>
      <c r="DT53" s="323"/>
      <c r="DU53" s="323"/>
      <c r="DV53" s="323"/>
      <c r="DW53" s="323"/>
      <c r="DX53" s="323"/>
      <c r="DY53" s="323"/>
      <c r="DZ53" s="323"/>
      <c r="EA53" s="323"/>
      <c r="EB53" s="323"/>
      <c r="EC53" s="323"/>
      <c r="ED53" s="323"/>
      <c r="EE53" s="323"/>
      <c r="EF53" s="323"/>
      <c r="EG53" s="323"/>
      <c r="EH53" s="323"/>
      <c r="EI53" s="323"/>
      <c r="EJ53" s="323"/>
      <c r="EK53" s="323"/>
      <c r="EL53" s="323"/>
      <c r="EM53" s="323"/>
      <c r="EN53" s="323"/>
      <c r="EO53" s="323"/>
      <c r="EP53" s="323"/>
      <c r="EQ53" s="323"/>
      <c r="ER53" s="323"/>
      <c r="ES53" s="323"/>
      <c r="ET53" s="323"/>
      <c r="EU53" s="323"/>
      <c r="EV53" s="323"/>
      <c r="EW53" s="323"/>
      <c r="EX53" s="323"/>
      <c r="EY53" s="323"/>
      <c r="EZ53" s="323"/>
      <c r="FA53" s="323"/>
      <c r="FB53" s="323"/>
      <c r="FC53" s="323"/>
      <c r="FD53" s="323"/>
      <c r="FE53" s="323"/>
      <c r="FF53" s="323"/>
      <c r="FG53" s="323"/>
      <c r="FH53" s="323"/>
      <c r="FI53" s="323"/>
      <c r="FJ53" s="323"/>
      <c r="FK53" s="323"/>
      <c r="FL53" s="323"/>
      <c r="FM53" s="323"/>
      <c r="FN53" s="323"/>
      <c r="FO53" s="323"/>
      <c r="FP53" s="323"/>
      <c r="FQ53" s="323"/>
      <c r="FR53" s="323"/>
      <c r="FS53" s="323"/>
      <c r="FT53" s="323"/>
      <c r="FU53" s="323"/>
      <c r="FV53" s="323"/>
      <c r="FW53" s="323"/>
      <c r="FX53" s="323"/>
      <c r="FY53" s="323"/>
      <c r="FZ53" s="323"/>
      <c r="GA53" s="323"/>
      <c r="GB53" s="323"/>
      <c r="GC53" s="323"/>
      <c r="GD53" s="323"/>
      <c r="GE53" s="323"/>
      <c r="GF53" s="323"/>
      <c r="GG53" s="323"/>
      <c r="GH53" s="323"/>
      <c r="GI53" s="323"/>
      <c r="GJ53" s="323"/>
      <c r="GK53" s="323"/>
      <c r="GL53" s="323"/>
      <c r="GM53" s="323"/>
      <c r="GN53" s="323"/>
      <c r="GO53" s="323"/>
      <c r="GP53" s="323"/>
      <c r="GQ53" s="323"/>
      <c r="GR53" s="323"/>
      <c r="GS53" s="323"/>
      <c r="GT53" s="323"/>
      <c r="GU53" s="323"/>
      <c r="GV53" s="323"/>
      <c r="GW53" s="323"/>
      <c r="GX53" s="323"/>
      <c r="GY53" s="323"/>
      <c r="GZ53" s="323"/>
      <c r="HA53" s="323"/>
      <c r="HB53" s="323"/>
      <c r="HC53" s="323"/>
      <c r="HD53" s="323"/>
      <c r="HE53" s="323"/>
      <c r="HF53" s="323"/>
      <c r="HG53" s="323"/>
      <c r="HH53" s="323"/>
      <c r="HI53" s="323"/>
      <c r="HJ53" s="323"/>
      <c r="HK53" s="323"/>
      <c r="HL53" s="323"/>
      <c r="HM53" s="323"/>
      <c r="HN53" s="323"/>
      <c r="HO53" s="323"/>
      <c r="HP53" s="323"/>
      <c r="HQ53" s="323"/>
      <c r="HR53" s="323"/>
      <c r="HS53" s="323"/>
      <c r="HT53" s="323"/>
      <c r="HU53" s="323"/>
      <c r="HV53" s="323"/>
      <c r="HW53" s="323"/>
      <c r="HX53" s="323"/>
      <c r="HY53" s="323"/>
      <c r="HZ53" s="323"/>
      <c r="IA53" s="323"/>
      <c r="IB53" s="323"/>
      <c r="IC53" s="323"/>
      <c r="ID53" s="323"/>
      <c r="IE53" s="323"/>
      <c r="IF53" s="323"/>
      <c r="IG53" s="323"/>
      <c r="IH53" s="323"/>
      <c r="II53" s="323"/>
      <c r="IJ53" s="323"/>
      <c r="IK53" s="323"/>
      <c r="IL53" s="323"/>
      <c r="IM53" s="323"/>
      <c r="IN53" s="323"/>
      <c r="IO53" s="323"/>
      <c r="IP53" s="323"/>
      <c r="IQ53" s="323"/>
      <c r="IR53" s="323"/>
    </row>
    <row r="54" spans="1:252">
      <c r="B54" s="329" t="str">
        <f>Cashflow!E15</f>
        <v>CF after capex</v>
      </c>
      <c r="C54" s="330"/>
      <c r="D54" s="331">
        <f ca="1">Cashflow!J15</f>
        <v>-109920</v>
      </c>
      <c r="E54" s="331">
        <f ca="1">Cashflow!K15</f>
        <v>-57900.248093382812</v>
      </c>
      <c r="F54" s="331">
        <f ca="1">Cashflow!L15</f>
        <v>-12909.054652965198</v>
      </c>
      <c r="G54" s="331">
        <f ca="1">Cashflow!M15</f>
        <v>-60135.501037377995</v>
      </c>
      <c r="H54" s="331">
        <f ca="1">Cashflow!N15</f>
        <v>-60707.429490589246</v>
      </c>
      <c r="I54" s="331">
        <f ca="1">Cashflow!O15</f>
        <v>-44999.758188052016</v>
      </c>
      <c r="J54" s="331">
        <f ca="1">Cashflow!P15</f>
        <v>-262668.89902306744</v>
      </c>
      <c r="K54" s="331">
        <f ca="1">Cashflow!Q15</f>
        <v>-63827.406889334176</v>
      </c>
      <c r="L54" s="331">
        <f ca="1">Cashflow!R15</f>
        <v>-133288.70560695478</v>
      </c>
      <c r="M54" s="331">
        <f ca="1">Cashflow!S15</f>
        <v>658569.29309415957</v>
      </c>
      <c r="N54" s="331">
        <f ca="1">Cashflow!T15</f>
        <v>62409.321222705199</v>
      </c>
      <c r="O54" s="331">
        <f ca="1">Cashflow!U15</f>
        <v>-64132.796174201816</v>
      </c>
      <c r="P54" s="331">
        <f ca="1">Cashflow!V15</f>
        <v>-269790</v>
      </c>
      <c r="Q54" s="331">
        <f ca="1">Cashflow!W15</f>
        <v>-71265.080037937165</v>
      </c>
      <c r="R54" s="331">
        <f ca="1">Cashflow!X15</f>
        <v>-145581.45603118726</v>
      </c>
      <c r="S54" s="331">
        <f ca="1">Cashflow!Y15</f>
        <v>689727.63217317301</v>
      </c>
      <c r="T54" s="331">
        <f ca="1">Cashflow!Z15</f>
        <v>-28683.935783658031</v>
      </c>
      <c r="U54" s="331">
        <f ca="1">Cashflow!AA15</f>
        <v>-38328.365897071897</v>
      </c>
      <c r="V54" s="331">
        <f ca="1">Cashflow!AB15</f>
        <v>-226609.31871103859</v>
      </c>
      <c r="W54" s="331">
        <f ca="1">Cashflow!AC15</f>
        <v>-80925.099594781292</v>
      </c>
      <c r="X54" s="331">
        <f ca="1">Cashflow!AD15</f>
        <v>-378145.13934576395</v>
      </c>
      <c r="Y54" s="331">
        <f ca="1">Cashflow!AE15</f>
        <v>1503845.1577295254</v>
      </c>
      <c r="Z54" s="331">
        <f ca="1">Cashflow!AF15</f>
        <v>-104040.66404821264</v>
      </c>
      <c r="AA54" s="331">
        <f ca="1">Cashflow!AG15</f>
        <v>-96848.667675981444</v>
      </c>
      <c r="AB54" s="331">
        <f ca="1">Cashflow!AH15</f>
        <v>-98728.250638101817</v>
      </c>
      <c r="AC54" s="331">
        <f ca="1">Cashflow!AI15</f>
        <v>710419.12434140407</v>
      </c>
      <c r="AD54" s="331">
        <f ca="1">Cashflow!AJ15</f>
        <v>-454483.29169075063</v>
      </c>
      <c r="AE54" s="331">
        <f ca="1">Cashflow!AK15</f>
        <v>633909.45762460167</v>
      </c>
      <c r="AF54" s="331">
        <f ca="1">Cashflow!AL15</f>
        <v>120002.83041240321</v>
      </c>
      <c r="AG54" s="331">
        <f ca="1">Cashflow!AM15</f>
        <v>604200.06943640625</v>
      </c>
      <c r="AH54" s="331">
        <f ca="1">Cashflow!AN15</f>
        <v>87888.701169131746</v>
      </c>
      <c r="AI54" s="331">
        <f ca="1">Cashflow!AO15</f>
        <v>-102357.90147075498</v>
      </c>
      <c r="AJ54" s="331">
        <f ca="1">Cashflow!AP15</f>
        <v>633677.98364596872</v>
      </c>
      <c r="AK54" s="331">
        <f ca="1">Cashflow!AQ15</f>
        <v>926618.91964115377</v>
      </c>
      <c r="AL54" s="331">
        <f ca="1">Cashflow!AR15</f>
        <v>842903.04951459984</v>
      </c>
      <c r="AM54" s="331">
        <f ca="1">Cashflow!AS15</f>
        <v>-126511.49959750436</v>
      </c>
      <c r="AN54" s="331">
        <f ca="1">Cashflow!AT15</f>
        <v>95823.334276696725</v>
      </c>
      <c r="AO54" s="331">
        <f ca="1">Cashflow!AU15</f>
        <v>1740641.0606698864</v>
      </c>
      <c r="AP54" s="331">
        <f ca="1">Cashflow!AV15</f>
        <v>-250153.75317796081</v>
      </c>
      <c r="AQ54" s="331">
        <f ca="1">Cashflow!AW15</f>
        <v>-670522.95654545666</v>
      </c>
      <c r="AR54" s="331">
        <f ca="1">Cashflow!AX15</f>
        <v>1248588.4299859353</v>
      </c>
      <c r="AS54" s="331">
        <f ca="1">Cashflow!AY15</f>
        <v>465378.30941554706</v>
      </c>
      <c r="AT54" s="331">
        <f ca="1">Cashflow!AZ15</f>
        <v>1102916.7123355151</v>
      </c>
      <c r="AU54" s="331">
        <f ca="1">Cashflow!BA15</f>
        <v>416884.76129616436</v>
      </c>
      <c r="AV54" s="331">
        <f ca="1">Cashflow!BB15</f>
        <v>1403564.6711609056</v>
      </c>
      <c r="AW54" s="331">
        <f ca="1">Cashflow!BC15</f>
        <v>1197975.0093896829</v>
      </c>
      <c r="AX54" s="331">
        <f ca="1">Cashflow!BD15</f>
        <v>1380891.8756658994</v>
      </c>
      <c r="AY54" s="331">
        <f ca="1">Cashflow!BE15</f>
        <v>587441.61082699173</v>
      </c>
      <c r="AZ54" s="331">
        <f ca="1">Cashflow!BF15</f>
        <v>1312759.0739845876</v>
      </c>
      <c r="BA54" s="331">
        <f ca="1">Cashflow!BG15</f>
        <v>1351257.6800864558</v>
      </c>
      <c r="BB54" s="331">
        <f ca="1">Cashflow!BH15</f>
        <v>616491.89182725851</v>
      </c>
      <c r="BC54" s="331">
        <f ca="1">Cashflow!BI15</f>
        <v>-320383.23292602738</v>
      </c>
      <c r="BD54" s="331">
        <f ca="1">Cashflow!BJ15</f>
        <v>2523492.4720835821</v>
      </c>
      <c r="BE54" s="331">
        <f ca="1">Cashflow!BK15</f>
        <v>506783.0002304574</v>
      </c>
      <c r="BF54" s="331">
        <f ca="1">Cashflow!BL15</f>
        <v>2652871.859202683</v>
      </c>
      <c r="BG54" s="331">
        <f ca="1">Cashflow!BM15</f>
        <v>1862030.9964556675</v>
      </c>
      <c r="BH54" s="331">
        <f ca="1">Cashflow!BN15</f>
        <v>1467171.231330537</v>
      </c>
      <c r="BI54" s="331">
        <f ca="1">Cashflow!BO15</f>
        <v>2880189.3778097313</v>
      </c>
      <c r="BJ54" s="331">
        <f ca="1">Cashflow!BP15</f>
        <v>2100539.4131055539</v>
      </c>
      <c r="BK54" s="331">
        <f ca="1">Cashflow!BQ15</f>
        <v>1583600.3665139428</v>
      </c>
      <c r="IR54" s="327"/>
    </row>
    <row r="55" spans="1:252">
      <c r="C55" s="324"/>
      <c r="D55" s="328"/>
      <c r="E55" s="328"/>
      <c r="F55" s="328"/>
      <c r="G55" s="328"/>
      <c r="H55" s="328"/>
      <c r="I55" s="328"/>
      <c r="J55" s="328"/>
      <c r="K55" s="328"/>
      <c r="L55" s="328"/>
      <c r="M55" s="328"/>
      <c r="N55" s="328"/>
      <c r="O55" s="328"/>
      <c r="P55" s="328"/>
      <c r="Q55" s="328"/>
      <c r="R55" s="328"/>
      <c r="S55" s="328"/>
      <c r="T55" s="328"/>
      <c r="U55" s="328"/>
      <c r="V55" s="328"/>
      <c r="W55" s="328"/>
      <c r="X55" s="328"/>
      <c r="Y55" s="328"/>
      <c r="Z55" s="328"/>
      <c r="AA55" s="328"/>
      <c r="AB55" s="328"/>
      <c r="AC55" s="328"/>
      <c r="AD55" s="328"/>
      <c r="AE55" s="328"/>
      <c r="AF55" s="328"/>
      <c r="AG55" s="328"/>
      <c r="AH55" s="328"/>
      <c r="AI55" s="328"/>
      <c r="AJ55" s="328"/>
      <c r="AK55" s="328"/>
      <c r="AL55" s="328"/>
      <c r="AM55" s="328"/>
      <c r="AN55" s="328"/>
      <c r="AO55" s="328"/>
      <c r="AP55" s="328"/>
      <c r="AQ55" s="328"/>
      <c r="AR55" s="328"/>
      <c r="AS55" s="328"/>
      <c r="AT55" s="328"/>
      <c r="AU55" s="328"/>
      <c r="AV55" s="328"/>
      <c r="AW55" s="328"/>
      <c r="AX55" s="328"/>
      <c r="AY55" s="328"/>
      <c r="AZ55" s="328"/>
      <c r="BA55" s="328"/>
      <c r="BB55" s="328"/>
      <c r="BC55" s="328"/>
      <c r="BD55" s="328"/>
      <c r="BE55" s="328"/>
      <c r="BF55" s="328"/>
      <c r="BG55" s="328"/>
      <c r="BH55" s="328"/>
      <c r="BI55" s="328"/>
      <c r="BJ55" s="328"/>
      <c r="BK55" s="328"/>
      <c r="IR55" s="327"/>
    </row>
    <row r="56" spans="1:252">
      <c r="B56" s="327" t="str">
        <f>Cashflow!E17</f>
        <v>Supply Chain Finance drawdown</v>
      </c>
      <c r="C56" s="324"/>
      <c r="D56" s="328">
        <f ca="1">Cashflow!J17</f>
        <v>0</v>
      </c>
      <c r="E56" s="328">
        <f ca="1">Cashflow!K17</f>
        <v>0</v>
      </c>
      <c r="F56" s="328">
        <f ca="1">Cashflow!L17</f>
        <v>0</v>
      </c>
      <c r="G56" s="328">
        <f ca="1">Cashflow!M17</f>
        <v>0</v>
      </c>
      <c r="H56" s="328">
        <f ca="1">Cashflow!N17</f>
        <v>0</v>
      </c>
      <c r="I56" s="328">
        <f ca="1">Cashflow!O17</f>
        <v>0</v>
      </c>
      <c r="J56" s="328">
        <f ca="1">Cashflow!P17</f>
        <v>0</v>
      </c>
      <c r="K56" s="328">
        <f ca="1">Cashflow!Q17</f>
        <v>0</v>
      </c>
      <c r="L56" s="328">
        <f ca="1">Cashflow!R17</f>
        <v>0</v>
      </c>
      <c r="M56" s="328">
        <f ca="1">Cashflow!S17</f>
        <v>0</v>
      </c>
      <c r="N56" s="328">
        <f ca="1">Cashflow!T17</f>
        <v>0</v>
      </c>
      <c r="O56" s="328">
        <f ca="1">Cashflow!U17</f>
        <v>0</v>
      </c>
      <c r="P56" s="328">
        <f ca="1">Cashflow!V17</f>
        <v>0</v>
      </c>
      <c r="Q56" s="328">
        <f ca="1">Cashflow!W17</f>
        <v>0</v>
      </c>
      <c r="R56" s="328">
        <f ca="1">Cashflow!X17</f>
        <v>0</v>
      </c>
      <c r="S56" s="328">
        <f ca="1">Cashflow!Y17</f>
        <v>0</v>
      </c>
      <c r="T56" s="328">
        <f ca="1">Cashflow!Z17</f>
        <v>0</v>
      </c>
      <c r="U56" s="328">
        <f ca="1">Cashflow!AA17</f>
        <v>0</v>
      </c>
      <c r="V56" s="328">
        <f ca="1">Cashflow!AB17</f>
        <v>0</v>
      </c>
      <c r="W56" s="328">
        <f ca="1">Cashflow!AC17</f>
        <v>0</v>
      </c>
      <c r="X56" s="328">
        <f ca="1">Cashflow!AD17</f>
        <v>0</v>
      </c>
      <c r="Y56" s="328">
        <f ca="1">Cashflow!AE17</f>
        <v>0</v>
      </c>
      <c r="Z56" s="328">
        <f ca="1">Cashflow!AF17</f>
        <v>0</v>
      </c>
      <c r="AA56" s="328">
        <f ca="1">Cashflow!AG17</f>
        <v>0</v>
      </c>
      <c r="AB56" s="328">
        <f ca="1">Cashflow!AH17</f>
        <v>0</v>
      </c>
      <c r="AC56" s="328">
        <f ca="1">Cashflow!AI17</f>
        <v>0</v>
      </c>
      <c r="AD56" s="328">
        <f ca="1">Cashflow!AJ17</f>
        <v>0</v>
      </c>
      <c r="AE56" s="328">
        <f ca="1">Cashflow!AK17</f>
        <v>0</v>
      </c>
      <c r="AF56" s="328">
        <f ca="1">Cashflow!AL17</f>
        <v>0</v>
      </c>
      <c r="AG56" s="328">
        <f ca="1">Cashflow!AM17</f>
        <v>0</v>
      </c>
      <c r="AH56" s="328">
        <f ca="1">Cashflow!AN17</f>
        <v>0</v>
      </c>
      <c r="AI56" s="328">
        <f ca="1">Cashflow!AO17</f>
        <v>0</v>
      </c>
      <c r="AJ56" s="328">
        <f ca="1">Cashflow!AP17</f>
        <v>0</v>
      </c>
      <c r="AK56" s="328">
        <f ca="1">Cashflow!AQ17</f>
        <v>0</v>
      </c>
      <c r="AL56" s="328">
        <f ca="1">Cashflow!AR17</f>
        <v>0</v>
      </c>
      <c r="AM56" s="328">
        <f ca="1">Cashflow!AS17</f>
        <v>0</v>
      </c>
      <c r="AN56" s="328">
        <f ca="1">Cashflow!AT17</f>
        <v>0</v>
      </c>
      <c r="AO56" s="328">
        <f ca="1">Cashflow!AU17</f>
        <v>0</v>
      </c>
      <c r="AP56" s="328">
        <f ca="1">Cashflow!AV17</f>
        <v>0</v>
      </c>
      <c r="AQ56" s="328">
        <f ca="1">Cashflow!AW17</f>
        <v>0</v>
      </c>
      <c r="AR56" s="328">
        <f ca="1">Cashflow!AX17</f>
        <v>0</v>
      </c>
      <c r="AS56" s="328">
        <f ca="1">Cashflow!AY17</f>
        <v>0</v>
      </c>
      <c r="AT56" s="328">
        <f ca="1">Cashflow!AZ17</f>
        <v>0</v>
      </c>
      <c r="AU56" s="328">
        <f ca="1">Cashflow!BA17</f>
        <v>0</v>
      </c>
      <c r="AV56" s="328">
        <f ca="1">Cashflow!BB17</f>
        <v>0</v>
      </c>
      <c r="AW56" s="328">
        <f ca="1">Cashflow!BC17</f>
        <v>0</v>
      </c>
      <c r="AX56" s="328">
        <f ca="1">Cashflow!BD17</f>
        <v>0</v>
      </c>
      <c r="AY56" s="328">
        <f ca="1">Cashflow!BE17</f>
        <v>0</v>
      </c>
      <c r="AZ56" s="328">
        <f ca="1">Cashflow!BF17</f>
        <v>0</v>
      </c>
      <c r="BA56" s="328">
        <f ca="1">Cashflow!BG17</f>
        <v>0</v>
      </c>
      <c r="BB56" s="328">
        <f ca="1">Cashflow!BH17</f>
        <v>0</v>
      </c>
      <c r="BC56" s="328">
        <f ca="1">Cashflow!BI17</f>
        <v>0</v>
      </c>
      <c r="BD56" s="328">
        <f ca="1">Cashflow!BJ17</f>
        <v>0</v>
      </c>
      <c r="BE56" s="328">
        <f ca="1">Cashflow!BK17</f>
        <v>0</v>
      </c>
      <c r="BF56" s="328">
        <f ca="1">Cashflow!BL17</f>
        <v>0</v>
      </c>
      <c r="BG56" s="328">
        <f ca="1">Cashflow!BM17</f>
        <v>0</v>
      </c>
      <c r="BH56" s="328">
        <f ca="1">Cashflow!BN17</f>
        <v>0</v>
      </c>
      <c r="BI56" s="328">
        <f ca="1">Cashflow!BO17</f>
        <v>0</v>
      </c>
      <c r="BJ56" s="328">
        <f ca="1">Cashflow!BP17</f>
        <v>0</v>
      </c>
      <c r="BK56" s="328">
        <f ca="1">Cashflow!BQ17</f>
        <v>0</v>
      </c>
      <c r="IR56" s="327"/>
    </row>
    <row r="57" spans="1:252">
      <c r="B57" s="327" t="str">
        <f>Cashflow!E18</f>
        <v xml:space="preserve">Supply Chain Finance principal repayment </v>
      </c>
      <c r="C57" s="324"/>
      <c r="D57" s="328">
        <f ca="1">Cashflow!J18</f>
        <v>0</v>
      </c>
      <c r="E57" s="328">
        <f ca="1">Cashflow!K18</f>
        <v>0</v>
      </c>
      <c r="F57" s="328">
        <f ca="1">Cashflow!L18</f>
        <v>0</v>
      </c>
      <c r="G57" s="328">
        <f ca="1">Cashflow!M18</f>
        <v>0</v>
      </c>
      <c r="H57" s="328">
        <f ca="1">Cashflow!N18</f>
        <v>0</v>
      </c>
      <c r="I57" s="328">
        <f ca="1">Cashflow!O18</f>
        <v>0</v>
      </c>
      <c r="J57" s="328">
        <f ca="1">Cashflow!P18</f>
        <v>0</v>
      </c>
      <c r="K57" s="328">
        <f ca="1">Cashflow!Q18</f>
        <v>0</v>
      </c>
      <c r="L57" s="328">
        <f ca="1">Cashflow!R18</f>
        <v>0</v>
      </c>
      <c r="M57" s="328">
        <f ca="1">Cashflow!S18</f>
        <v>0</v>
      </c>
      <c r="N57" s="328">
        <f ca="1">Cashflow!T18</f>
        <v>0</v>
      </c>
      <c r="O57" s="328">
        <f ca="1">Cashflow!U18</f>
        <v>0</v>
      </c>
      <c r="P57" s="328">
        <f ca="1">Cashflow!V18</f>
        <v>0</v>
      </c>
      <c r="Q57" s="328">
        <f ca="1">Cashflow!W18</f>
        <v>0</v>
      </c>
      <c r="R57" s="328">
        <f ca="1">Cashflow!X18</f>
        <v>0</v>
      </c>
      <c r="S57" s="328">
        <f ca="1">Cashflow!Y18</f>
        <v>0</v>
      </c>
      <c r="T57" s="328">
        <f ca="1">Cashflow!Z18</f>
        <v>0</v>
      </c>
      <c r="U57" s="328">
        <f ca="1">Cashflow!AA18</f>
        <v>0</v>
      </c>
      <c r="V57" s="328">
        <f ca="1">Cashflow!AB18</f>
        <v>0</v>
      </c>
      <c r="W57" s="328">
        <f ca="1">Cashflow!AC18</f>
        <v>0</v>
      </c>
      <c r="X57" s="328">
        <f ca="1">Cashflow!AD18</f>
        <v>0</v>
      </c>
      <c r="Y57" s="328">
        <f ca="1">Cashflow!AE18</f>
        <v>0</v>
      </c>
      <c r="Z57" s="328">
        <f ca="1">Cashflow!AF18</f>
        <v>0</v>
      </c>
      <c r="AA57" s="328">
        <f ca="1">Cashflow!AG18</f>
        <v>0</v>
      </c>
      <c r="AB57" s="328">
        <f ca="1">Cashflow!AH18</f>
        <v>0</v>
      </c>
      <c r="AC57" s="328">
        <f ca="1">Cashflow!AI18</f>
        <v>0</v>
      </c>
      <c r="AD57" s="328">
        <f ca="1">Cashflow!AJ18</f>
        <v>0</v>
      </c>
      <c r="AE57" s="328">
        <f ca="1">Cashflow!AK18</f>
        <v>0</v>
      </c>
      <c r="AF57" s="328">
        <f ca="1">Cashflow!AL18</f>
        <v>0</v>
      </c>
      <c r="AG57" s="328">
        <f ca="1">Cashflow!AM18</f>
        <v>0</v>
      </c>
      <c r="AH57" s="328">
        <f ca="1">Cashflow!AN18</f>
        <v>0</v>
      </c>
      <c r="AI57" s="328">
        <f ca="1">Cashflow!AO18</f>
        <v>0</v>
      </c>
      <c r="AJ57" s="328">
        <f ca="1">Cashflow!AP18</f>
        <v>0</v>
      </c>
      <c r="AK57" s="328">
        <f ca="1">Cashflow!AQ18</f>
        <v>0</v>
      </c>
      <c r="AL57" s="328">
        <f ca="1">Cashflow!AR18</f>
        <v>0</v>
      </c>
      <c r="AM57" s="328">
        <f ca="1">Cashflow!AS18</f>
        <v>0</v>
      </c>
      <c r="AN57" s="328">
        <f ca="1">Cashflow!AT18</f>
        <v>0</v>
      </c>
      <c r="AO57" s="328">
        <f ca="1">Cashflow!AU18</f>
        <v>0</v>
      </c>
      <c r="AP57" s="328">
        <f ca="1">Cashflow!AV18</f>
        <v>0</v>
      </c>
      <c r="AQ57" s="328">
        <f ca="1">Cashflow!AW18</f>
        <v>0</v>
      </c>
      <c r="AR57" s="328">
        <f ca="1">Cashflow!AX18</f>
        <v>0</v>
      </c>
      <c r="AS57" s="328">
        <f ca="1">Cashflow!AY18</f>
        <v>0</v>
      </c>
      <c r="AT57" s="328">
        <f ca="1">Cashflow!AZ18</f>
        <v>0</v>
      </c>
      <c r="AU57" s="328">
        <f ca="1">Cashflow!BA18</f>
        <v>0</v>
      </c>
      <c r="AV57" s="328">
        <f ca="1">Cashflow!BB18</f>
        <v>0</v>
      </c>
      <c r="AW57" s="328">
        <f ca="1">Cashflow!BC18</f>
        <v>0</v>
      </c>
      <c r="AX57" s="328">
        <f ca="1">Cashflow!BD18</f>
        <v>0</v>
      </c>
      <c r="AY57" s="328">
        <f ca="1">Cashflow!BE18</f>
        <v>0</v>
      </c>
      <c r="AZ57" s="328">
        <f ca="1">Cashflow!BF18</f>
        <v>0</v>
      </c>
      <c r="BA57" s="328">
        <f ca="1">Cashflow!BG18</f>
        <v>0</v>
      </c>
      <c r="BB57" s="328">
        <f ca="1">Cashflow!BH18</f>
        <v>0</v>
      </c>
      <c r="BC57" s="328">
        <f ca="1">Cashflow!BI18</f>
        <v>0</v>
      </c>
      <c r="BD57" s="328">
        <f ca="1">Cashflow!BJ18</f>
        <v>0</v>
      </c>
      <c r="BE57" s="328">
        <f ca="1">Cashflow!BK18</f>
        <v>0</v>
      </c>
      <c r="BF57" s="328">
        <f ca="1">Cashflow!BL18</f>
        <v>0</v>
      </c>
      <c r="BG57" s="328">
        <f ca="1">Cashflow!BM18</f>
        <v>0</v>
      </c>
      <c r="BH57" s="328">
        <f ca="1">Cashflow!BN18</f>
        <v>0</v>
      </c>
      <c r="BI57" s="328">
        <f ca="1">Cashflow!BO18</f>
        <v>0</v>
      </c>
      <c r="BJ57" s="328">
        <f ca="1">Cashflow!BP18</f>
        <v>0</v>
      </c>
      <c r="BK57" s="328">
        <f ca="1">Cashflow!BQ18</f>
        <v>0</v>
      </c>
      <c r="IR57" s="327"/>
    </row>
    <row r="58" spans="1:252" s="332" customFormat="1">
      <c r="A58" s="327"/>
      <c r="B58" s="327" t="str">
        <f>Cashflow!E19</f>
        <v>Invoice finance drawdown</v>
      </c>
      <c r="C58" s="324"/>
      <c r="D58" s="328">
        <f ca="1">Cashflow!J19</f>
        <v>0</v>
      </c>
      <c r="E58" s="328">
        <f ca="1">Cashflow!K19</f>
        <v>0</v>
      </c>
      <c r="F58" s="328">
        <f ca="1">Cashflow!L19</f>
        <v>0</v>
      </c>
      <c r="G58" s="328">
        <f ca="1">Cashflow!M19</f>
        <v>0</v>
      </c>
      <c r="H58" s="328">
        <f ca="1">Cashflow!N19</f>
        <v>0</v>
      </c>
      <c r="I58" s="328">
        <f ca="1">Cashflow!O19</f>
        <v>0</v>
      </c>
      <c r="J58" s="328">
        <f ca="1">Cashflow!P19</f>
        <v>0</v>
      </c>
      <c r="K58" s="328">
        <f ca="1">Cashflow!Q19</f>
        <v>0</v>
      </c>
      <c r="L58" s="328">
        <f ca="1">Cashflow!R19</f>
        <v>0</v>
      </c>
      <c r="M58" s="328">
        <f ca="1">Cashflow!S19</f>
        <v>0</v>
      </c>
      <c r="N58" s="328">
        <f ca="1">Cashflow!T19</f>
        <v>0</v>
      </c>
      <c r="O58" s="328">
        <f ca="1">Cashflow!U19</f>
        <v>0</v>
      </c>
      <c r="P58" s="328">
        <f ca="1">Cashflow!V19</f>
        <v>0</v>
      </c>
      <c r="Q58" s="328">
        <f ca="1">Cashflow!W19</f>
        <v>0</v>
      </c>
      <c r="R58" s="328">
        <f ca="1">Cashflow!X19</f>
        <v>0</v>
      </c>
      <c r="S58" s="328">
        <f ca="1">Cashflow!Y19</f>
        <v>0</v>
      </c>
      <c r="T58" s="328">
        <f ca="1">Cashflow!Z19</f>
        <v>0</v>
      </c>
      <c r="U58" s="328">
        <f ca="1">Cashflow!AA19</f>
        <v>0</v>
      </c>
      <c r="V58" s="328">
        <f ca="1">Cashflow!AB19</f>
        <v>0</v>
      </c>
      <c r="W58" s="328">
        <f ca="1">Cashflow!AC19</f>
        <v>0</v>
      </c>
      <c r="X58" s="328">
        <f ca="1">Cashflow!AD19</f>
        <v>0</v>
      </c>
      <c r="Y58" s="328">
        <f ca="1">Cashflow!AE19</f>
        <v>0</v>
      </c>
      <c r="Z58" s="328">
        <f ca="1">Cashflow!AF19</f>
        <v>0</v>
      </c>
      <c r="AA58" s="328">
        <f ca="1">Cashflow!AG19</f>
        <v>0</v>
      </c>
      <c r="AB58" s="328">
        <f ca="1">Cashflow!AH19</f>
        <v>0</v>
      </c>
      <c r="AC58" s="328">
        <f ca="1">Cashflow!AI19</f>
        <v>0</v>
      </c>
      <c r="AD58" s="328">
        <f ca="1">Cashflow!AJ19</f>
        <v>0</v>
      </c>
      <c r="AE58" s="328">
        <f ca="1">Cashflow!AK19</f>
        <v>0</v>
      </c>
      <c r="AF58" s="328">
        <f ca="1">Cashflow!AL19</f>
        <v>0</v>
      </c>
      <c r="AG58" s="328">
        <f ca="1">Cashflow!AM19</f>
        <v>0</v>
      </c>
      <c r="AH58" s="328">
        <f ca="1">Cashflow!AN19</f>
        <v>0</v>
      </c>
      <c r="AI58" s="328">
        <f ca="1">Cashflow!AO19</f>
        <v>0</v>
      </c>
      <c r="AJ58" s="328">
        <f ca="1">Cashflow!AP19</f>
        <v>0</v>
      </c>
      <c r="AK58" s="328">
        <f ca="1">Cashflow!AQ19</f>
        <v>0</v>
      </c>
      <c r="AL58" s="328">
        <f ca="1">Cashflow!AR19</f>
        <v>0</v>
      </c>
      <c r="AM58" s="328">
        <f ca="1">Cashflow!AS19</f>
        <v>0</v>
      </c>
      <c r="AN58" s="328">
        <f ca="1">Cashflow!AT19</f>
        <v>0</v>
      </c>
      <c r="AO58" s="328">
        <f ca="1">Cashflow!AU19</f>
        <v>0</v>
      </c>
      <c r="AP58" s="328">
        <f ca="1">Cashflow!AV19</f>
        <v>0</v>
      </c>
      <c r="AQ58" s="328">
        <f ca="1">Cashflow!AW19</f>
        <v>0</v>
      </c>
      <c r="AR58" s="328">
        <f ca="1">Cashflow!AX19</f>
        <v>0</v>
      </c>
      <c r="AS58" s="328">
        <f ca="1">Cashflow!AY19</f>
        <v>0</v>
      </c>
      <c r="AT58" s="328">
        <f ca="1">Cashflow!AZ19</f>
        <v>0</v>
      </c>
      <c r="AU58" s="328">
        <f ca="1">Cashflow!BA19</f>
        <v>0</v>
      </c>
      <c r="AV58" s="328">
        <f ca="1">Cashflow!BB19</f>
        <v>0</v>
      </c>
      <c r="AW58" s="328">
        <f ca="1">Cashflow!BC19</f>
        <v>0</v>
      </c>
      <c r="AX58" s="328">
        <f ca="1">Cashflow!BD19</f>
        <v>0</v>
      </c>
      <c r="AY58" s="328">
        <f ca="1">Cashflow!BE19</f>
        <v>0</v>
      </c>
      <c r="AZ58" s="328">
        <f ca="1">Cashflow!BF19</f>
        <v>0</v>
      </c>
      <c r="BA58" s="328">
        <f ca="1">Cashflow!BG19</f>
        <v>0</v>
      </c>
      <c r="BB58" s="328">
        <f ca="1">Cashflow!BH19</f>
        <v>0</v>
      </c>
      <c r="BC58" s="328">
        <f ca="1">Cashflow!BI19</f>
        <v>0</v>
      </c>
      <c r="BD58" s="328">
        <f ca="1">Cashflow!BJ19</f>
        <v>0</v>
      </c>
      <c r="BE58" s="328">
        <f ca="1">Cashflow!BK19</f>
        <v>0</v>
      </c>
      <c r="BF58" s="328">
        <f ca="1">Cashflow!BL19</f>
        <v>0</v>
      </c>
      <c r="BG58" s="328">
        <f ca="1">Cashflow!BM19</f>
        <v>0</v>
      </c>
      <c r="BH58" s="328">
        <f ca="1">Cashflow!BN19</f>
        <v>0</v>
      </c>
      <c r="BI58" s="328">
        <f ca="1">Cashflow!BO19</f>
        <v>0</v>
      </c>
      <c r="BJ58" s="328">
        <f ca="1">Cashflow!BP19</f>
        <v>0</v>
      </c>
      <c r="BK58" s="328">
        <f ca="1">Cashflow!BQ19</f>
        <v>0</v>
      </c>
      <c r="BL58" s="327"/>
      <c r="BM58" s="327"/>
      <c r="BN58" s="327"/>
      <c r="BO58" s="327"/>
      <c r="BP58" s="327"/>
      <c r="BQ58" s="327"/>
      <c r="BR58" s="327"/>
      <c r="BS58" s="327"/>
      <c r="BT58" s="327"/>
      <c r="BU58" s="327"/>
      <c r="BV58" s="327"/>
      <c r="BW58" s="327"/>
      <c r="BX58" s="327"/>
      <c r="BY58" s="327"/>
      <c r="BZ58" s="327"/>
      <c r="CA58" s="327"/>
      <c r="CB58" s="327"/>
      <c r="CC58" s="327"/>
      <c r="CD58" s="327"/>
      <c r="CE58" s="327"/>
      <c r="CF58" s="327"/>
      <c r="CG58" s="327"/>
      <c r="CH58" s="327"/>
      <c r="CI58" s="327"/>
      <c r="CJ58" s="327"/>
      <c r="CK58" s="327"/>
      <c r="CL58" s="327"/>
      <c r="CM58" s="327"/>
      <c r="CN58" s="327"/>
      <c r="CO58" s="327"/>
      <c r="CP58" s="327"/>
      <c r="CQ58" s="327"/>
      <c r="CR58" s="327"/>
      <c r="CS58" s="327"/>
      <c r="CT58" s="327"/>
      <c r="CU58" s="327"/>
      <c r="CV58" s="327"/>
      <c r="CW58" s="327"/>
      <c r="CX58" s="327"/>
      <c r="CY58" s="327"/>
      <c r="CZ58" s="327"/>
      <c r="DA58" s="327"/>
      <c r="DB58" s="327"/>
      <c r="DC58" s="327"/>
      <c r="DD58" s="327"/>
      <c r="DE58" s="327"/>
      <c r="DF58" s="327"/>
      <c r="DG58" s="327"/>
      <c r="DH58" s="327"/>
      <c r="DI58" s="327"/>
      <c r="DJ58" s="327"/>
      <c r="DK58" s="327"/>
      <c r="DL58" s="327"/>
      <c r="DM58" s="327"/>
      <c r="DN58" s="327"/>
      <c r="DO58" s="327"/>
      <c r="DP58" s="327"/>
      <c r="DQ58" s="327"/>
      <c r="DR58" s="327"/>
      <c r="DS58" s="327"/>
      <c r="DT58" s="327"/>
      <c r="DU58" s="327"/>
      <c r="DV58" s="327"/>
      <c r="DW58" s="327"/>
      <c r="DX58" s="327"/>
      <c r="DY58" s="327"/>
      <c r="DZ58" s="327"/>
      <c r="EA58" s="327"/>
      <c r="EB58" s="327"/>
      <c r="EC58" s="327"/>
      <c r="ED58" s="327"/>
      <c r="EE58" s="327"/>
      <c r="EF58" s="327"/>
      <c r="EG58" s="327"/>
      <c r="EH58" s="327"/>
      <c r="EI58" s="327"/>
      <c r="EJ58" s="327"/>
      <c r="EK58" s="327"/>
      <c r="EL58" s="327"/>
      <c r="EM58" s="327"/>
      <c r="EN58" s="327"/>
      <c r="EO58" s="327"/>
      <c r="EP58" s="327"/>
      <c r="EQ58" s="327"/>
      <c r="ER58" s="327"/>
      <c r="ES58" s="327"/>
      <c r="ET58" s="327"/>
      <c r="EU58" s="327"/>
      <c r="EV58" s="327"/>
      <c r="EW58" s="327"/>
      <c r="EX58" s="327"/>
      <c r="EY58" s="327"/>
      <c r="EZ58" s="327"/>
      <c r="FA58" s="327"/>
      <c r="FB58" s="327"/>
      <c r="FC58" s="327"/>
      <c r="FD58" s="327"/>
      <c r="FE58" s="327"/>
      <c r="FF58" s="327"/>
      <c r="FG58" s="327"/>
      <c r="FH58" s="327"/>
      <c r="FI58" s="327"/>
      <c r="FJ58" s="327"/>
      <c r="FK58" s="327"/>
      <c r="FL58" s="327"/>
      <c r="FM58" s="327"/>
      <c r="FN58" s="327"/>
      <c r="FO58" s="327"/>
      <c r="FP58" s="327"/>
      <c r="FQ58" s="327"/>
      <c r="FR58" s="327"/>
      <c r="FS58" s="327"/>
      <c r="FT58" s="327"/>
      <c r="FU58" s="327"/>
      <c r="FV58" s="327"/>
      <c r="FW58" s="327"/>
      <c r="FX58" s="327"/>
      <c r="FY58" s="327"/>
      <c r="FZ58" s="327"/>
      <c r="GA58" s="327"/>
      <c r="GB58" s="327"/>
      <c r="GC58" s="327"/>
      <c r="GD58" s="327"/>
      <c r="GE58" s="327"/>
      <c r="GF58" s="327"/>
      <c r="GG58" s="327"/>
      <c r="GH58" s="327"/>
      <c r="GI58" s="327"/>
      <c r="GJ58" s="327"/>
      <c r="GK58" s="327"/>
      <c r="GL58" s="327"/>
      <c r="GM58" s="327"/>
      <c r="GN58" s="327"/>
      <c r="GO58" s="327"/>
      <c r="GP58" s="327"/>
      <c r="GQ58" s="327"/>
      <c r="GR58" s="327"/>
      <c r="GS58" s="327"/>
      <c r="GT58" s="327"/>
      <c r="GU58" s="327"/>
      <c r="GV58" s="327"/>
      <c r="GW58" s="327"/>
      <c r="GX58" s="327"/>
      <c r="GY58" s="327"/>
      <c r="GZ58" s="327"/>
      <c r="HA58" s="327"/>
      <c r="HB58" s="327"/>
      <c r="HC58" s="327"/>
      <c r="HD58" s="327"/>
      <c r="HE58" s="327"/>
      <c r="HF58" s="327"/>
      <c r="HG58" s="327"/>
      <c r="HH58" s="327"/>
      <c r="HI58" s="327"/>
      <c r="HJ58" s="327"/>
      <c r="HK58" s="327"/>
      <c r="HL58" s="327"/>
      <c r="HM58" s="327"/>
      <c r="HN58" s="327"/>
      <c r="HO58" s="327"/>
      <c r="HP58" s="327"/>
      <c r="HQ58" s="327"/>
      <c r="HR58" s="327"/>
      <c r="HS58" s="327"/>
      <c r="HT58" s="327"/>
      <c r="HU58" s="327"/>
      <c r="HV58" s="327"/>
      <c r="HW58" s="327"/>
      <c r="HX58" s="327"/>
      <c r="HY58" s="327"/>
      <c r="HZ58" s="327"/>
      <c r="IA58" s="327"/>
      <c r="IB58" s="327"/>
      <c r="IC58" s="327"/>
      <c r="ID58" s="327"/>
      <c r="IE58" s="327"/>
      <c r="IF58" s="327"/>
      <c r="IG58" s="327"/>
      <c r="IH58" s="327"/>
      <c r="II58" s="327"/>
      <c r="IJ58" s="327"/>
      <c r="IK58" s="327"/>
      <c r="IL58" s="327"/>
      <c r="IM58" s="327"/>
      <c r="IN58" s="327"/>
      <c r="IO58" s="327"/>
      <c r="IP58" s="327"/>
      <c r="IQ58" s="327"/>
      <c r="IR58" s="327"/>
    </row>
    <row r="59" spans="1:252">
      <c r="B59" s="327" t="str">
        <f>Cashflow!E20</f>
        <v xml:space="preserve">Invoice finance principal repayment </v>
      </c>
      <c r="C59" s="324"/>
      <c r="D59" s="328">
        <f ca="1">Cashflow!J20</f>
        <v>0</v>
      </c>
      <c r="E59" s="328">
        <f ca="1">Cashflow!K20</f>
        <v>0</v>
      </c>
      <c r="F59" s="328">
        <f ca="1">Cashflow!L20</f>
        <v>0</v>
      </c>
      <c r="G59" s="328">
        <f ca="1">Cashflow!M20</f>
        <v>0</v>
      </c>
      <c r="H59" s="328">
        <f ca="1">Cashflow!N20</f>
        <v>0</v>
      </c>
      <c r="I59" s="328">
        <f ca="1">Cashflow!O20</f>
        <v>0</v>
      </c>
      <c r="J59" s="328">
        <f ca="1">Cashflow!P20</f>
        <v>0</v>
      </c>
      <c r="K59" s="328">
        <f ca="1">Cashflow!Q20</f>
        <v>0</v>
      </c>
      <c r="L59" s="328">
        <f ca="1">Cashflow!R20</f>
        <v>0</v>
      </c>
      <c r="M59" s="328">
        <f ca="1">Cashflow!S20</f>
        <v>0</v>
      </c>
      <c r="N59" s="328">
        <f ca="1">Cashflow!T20</f>
        <v>0</v>
      </c>
      <c r="O59" s="328">
        <f ca="1">Cashflow!U20</f>
        <v>0</v>
      </c>
      <c r="P59" s="328">
        <f ca="1">Cashflow!V20</f>
        <v>0</v>
      </c>
      <c r="Q59" s="328">
        <f ca="1">Cashflow!W20</f>
        <v>0</v>
      </c>
      <c r="R59" s="328">
        <f ca="1">Cashflow!X20</f>
        <v>0</v>
      </c>
      <c r="S59" s="328">
        <f ca="1">Cashflow!Y20</f>
        <v>0</v>
      </c>
      <c r="T59" s="328">
        <f ca="1">Cashflow!Z20</f>
        <v>0</v>
      </c>
      <c r="U59" s="328">
        <f ca="1">Cashflow!AA20</f>
        <v>0</v>
      </c>
      <c r="V59" s="328">
        <f ca="1">Cashflow!AB20</f>
        <v>0</v>
      </c>
      <c r="W59" s="328">
        <f ca="1">Cashflow!AC20</f>
        <v>0</v>
      </c>
      <c r="X59" s="328">
        <f ca="1">Cashflow!AD20</f>
        <v>0</v>
      </c>
      <c r="Y59" s="328">
        <f ca="1">Cashflow!AE20</f>
        <v>0</v>
      </c>
      <c r="Z59" s="328">
        <f ca="1">Cashflow!AF20</f>
        <v>0</v>
      </c>
      <c r="AA59" s="328">
        <f ca="1">Cashflow!AG20</f>
        <v>0</v>
      </c>
      <c r="AB59" s="328">
        <f ca="1">Cashflow!AH20</f>
        <v>0</v>
      </c>
      <c r="AC59" s="328">
        <f ca="1">Cashflow!AI20</f>
        <v>0</v>
      </c>
      <c r="AD59" s="328">
        <f ca="1">Cashflow!AJ20</f>
        <v>0</v>
      </c>
      <c r="AE59" s="328">
        <f ca="1">Cashflow!AK20</f>
        <v>0</v>
      </c>
      <c r="AF59" s="328">
        <f ca="1">Cashflow!AL20</f>
        <v>0</v>
      </c>
      <c r="AG59" s="328">
        <f ca="1">Cashflow!AM20</f>
        <v>0</v>
      </c>
      <c r="AH59" s="328">
        <f ca="1">Cashflow!AN20</f>
        <v>0</v>
      </c>
      <c r="AI59" s="328">
        <f ca="1">Cashflow!AO20</f>
        <v>0</v>
      </c>
      <c r="AJ59" s="328">
        <f ca="1">Cashflow!AP20</f>
        <v>0</v>
      </c>
      <c r="AK59" s="328">
        <f ca="1">Cashflow!AQ20</f>
        <v>0</v>
      </c>
      <c r="AL59" s="328">
        <f ca="1">Cashflow!AR20</f>
        <v>0</v>
      </c>
      <c r="AM59" s="328">
        <f ca="1">Cashflow!AS20</f>
        <v>0</v>
      </c>
      <c r="AN59" s="328">
        <f ca="1">Cashflow!AT20</f>
        <v>0</v>
      </c>
      <c r="AO59" s="328">
        <f ca="1">Cashflow!AU20</f>
        <v>0</v>
      </c>
      <c r="AP59" s="328">
        <f ca="1">Cashflow!AV20</f>
        <v>0</v>
      </c>
      <c r="AQ59" s="328">
        <f ca="1">Cashflow!AW20</f>
        <v>0</v>
      </c>
      <c r="AR59" s="328">
        <f ca="1">Cashflow!AX20</f>
        <v>0</v>
      </c>
      <c r="AS59" s="328">
        <f ca="1">Cashflow!AY20</f>
        <v>0</v>
      </c>
      <c r="AT59" s="328">
        <f ca="1">Cashflow!AZ20</f>
        <v>0</v>
      </c>
      <c r="AU59" s="328">
        <f ca="1">Cashflow!BA20</f>
        <v>0</v>
      </c>
      <c r="AV59" s="328">
        <f ca="1">Cashflow!BB20</f>
        <v>0</v>
      </c>
      <c r="AW59" s="328">
        <f ca="1">Cashflow!BC20</f>
        <v>0</v>
      </c>
      <c r="AX59" s="328">
        <f ca="1">Cashflow!BD20</f>
        <v>0</v>
      </c>
      <c r="AY59" s="328">
        <f ca="1">Cashflow!BE20</f>
        <v>0</v>
      </c>
      <c r="AZ59" s="328">
        <f ca="1">Cashflow!BF20</f>
        <v>0</v>
      </c>
      <c r="BA59" s="328">
        <f ca="1">Cashflow!BG20</f>
        <v>0</v>
      </c>
      <c r="BB59" s="328">
        <f ca="1">Cashflow!BH20</f>
        <v>0</v>
      </c>
      <c r="BC59" s="328">
        <f ca="1">Cashflow!BI20</f>
        <v>0</v>
      </c>
      <c r="BD59" s="328">
        <f ca="1">Cashflow!BJ20</f>
        <v>0</v>
      </c>
      <c r="BE59" s="328">
        <f ca="1">Cashflow!BK20</f>
        <v>0</v>
      </c>
      <c r="BF59" s="328">
        <f ca="1">Cashflow!BL20</f>
        <v>0</v>
      </c>
      <c r="BG59" s="328">
        <f ca="1">Cashflow!BM20</f>
        <v>0</v>
      </c>
      <c r="BH59" s="328">
        <f ca="1">Cashflow!BN20</f>
        <v>0</v>
      </c>
      <c r="BI59" s="328">
        <f ca="1">Cashflow!BO20</f>
        <v>0</v>
      </c>
      <c r="BJ59" s="328">
        <f ca="1">Cashflow!BP20</f>
        <v>0</v>
      </c>
      <c r="BK59" s="328">
        <f ca="1">Cashflow!BQ20</f>
        <v>0</v>
      </c>
      <c r="BL59" s="334"/>
      <c r="BM59" s="334"/>
      <c r="BN59" s="334"/>
      <c r="BO59" s="334"/>
      <c r="BP59" s="334"/>
      <c r="BQ59" s="334"/>
      <c r="BR59" s="334"/>
      <c r="BS59" s="334"/>
      <c r="BT59" s="334"/>
      <c r="BU59" s="334"/>
      <c r="BV59" s="334"/>
      <c r="BW59" s="334"/>
      <c r="BX59" s="334"/>
      <c r="BY59" s="334"/>
      <c r="BZ59" s="334"/>
      <c r="CA59" s="334"/>
      <c r="CB59" s="334"/>
      <c r="CC59" s="334"/>
      <c r="CD59" s="334"/>
      <c r="CE59" s="334"/>
      <c r="CF59" s="334"/>
      <c r="CG59" s="334"/>
      <c r="CH59" s="334"/>
      <c r="CI59" s="334"/>
      <c r="CJ59" s="334"/>
      <c r="CK59" s="334"/>
      <c r="CL59" s="334"/>
      <c r="CM59" s="334"/>
      <c r="CN59" s="334"/>
      <c r="CO59" s="334"/>
      <c r="CP59" s="334"/>
      <c r="CQ59" s="334"/>
      <c r="CR59" s="334"/>
      <c r="CS59" s="334"/>
      <c r="CT59" s="334"/>
      <c r="CU59" s="334"/>
      <c r="CV59" s="334"/>
      <c r="CW59" s="334"/>
      <c r="CX59" s="334"/>
      <c r="CY59" s="334"/>
      <c r="CZ59" s="334"/>
      <c r="DA59" s="334"/>
      <c r="DB59" s="334"/>
      <c r="DC59" s="334"/>
      <c r="DD59" s="334"/>
      <c r="DE59" s="334"/>
      <c r="DF59" s="334"/>
      <c r="DG59" s="334"/>
      <c r="DH59" s="334"/>
      <c r="DI59" s="334"/>
      <c r="DJ59" s="334"/>
      <c r="DK59" s="334"/>
      <c r="DL59" s="334"/>
      <c r="DM59" s="334"/>
      <c r="DN59" s="334"/>
      <c r="DO59" s="334"/>
      <c r="DP59" s="334"/>
      <c r="DQ59" s="334"/>
      <c r="DR59" s="334"/>
      <c r="DS59" s="334"/>
      <c r="DT59" s="334"/>
      <c r="DU59" s="334"/>
      <c r="DV59" s="334"/>
      <c r="DW59" s="334"/>
      <c r="DX59" s="334"/>
      <c r="DY59" s="334"/>
      <c r="DZ59" s="334"/>
      <c r="EA59" s="334"/>
      <c r="EB59" s="334"/>
      <c r="EC59" s="334"/>
      <c r="ED59" s="334"/>
      <c r="EE59" s="334"/>
      <c r="EF59" s="334"/>
      <c r="EG59" s="334"/>
      <c r="EH59" s="334"/>
      <c r="EI59" s="334"/>
      <c r="EJ59" s="334"/>
      <c r="EK59" s="334"/>
      <c r="EL59" s="334"/>
      <c r="EM59" s="334"/>
      <c r="EN59" s="334"/>
      <c r="EO59" s="334"/>
      <c r="EP59" s="334"/>
      <c r="EQ59" s="334"/>
      <c r="ER59" s="334"/>
      <c r="ES59" s="334"/>
      <c r="ET59" s="334"/>
      <c r="EU59" s="334"/>
      <c r="EV59" s="334"/>
      <c r="EW59" s="334"/>
      <c r="EX59" s="334"/>
      <c r="EY59" s="334"/>
      <c r="EZ59" s="334"/>
      <c r="FA59" s="334"/>
      <c r="FB59" s="334"/>
      <c r="FC59" s="334"/>
      <c r="FD59" s="334"/>
      <c r="FE59" s="334"/>
      <c r="FF59" s="334"/>
      <c r="FG59" s="334"/>
      <c r="FH59" s="334"/>
      <c r="FI59" s="334"/>
      <c r="FJ59" s="334"/>
      <c r="FK59" s="334"/>
      <c r="FL59" s="334"/>
      <c r="FM59" s="334"/>
      <c r="FN59" s="334"/>
      <c r="FO59" s="334"/>
      <c r="FP59" s="334"/>
      <c r="FQ59" s="334"/>
      <c r="FR59" s="334"/>
      <c r="FS59" s="334"/>
      <c r="FT59" s="334"/>
      <c r="FU59" s="334"/>
      <c r="FV59" s="334"/>
      <c r="FW59" s="334"/>
      <c r="FX59" s="334"/>
      <c r="FY59" s="334"/>
      <c r="FZ59" s="334"/>
      <c r="GA59" s="334"/>
      <c r="GB59" s="334"/>
      <c r="GC59" s="334"/>
      <c r="GD59" s="334"/>
      <c r="GE59" s="334"/>
      <c r="GF59" s="334"/>
      <c r="GG59" s="334"/>
      <c r="GH59" s="334"/>
      <c r="GI59" s="334"/>
      <c r="GJ59" s="334"/>
      <c r="GK59" s="334"/>
      <c r="GL59" s="334"/>
      <c r="GM59" s="334"/>
      <c r="GN59" s="334"/>
      <c r="GO59" s="334"/>
      <c r="GP59" s="334"/>
      <c r="GQ59" s="334"/>
      <c r="GR59" s="334"/>
      <c r="GS59" s="334"/>
      <c r="GT59" s="334"/>
      <c r="GU59" s="334"/>
      <c r="GV59" s="334"/>
      <c r="GW59" s="334"/>
      <c r="GX59" s="334"/>
      <c r="GY59" s="334"/>
      <c r="GZ59" s="334"/>
      <c r="HA59" s="334"/>
      <c r="HB59" s="334"/>
      <c r="HC59" s="334"/>
      <c r="HD59" s="334"/>
      <c r="HE59" s="334"/>
      <c r="HF59" s="334"/>
      <c r="HG59" s="334"/>
      <c r="HH59" s="334"/>
      <c r="HI59" s="334"/>
      <c r="HJ59" s="334"/>
      <c r="HK59" s="334"/>
      <c r="HL59" s="334"/>
      <c r="HM59" s="334"/>
      <c r="HN59" s="334"/>
      <c r="HO59" s="334"/>
      <c r="HP59" s="334"/>
      <c r="HQ59" s="334"/>
      <c r="HR59" s="334"/>
      <c r="HS59" s="334"/>
      <c r="HT59" s="334"/>
      <c r="HU59" s="334"/>
      <c r="HV59" s="334"/>
      <c r="HW59" s="334"/>
      <c r="HX59" s="334"/>
      <c r="HY59" s="334"/>
      <c r="HZ59" s="334"/>
      <c r="IA59" s="334"/>
      <c r="IB59" s="334"/>
      <c r="IC59" s="334"/>
      <c r="ID59" s="334"/>
      <c r="IE59" s="334"/>
      <c r="IF59" s="334"/>
      <c r="IG59" s="334"/>
      <c r="IH59" s="334"/>
      <c r="II59" s="334"/>
      <c r="IJ59" s="334"/>
      <c r="IK59" s="334"/>
      <c r="IL59" s="334"/>
      <c r="IM59" s="334"/>
      <c r="IN59" s="334"/>
      <c r="IO59" s="334"/>
      <c r="IP59" s="334"/>
      <c r="IQ59" s="334"/>
      <c r="IR59" s="334"/>
    </row>
    <row r="60" spans="1:252">
      <c r="B60" s="327" t="str">
        <f>Cashflow!E21</f>
        <v>Asset Finance drawdown</v>
      </c>
      <c r="C60" s="324"/>
      <c r="D60" s="328">
        <f ca="1">Cashflow!J21</f>
        <v>175000</v>
      </c>
      <c r="E60" s="328">
        <f ca="1">Cashflow!K21</f>
        <v>0</v>
      </c>
      <c r="F60" s="328">
        <f ca="1">Cashflow!L21</f>
        <v>0</v>
      </c>
      <c r="G60" s="328">
        <f ca="1">Cashflow!M21</f>
        <v>0</v>
      </c>
      <c r="H60" s="328">
        <f ca="1">Cashflow!N21</f>
        <v>0</v>
      </c>
      <c r="I60" s="328">
        <f ca="1">Cashflow!O21</f>
        <v>0</v>
      </c>
      <c r="J60" s="328">
        <f ca="1">Cashflow!P21</f>
        <v>175000</v>
      </c>
      <c r="K60" s="328">
        <f ca="1">Cashflow!Q21</f>
        <v>0</v>
      </c>
      <c r="L60" s="328">
        <f ca="1">Cashflow!R21</f>
        <v>0</v>
      </c>
      <c r="M60" s="328">
        <f ca="1">Cashflow!S21</f>
        <v>0</v>
      </c>
      <c r="N60" s="328">
        <f ca="1">Cashflow!T21</f>
        <v>0</v>
      </c>
      <c r="O60" s="328">
        <f ca="1">Cashflow!U21</f>
        <v>0</v>
      </c>
      <c r="P60" s="328">
        <f ca="1">Cashflow!V21</f>
        <v>175000</v>
      </c>
      <c r="Q60" s="328">
        <f ca="1">Cashflow!W21</f>
        <v>0</v>
      </c>
      <c r="R60" s="328">
        <f ca="1">Cashflow!X21</f>
        <v>0</v>
      </c>
      <c r="S60" s="328">
        <f ca="1">Cashflow!Y21</f>
        <v>0</v>
      </c>
      <c r="T60" s="328">
        <f ca="1">Cashflow!Z21</f>
        <v>175000</v>
      </c>
      <c r="U60" s="328">
        <f ca="1">Cashflow!AA21</f>
        <v>0</v>
      </c>
      <c r="V60" s="328">
        <f ca="1">Cashflow!AB21</f>
        <v>0</v>
      </c>
      <c r="W60" s="328">
        <f ca="1">Cashflow!AC21</f>
        <v>0</v>
      </c>
      <c r="X60" s="328">
        <f ca="1">Cashflow!AD21</f>
        <v>175000</v>
      </c>
      <c r="Y60" s="328">
        <f ca="1">Cashflow!AE21</f>
        <v>0</v>
      </c>
      <c r="Z60" s="328">
        <f ca="1">Cashflow!AF21</f>
        <v>0</v>
      </c>
      <c r="AA60" s="328">
        <f ca="1">Cashflow!AG21</f>
        <v>175000</v>
      </c>
      <c r="AB60" s="328">
        <f ca="1">Cashflow!AH21</f>
        <v>0</v>
      </c>
      <c r="AC60" s="328">
        <f ca="1">Cashflow!AI21</f>
        <v>175000</v>
      </c>
      <c r="AD60" s="328">
        <f ca="1">Cashflow!AJ21</f>
        <v>0</v>
      </c>
      <c r="AE60" s="328">
        <f ca="1">Cashflow!AK21</f>
        <v>0</v>
      </c>
      <c r="AF60" s="328">
        <f ca="1">Cashflow!AL21</f>
        <v>175000</v>
      </c>
      <c r="AG60" s="328">
        <f ca="1">Cashflow!AM21</f>
        <v>0</v>
      </c>
      <c r="AH60" s="328">
        <f ca="1">Cashflow!AN21</f>
        <v>0</v>
      </c>
      <c r="AI60" s="328">
        <f ca="1">Cashflow!AO21</f>
        <v>175000</v>
      </c>
      <c r="AJ60" s="328">
        <f ca="1">Cashflow!AP21</f>
        <v>0</v>
      </c>
      <c r="AK60" s="328">
        <f ca="1">Cashflow!AQ21</f>
        <v>175000</v>
      </c>
      <c r="AL60" s="328">
        <f ca="1">Cashflow!AR21</f>
        <v>0</v>
      </c>
      <c r="AM60" s="328">
        <f ca="1">Cashflow!AS21</f>
        <v>175000</v>
      </c>
      <c r="AN60" s="328">
        <f ca="1">Cashflow!AT21</f>
        <v>175000</v>
      </c>
      <c r="AO60" s="328">
        <f ca="1">Cashflow!AU21</f>
        <v>0</v>
      </c>
      <c r="AP60" s="328">
        <f ca="1">Cashflow!AV21</f>
        <v>175000</v>
      </c>
      <c r="AQ60" s="328">
        <f ca="1">Cashflow!AW21</f>
        <v>175000</v>
      </c>
      <c r="AR60" s="328">
        <f ca="1">Cashflow!AX21</f>
        <v>0</v>
      </c>
      <c r="AS60" s="328">
        <f ca="1">Cashflow!AY21</f>
        <v>175000</v>
      </c>
      <c r="AT60" s="328">
        <f ca="1">Cashflow!AZ21</f>
        <v>175000</v>
      </c>
      <c r="AU60" s="328">
        <f ca="1">Cashflow!BA21</f>
        <v>175000</v>
      </c>
      <c r="AV60" s="328">
        <f ca="1">Cashflow!BB21</f>
        <v>175000</v>
      </c>
      <c r="AW60" s="328">
        <f ca="1">Cashflow!BC21</f>
        <v>175000</v>
      </c>
      <c r="AX60" s="328">
        <f ca="1">Cashflow!BD21</f>
        <v>175000</v>
      </c>
      <c r="AY60" s="328">
        <f ca="1">Cashflow!BE21</f>
        <v>175000</v>
      </c>
      <c r="AZ60" s="328">
        <f ca="1">Cashflow!BF21</f>
        <v>175000</v>
      </c>
      <c r="BA60" s="328">
        <f ca="1">Cashflow!BG21</f>
        <v>175000</v>
      </c>
      <c r="BB60" s="328">
        <f ca="1">Cashflow!BH21</f>
        <v>175000</v>
      </c>
      <c r="BC60" s="328">
        <f ca="1">Cashflow!BI21</f>
        <v>175000</v>
      </c>
      <c r="BD60" s="328">
        <f ca="1">Cashflow!BJ21</f>
        <v>175000</v>
      </c>
      <c r="BE60" s="328">
        <f ca="1">Cashflow!BK21</f>
        <v>175000</v>
      </c>
      <c r="BF60" s="328">
        <f ca="1">Cashflow!BL21</f>
        <v>175000</v>
      </c>
      <c r="BG60" s="328">
        <f ca="1">Cashflow!BM21</f>
        <v>175000</v>
      </c>
      <c r="BH60" s="328">
        <f ca="1">Cashflow!BN21</f>
        <v>175000</v>
      </c>
      <c r="BI60" s="328">
        <f ca="1">Cashflow!BO21</f>
        <v>175000</v>
      </c>
      <c r="BJ60" s="328">
        <f ca="1">Cashflow!BP21</f>
        <v>175000</v>
      </c>
      <c r="BK60" s="328">
        <f ca="1">Cashflow!BQ21</f>
        <v>175000</v>
      </c>
      <c r="BS60" s="329"/>
      <c r="BT60" s="329"/>
      <c r="BU60" s="329"/>
      <c r="BV60" s="329"/>
      <c r="BW60" s="329"/>
      <c r="BX60" s="329"/>
      <c r="BY60" s="329"/>
      <c r="BZ60" s="329"/>
      <c r="CA60" s="329"/>
      <c r="CB60" s="329"/>
      <c r="CC60" s="329"/>
      <c r="CD60" s="329"/>
      <c r="CE60" s="329"/>
      <c r="CF60" s="329"/>
      <c r="CG60" s="329"/>
      <c r="CH60" s="329"/>
      <c r="CI60" s="329"/>
      <c r="CJ60" s="329"/>
      <c r="CK60" s="329"/>
      <c r="CL60" s="329"/>
      <c r="CM60" s="329"/>
      <c r="CN60" s="329"/>
      <c r="CO60" s="329"/>
      <c r="CP60" s="329"/>
      <c r="CQ60" s="329"/>
      <c r="CR60" s="329"/>
      <c r="CS60" s="329"/>
      <c r="CT60" s="329"/>
      <c r="CU60" s="329"/>
      <c r="CV60" s="329"/>
      <c r="CW60" s="329"/>
      <c r="CX60" s="329"/>
      <c r="CY60" s="329"/>
      <c r="CZ60" s="329"/>
      <c r="DA60" s="329"/>
      <c r="DB60" s="329"/>
      <c r="DC60" s="329"/>
      <c r="DD60" s="329"/>
      <c r="DE60" s="329"/>
      <c r="DF60" s="329"/>
      <c r="DG60" s="329"/>
      <c r="DH60" s="329"/>
      <c r="DI60" s="329"/>
      <c r="DJ60" s="329"/>
      <c r="DK60" s="329"/>
      <c r="DL60" s="329"/>
      <c r="DM60" s="329"/>
      <c r="DN60" s="329"/>
      <c r="DO60" s="329"/>
      <c r="DP60" s="329"/>
      <c r="DQ60" s="329"/>
      <c r="DR60" s="329"/>
      <c r="DS60" s="329"/>
      <c r="DT60" s="329"/>
      <c r="DU60" s="329"/>
      <c r="DV60" s="329"/>
      <c r="DW60" s="329"/>
      <c r="DX60" s="329"/>
      <c r="DY60" s="329"/>
      <c r="DZ60" s="329"/>
      <c r="EA60" s="329"/>
      <c r="EB60" s="329"/>
      <c r="EC60" s="329"/>
      <c r="ED60" s="329"/>
      <c r="EE60" s="329"/>
      <c r="EF60" s="329"/>
      <c r="EG60" s="329"/>
      <c r="EH60" s="329"/>
      <c r="EI60" s="329"/>
      <c r="EJ60" s="329"/>
      <c r="EK60" s="329"/>
      <c r="EL60" s="329"/>
      <c r="EM60" s="329"/>
      <c r="EN60" s="329"/>
      <c r="EO60" s="329"/>
      <c r="EP60" s="329"/>
      <c r="EQ60" s="329"/>
      <c r="ER60" s="329"/>
      <c r="ES60" s="329"/>
      <c r="ET60" s="329"/>
      <c r="EU60" s="329"/>
      <c r="EV60" s="329"/>
      <c r="EW60" s="329"/>
      <c r="EX60" s="329"/>
      <c r="EY60" s="329"/>
      <c r="EZ60" s="329"/>
      <c r="FA60" s="329"/>
      <c r="FB60" s="329"/>
      <c r="FC60" s="329"/>
      <c r="FD60" s="329"/>
      <c r="FE60" s="329"/>
      <c r="FF60" s="329"/>
      <c r="FG60" s="329"/>
      <c r="FH60" s="329"/>
      <c r="FI60" s="329"/>
      <c r="FJ60" s="329"/>
      <c r="FK60" s="329"/>
      <c r="FL60" s="329"/>
      <c r="FM60" s="329"/>
      <c r="FN60" s="329"/>
      <c r="FO60" s="329"/>
      <c r="FP60" s="329"/>
      <c r="FQ60" s="329"/>
      <c r="FR60" s="329"/>
      <c r="FS60" s="329"/>
      <c r="FT60" s="329"/>
      <c r="FU60" s="329"/>
      <c r="FV60" s="329"/>
      <c r="FW60" s="329"/>
      <c r="FX60" s="329"/>
      <c r="FY60" s="329"/>
      <c r="FZ60" s="329"/>
      <c r="GA60" s="329"/>
      <c r="GB60" s="329"/>
      <c r="GC60" s="329"/>
      <c r="GD60" s="329"/>
      <c r="GE60" s="329"/>
      <c r="GF60" s="329"/>
      <c r="GG60" s="329"/>
      <c r="GH60" s="329"/>
      <c r="GI60" s="329"/>
      <c r="GJ60" s="329"/>
      <c r="GK60" s="329"/>
      <c r="GL60" s="329"/>
      <c r="GM60" s="329"/>
      <c r="GN60" s="329"/>
      <c r="GO60" s="329"/>
      <c r="GP60" s="329"/>
      <c r="GQ60" s="329"/>
      <c r="GR60" s="329"/>
      <c r="GS60" s="329"/>
      <c r="GT60" s="329"/>
      <c r="GU60" s="329"/>
      <c r="GV60" s="329"/>
      <c r="GW60" s="329"/>
      <c r="GX60" s="329"/>
      <c r="GY60" s="329"/>
      <c r="GZ60" s="329"/>
      <c r="HA60" s="329"/>
      <c r="HB60" s="329"/>
      <c r="HC60" s="329"/>
      <c r="HD60" s="329"/>
      <c r="HE60" s="329"/>
      <c r="HF60" s="329"/>
      <c r="HG60" s="329"/>
      <c r="HH60" s="329"/>
      <c r="HI60" s="329"/>
      <c r="HJ60" s="329"/>
      <c r="HK60" s="329"/>
      <c r="HL60" s="329"/>
      <c r="HM60" s="329"/>
      <c r="HN60" s="329"/>
      <c r="HO60" s="329"/>
      <c r="HP60" s="329"/>
      <c r="HQ60" s="329"/>
      <c r="HR60" s="329"/>
      <c r="HS60" s="329"/>
      <c r="HT60" s="329"/>
      <c r="HU60" s="329"/>
      <c r="HV60" s="329"/>
      <c r="HW60" s="329"/>
      <c r="HX60" s="329"/>
      <c r="HY60" s="329"/>
      <c r="HZ60" s="329"/>
      <c r="IA60" s="329"/>
      <c r="IB60" s="329"/>
      <c r="IC60" s="329"/>
      <c r="ID60" s="329"/>
      <c r="IE60" s="329"/>
      <c r="IF60" s="329"/>
      <c r="IG60" s="329"/>
      <c r="IH60" s="329"/>
      <c r="II60" s="329"/>
      <c r="IJ60" s="329"/>
      <c r="IK60" s="329"/>
      <c r="IL60" s="329"/>
      <c r="IM60" s="329"/>
      <c r="IN60" s="329"/>
      <c r="IO60" s="329"/>
      <c r="IP60" s="329"/>
      <c r="IQ60" s="329"/>
      <c r="IR60" s="329"/>
    </row>
    <row r="61" spans="1:252" s="332" customFormat="1">
      <c r="A61" s="323"/>
      <c r="B61" s="327" t="str">
        <f>Cashflow!E22</f>
        <v xml:space="preserve">Asset Finance principal repayment </v>
      </c>
      <c r="C61" s="324"/>
      <c r="D61" s="328">
        <f>Cashflow!J22</f>
        <v>0</v>
      </c>
      <c r="E61" s="328">
        <f ca="1">Cashflow!K22</f>
        <v>-7291.666666666667</v>
      </c>
      <c r="F61" s="328">
        <f ca="1">Cashflow!L22</f>
        <v>-6987.8472222222226</v>
      </c>
      <c r="G61" s="328">
        <f ca="1">Cashflow!M22</f>
        <v>-6696.6869212962965</v>
      </c>
      <c r="H61" s="328">
        <f ca="1">Cashflow!N22</f>
        <v>-6417.658299575618</v>
      </c>
      <c r="I61" s="328">
        <f ca="1">Cashflow!O22</f>
        <v>-6150.2558704266339</v>
      </c>
      <c r="J61" s="328">
        <f ca="1">Cashflow!P22</f>
        <v>-5893.9952091588575</v>
      </c>
      <c r="K61" s="328">
        <f ca="1">Cashflow!Q22</f>
        <v>-12940.078742110572</v>
      </c>
      <c r="L61" s="328">
        <f ca="1">Cashflow!R22</f>
        <v>-12400.908794522633</v>
      </c>
      <c r="M61" s="328">
        <f ca="1">Cashflow!S22</f>
        <v>-11884.204261417523</v>
      </c>
      <c r="N61" s="328">
        <f ca="1">Cashflow!T22</f>
        <v>-11389.029083858461</v>
      </c>
      <c r="O61" s="328">
        <f ca="1">Cashflow!U22</f>
        <v>-10914.486205364357</v>
      </c>
      <c r="P61" s="328">
        <f ca="1">Cashflow!V22</f>
        <v>-10459.71594680751</v>
      </c>
      <c r="Q61" s="328">
        <f ca="1">Cashflow!W22</f>
        <v>-17315.561115690532</v>
      </c>
      <c r="R61" s="328">
        <f ca="1">Cashflow!X22</f>
        <v>-16594.079402536761</v>
      </c>
      <c r="S61" s="328">
        <f ca="1">Cashflow!Y22</f>
        <v>-15902.659427431063</v>
      </c>
      <c r="T61" s="328">
        <f ca="1">Cashflow!Z22</f>
        <v>-15240.048617954768</v>
      </c>
      <c r="U61" s="328">
        <f ca="1">Cashflow!AA22</f>
        <v>-21896.713258873322</v>
      </c>
      <c r="V61" s="328">
        <f ca="1">Cashflow!AB22</f>
        <v>-20984.350206420266</v>
      </c>
      <c r="W61" s="328">
        <f ca="1">Cashflow!AC22</f>
        <v>-20110.002281152756</v>
      </c>
      <c r="X61" s="328">
        <f ca="1">Cashflow!AD22</f>
        <v>-19272.085519438057</v>
      </c>
      <c r="Y61" s="328">
        <f ca="1">Cashflow!AE22</f>
        <v>-25760.748622794807</v>
      </c>
      <c r="Z61" s="328">
        <f ca="1">Cashflow!AF22</f>
        <v>-24687.384096845024</v>
      </c>
      <c r="AA61" s="328">
        <f ca="1">Cashflow!AG22</f>
        <v>-23658.743092809815</v>
      </c>
      <c r="AB61" s="328">
        <f ca="1">Cashflow!AH22</f>
        <v>-29964.628797276073</v>
      </c>
      <c r="AC61" s="328">
        <f ca="1">Cashflow!AI22</f>
        <v>-28716.10259738957</v>
      </c>
      <c r="AD61" s="328">
        <f ca="1">Cashflow!AJ22</f>
        <v>-34811.264989165</v>
      </c>
      <c r="AE61" s="328">
        <f ca="1">Cashflow!AK22</f>
        <v>-33360.795614616458</v>
      </c>
      <c r="AF61" s="328">
        <f ca="1">Cashflow!AL22</f>
        <v>-31970.762464007439</v>
      </c>
      <c r="AG61" s="328">
        <f ca="1">Cashflow!AM22</f>
        <v>-37930.314028007131</v>
      </c>
      <c r="AH61" s="328">
        <f ca="1">Cashflow!AN22</f>
        <v>-36349.884276840166</v>
      </c>
      <c r="AI61" s="328">
        <f ca="1">Cashflow!AO22</f>
        <v>-34835.305765305158</v>
      </c>
      <c r="AJ61" s="328">
        <f ca="1">Cashflow!AP22</f>
        <v>-40675.501358417445</v>
      </c>
      <c r="AK61" s="328">
        <f ca="1">Cashflow!AQ22</f>
        <v>-38980.688801816716</v>
      </c>
      <c r="AL61" s="328">
        <f ca="1">Cashflow!AR22</f>
        <v>-44648.160101741028</v>
      </c>
      <c r="AM61" s="328">
        <f ca="1">Cashflow!AS22</f>
        <v>-42787.820097501819</v>
      </c>
      <c r="AN61" s="328">
        <f ca="1">Cashflow!AT22</f>
        <v>-48296.660926772573</v>
      </c>
      <c r="AO61" s="328">
        <f ca="1">Cashflow!AU22</f>
        <v>-53575.966721490382</v>
      </c>
      <c r="AP61" s="328">
        <f ca="1">Cashflow!AV22</f>
        <v>-51343.634774761616</v>
      </c>
      <c r="AQ61" s="328">
        <f ca="1">Cashflow!AW22</f>
        <v>-56495.98332581322</v>
      </c>
      <c r="AR61" s="328">
        <f ca="1">Cashflow!AX22</f>
        <v>-61433.65068723767</v>
      </c>
      <c r="AS61" s="328">
        <f ca="1">Cashflow!AY22</f>
        <v>-58873.915241936098</v>
      </c>
      <c r="AT61" s="328">
        <f ca="1">Cashflow!AZ22</f>
        <v>-63712.502106855427</v>
      </c>
      <c r="AU61" s="328">
        <f ca="1">Cashflow!BA22</f>
        <v>-68349.481185736455</v>
      </c>
      <c r="AV61" s="328">
        <f ca="1">Cashflow!BB22</f>
        <v>-72793.252802997435</v>
      </c>
      <c r="AW61" s="328">
        <f ca="1">Cashflow!BC22</f>
        <v>-77051.867269539216</v>
      </c>
      <c r="AX61" s="328">
        <f ca="1">Cashflow!BD22</f>
        <v>-81133.039466641741</v>
      </c>
      <c r="AY61" s="328">
        <f ca="1">Cashflow!BE22</f>
        <v>-85044.162822198341</v>
      </c>
      <c r="AZ61" s="328">
        <f ca="1">Cashflow!BF22</f>
        <v>-88792.322704606748</v>
      </c>
      <c r="BA61" s="328">
        <f ca="1">Cashflow!BG22</f>
        <v>-92384.309258581474</v>
      </c>
      <c r="BB61" s="328">
        <f ca="1">Cashflow!BH22</f>
        <v>-95826.629706140564</v>
      </c>
      <c r="BC61" s="328">
        <f ca="1">Cashflow!BI22</f>
        <v>-99125.520135051382</v>
      </c>
      <c r="BD61" s="328">
        <f ca="1">Cashflow!BJ22</f>
        <v>-102286.95679609089</v>
      </c>
      <c r="BE61" s="328">
        <f ca="1">Cashflow!BK22</f>
        <v>-105316.6669295871</v>
      </c>
      <c r="BF61" s="328">
        <f ca="1">Cashflow!BL22</f>
        <v>-108220.1391408543</v>
      </c>
      <c r="BG61" s="328">
        <f ca="1">Cashflow!BM22</f>
        <v>-111002.63334331871</v>
      </c>
      <c r="BH61" s="328">
        <f ca="1">Cashflow!BN22</f>
        <v>-113669.19028734711</v>
      </c>
      <c r="BI61" s="328">
        <f ca="1">Cashflow!BO22</f>
        <v>-116224.64069204098</v>
      </c>
      <c r="BJ61" s="328">
        <f ca="1">Cashflow!BP22</f>
        <v>-118673.61399653928</v>
      </c>
      <c r="BK61" s="328">
        <f ca="1">Cashflow!BQ22</f>
        <v>-121020.54674668348</v>
      </c>
      <c r="BL61" s="323"/>
      <c r="BM61" s="323"/>
      <c r="BN61" s="323"/>
      <c r="BO61" s="323"/>
      <c r="BP61" s="323"/>
      <c r="BQ61" s="323"/>
      <c r="BR61" s="323"/>
      <c r="BS61" s="323"/>
      <c r="BT61" s="323"/>
      <c r="BU61" s="323"/>
      <c r="BV61" s="323"/>
      <c r="BW61" s="323"/>
      <c r="BX61" s="323"/>
      <c r="BY61" s="323"/>
      <c r="BZ61" s="323"/>
      <c r="CA61" s="323"/>
      <c r="CB61" s="323"/>
      <c r="CC61" s="323"/>
      <c r="CD61" s="323"/>
      <c r="CE61" s="323"/>
      <c r="CF61" s="323"/>
      <c r="CG61" s="323"/>
      <c r="CH61" s="323"/>
      <c r="CI61" s="323"/>
      <c r="CJ61" s="323"/>
      <c r="CK61" s="323"/>
      <c r="CL61" s="323"/>
      <c r="CM61" s="323"/>
      <c r="CN61" s="323"/>
      <c r="CO61" s="323"/>
      <c r="CP61" s="323"/>
      <c r="CQ61" s="323"/>
      <c r="CR61" s="323"/>
      <c r="CS61" s="323"/>
      <c r="CT61" s="323"/>
      <c r="CU61" s="323"/>
      <c r="CV61" s="323"/>
      <c r="CW61" s="323"/>
      <c r="CX61" s="323"/>
      <c r="CY61" s="323"/>
      <c r="CZ61" s="323"/>
      <c r="DA61" s="323"/>
      <c r="DB61" s="323"/>
      <c r="DC61" s="323"/>
      <c r="DD61" s="323"/>
      <c r="DE61" s="323"/>
      <c r="DF61" s="323"/>
      <c r="DG61" s="323"/>
      <c r="DH61" s="323"/>
      <c r="DI61" s="323"/>
      <c r="DJ61" s="323"/>
      <c r="DK61" s="323"/>
      <c r="DL61" s="323"/>
      <c r="DM61" s="323"/>
      <c r="DN61" s="323"/>
      <c r="DO61" s="323"/>
      <c r="DP61" s="323"/>
      <c r="DQ61" s="323"/>
      <c r="DR61" s="323"/>
      <c r="DS61" s="323"/>
      <c r="DT61" s="323"/>
      <c r="DU61" s="323"/>
      <c r="DV61" s="323"/>
      <c r="DW61" s="323"/>
      <c r="DX61" s="323"/>
      <c r="DY61" s="323"/>
      <c r="DZ61" s="323"/>
      <c r="EA61" s="323"/>
      <c r="EB61" s="323"/>
      <c r="EC61" s="323"/>
      <c r="ED61" s="323"/>
      <c r="EE61" s="323"/>
      <c r="EF61" s="323"/>
      <c r="EG61" s="323"/>
      <c r="EH61" s="323"/>
      <c r="EI61" s="323"/>
      <c r="EJ61" s="323"/>
      <c r="EK61" s="323"/>
      <c r="EL61" s="323"/>
      <c r="EM61" s="323"/>
      <c r="EN61" s="323"/>
      <c r="EO61" s="323"/>
      <c r="EP61" s="323"/>
      <c r="EQ61" s="323"/>
      <c r="ER61" s="323"/>
      <c r="ES61" s="323"/>
      <c r="ET61" s="323"/>
      <c r="EU61" s="323"/>
      <c r="EV61" s="323"/>
      <c r="EW61" s="323"/>
      <c r="EX61" s="323"/>
      <c r="EY61" s="323"/>
      <c r="EZ61" s="323"/>
      <c r="FA61" s="323"/>
      <c r="FB61" s="323"/>
      <c r="FC61" s="323"/>
      <c r="FD61" s="323"/>
      <c r="FE61" s="323"/>
      <c r="FF61" s="323"/>
      <c r="FG61" s="323"/>
      <c r="FH61" s="323"/>
      <c r="FI61" s="323"/>
      <c r="FJ61" s="323"/>
      <c r="FK61" s="323"/>
      <c r="FL61" s="323"/>
      <c r="FM61" s="323"/>
      <c r="FN61" s="323"/>
      <c r="FO61" s="323"/>
      <c r="FP61" s="323"/>
      <c r="FQ61" s="323"/>
      <c r="FR61" s="323"/>
      <c r="FS61" s="323"/>
      <c r="FT61" s="323"/>
      <c r="FU61" s="323"/>
      <c r="FV61" s="323"/>
      <c r="FW61" s="323"/>
      <c r="FX61" s="323"/>
      <c r="FY61" s="323"/>
      <c r="FZ61" s="323"/>
      <c r="GA61" s="323"/>
      <c r="GB61" s="323"/>
      <c r="GC61" s="323"/>
      <c r="GD61" s="323"/>
      <c r="GE61" s="323"/>
      <c r="GF61" s="323"/>
      <c r="GG61" s="323"/>
      <c r="GH61" s="323"/>
      <c r="GI61" s="323"/>
      <c r="GJ61" s="323"/>
      <c r="GK61" s="323"/>
      <c r="GL61" s="323"/>
      <c r="GM61" s="323"/>
      <c r="GN61" s="323"/>
      <c r="GO61" s="323"/>
      <c r="GP61" s="323"/>
      <c r="GQ61" s="323"/>
      <c r="GR61" s="323"/>
      <c r="GS61" s="323"/>
      <c r="GT61" s="323"/>
      <c r="GU61" s="323"/>
      <c r="GV61" s="323"/>
      <c r="GW61" s="323"/>
      <c r="GX61" s="323"/>
      <c r="GY61" s="323"/>
      <c r="GZ61" s="323"/>
      <c r="HA61" s="323"/>
      <c r="HB61" s="323"/>
      <c r="HC61" s="323"/>
      <c r="HD61" s="323"/>
      <c r="HE61" s="323"/>
      <c r="HF61" s="323"/>
      <c r="HG61" s="323"/>
      <c r="HH61" s="323"/>
      <c r="HI61" s="323"/>
      <c r="HJ61" s="323"/>
      <c r="HK61" s="323"/>
      <c r="HL61" s="323"/>
      <c r="HM61" s="323"/>
      <c r="HN61" s="323"/>
      <c r="HO61" s="323"/>
      <c r="HP61" s="323"/>
      <c r="HQ61" s="323"/>
      <c r="HR61" s="323"/>
      <c r="HS61" s="323"/>
      <c r="HT61" s="323"/>
      <c r="HU61" s="323"/>
      <c r="HV61" s="323"/>
      <c r="HW61" s="323"/>
      <c r="HX61" s="323"/>
      <c r="HY61" s="323"/>
      <c r="HZ61" s="323"/>
      <c r="IA61" s="323"/>
      <c r="IB61" s="323"/>
      <c r="IC61" s="323"/>
      <c r="ID61" s="323"/>
      <c r="IE61" s="323"/>
      <c r="IF61" s="323"/>
      <c r="IG61" s="323"/>
      <c r="IH61" s="323"/>
      <c r="II61" s="323"/>
      <c r="IJ61" s="323"/>
      <c r="IK61" s="323"/>
      <c r="IL61" s="323"/>
      <c r="IM61" s="323"/>
      <c r="IN61" s="323"/>
      <c r="IO61" s="323"/>
      <c r="IP61" s="323"/>
      <c r="IQ61" s="323"/>
      <c r="IR61" s="323"/>
    </row>
    <row r="62" spans="1:252">
      <c r="B62" s="327" t="str">
        <f>Cashflow!E23</f>
        <v xml:space="preserve">Supply Chain Finance interest paid </v>
      </c>
      <c r="C62" s="324"/>
      <c r="D62" s="328">
        <f>Cashflow!J23</f>
        <v>0</v>
      </c>
      <c r="E62" s="328">
        <f ca="1">Cashflow!K23</f>
        <v>0</v>
      </c>
      <c r="F62" s="328">
        <f ca="1">Cashflow!L23</f>
        <v>0</v>
      </c>
      <c r="G62" s="328">
        <f ca="1">Cashflow!M23</f>
        <v>0</v>
      </c>
      <c r="H62" s="328">
        <f ca="1">Cashflow!N23</f>
        <v>0</v>
      </c>
      <c r="I62" s="328">
        <f ca="1">Cashflow!O23</f>
        <v>0</v>
      </c>
      <c r="J62" s="328">
        <f ca="1">Cashflow!P23</f>
        <v>0</v>
      </c>
      <c r="K62" s="328">
        <f ca="1">Cashflow!Q23</f>
        <v>0</v>
      </c>
      <c r="L62" s="328">
        <f ca="1">Cashflow!R23</f>
        <v>0</v>
      </c>
      <c r="M62" s="328">
        <f ca="1">Cashflow!S23</f>
        <v>0</v>
      </c>
      <c r="N62" s="328">
        <f ca="1">Cashflow!T23</f>
        <v>0</v>
      </c>
      <c r="O62" s="328">
        <f ca="1">Cashflow!U23</f>
        <v>0</v>
      </c>
      <c r="P62" s="328">
        <f ca="1">Cashflow!V23</f>
        <v>0</v>
      </c>
      <c r="Q62" s="328">
        <f ca="1">Cashflow!W23</f>
        <v>0</v>
      </c>
      <c r="R62" s="328">
        <f ca="1">Cashflow!X23</f>
        <v>0</v>
      </c>
      <c r="S62" s="328">
        <f ca="1">Cashflow!Y23</f>
        <v>0</v>
      </c>
      <c r="T62" s="328">
        <f ca="1">Cashflow!Z23</f>
        <v>0</v>
      </c>
      <c r="U62" s="328">
        <f ca="1">Cashflow!AA23</f>
        <v>0</v>
      </c>
      <c r="V62" s="328">
        <f ca="1">Cashflow!AB23</f>
        <v>0</v>
      </c>
      <c r="W62" s="328">
        <f ca="1">Cashflow!AC23</f>
        <v>0</v>
      </c>
      <c r="X62" s="328">
        <f ca="1">Cashflow!AD23</f>
        <v>0</v>
      </c>
      <c r="Y62" s="328">
        <f ca="1">Cashflow!AE23</f>
        <v>0</v>
      </c>
      <c r="Z62" s="328">
        <f ca="1">Cashflow!AF23</f>
        <v>0</v>
      </c>
      <c r="AA62" s="328">
        <f ca="1">Cashflow!AG23</f>
        <v>0</v>
      </c>
      <c r="AB62" s="328">
        <f ca="1">Cashflow!AH23</f>
        <v>0</v>
      </c>
      <c r="AC62" s="328">
        <f ca="1">Cashflow!AI23</f>
        <v>0</v>
      </c>
      <c r="AD62" s="328">
        <f ca="1">Cashflow!AJ23</f>
        <v>0</v>
      </c>
      <c r="AE62" s="328">
        <f ca="1">Cashflow!AK23</f>
        <v>0</v>
      </c>
      <c r="AF62" s="328">
        <f ca="1">Cashflow!AL23</f>
        <v>0</v>
      </c>
      <c r="AG62" s="328">
        <f ca="1">Cashflow!AM23</f>
        <v>0</v>
      </c>
      <c r="AH62" s="328">
        <f ca="1">Cashflow!AN23</f>
        <v>0</v>
      </c>
      <c r="AI62" s="328">
        <f ca="1">Cashflow!AO23</f>
        <v>0</v>
      </c>
      <c r="AJ62" s="328">
        <f ca="1">Cashflow!AP23</f>
        <v>0</v>
      </c>
      <c r="AK62" s="328">
        <f ca="1">Cashflow!AQ23</f>
        <v>0</v>
      </c>
      <c r="AL62" s="328">
        <f ca="1">Cashflow!AR23</f>
        <v>0</v>
      </c>
      <c r="AM62" s="328">
        <f ca="1">Cashflow!AS23</f>
        <v>0</v>
      </c>
      <c r="AN62" s="328">
        <f ca="1">Cashflow!AT23</f>
        <v>0</v>
      </c>
      <c r="AO62" s="328">
        <f ca="1">Cashflow!AU23</f>
        <v>0</v>
      </c>
      <c r="AP62" s="328">
        <f ca="1">Cashflow!AV23</f>
        <v>0</v>
      </c>
      <c r="AQ62" s="328">
        <f ca="1">Cashflow!AW23</f>
        <v>0</v>
      </c>
      <c r="AR62" s="328">
        <f ca="1">Cashflow!AX23</f>
        <v>0</v>
      </c>
      <c r="AS62" s="328">
        <f ca="1">Cashflow!AY23</f>
        <v>0</v>
      </c>
      <c r="AT62" s="328">
        <f ca="1">Cashflow!AZ23</f>
        <v>0</v>
      </c>
      <c r="AU62" s="328">
        <f ca="1">Cashflow!BA23</f>
        <v>0</v>
      </c>
      <c r="AV62" s="328">
        <f ca="1">Cashflow!BB23</f>
        <v>0</v>
      </c>
      <c r="AW62" s="328">
        <f ca="1">Cashflow!BC23</f>
        <v>0</v>
      </c>
      <c r="AX62" s="328">
        <f ca="1">Cashflow!BD23</f>
        <v>0</v>
      </c>
      <c r="AY62" s="328">
        <f ca="1">Cashflow!BE23</f>
        <v>0</v>
      </c>
      <c r="AZ62" s="328">
        <f ca="1">Cashflow!BF23</f>
        <v>0</v>
      </c>
      <c r="BA62" s="328">
        <f ca="1">Cashflow!BG23</f>
        <v>0</v>
      </c>
      <c r="BB62" s="328">
        <f ca="1">Cashflow!BH23</f>
        <v>0</v>
      </c>
      <c r="BC62" s="328">
        <f ca="1">Cashflow!BI23</f>
        <v>0</v>
      </c>
      <c r="BD62" s="328">
        <f ca="1">Cashflow!BJ23</f>
        <v>0</v>
      </c>
      <c r="BE62" s="328">
        <f ca="1">Cashflow!BK23</f>
        <v>0</v>
      </c>
      <c r="BF62" s="328">
        <f ca="1">Cashflow!BL23</f>
        <v>0</v>
      </c>
      <c r="BG62" s="328">
        <f ca="1">Cashflow!BM23</f>
        <v>0</v>
      </c>
      <c r="BH62" s="328">
        <f ca="1">Cashflow!BN23</f>
        <v>0</v>
      </c>
      <c r="BI62" s="328">
        <f ca="1">Cashflow!BO23</f>
        <v>0</v>
      </c>
      <c r="BJ62" s="328">
        <f ca="1">Cashflow!BP23</f>
        <v>0</v>
      </c>
      <c r="BK62" s="328">
        <f ca="1">Cashflow!BQ23</f>
        <v>0</v>
      </c>
      <c r="BL62" s="334"/>
      <c r="BM62" s="334"/>
      <c r="BN62" s="334"/>
      <c r="BO62" s="334"/>
      <c r="BP62" s="334"/>
      <c r="BQ62" s="334"/>
      <c r="BR62" s="334"/>
      <c r="BS62" s="334"/>
      <c r="BT62" s="334"/>
      <c r="BU62" s="334"/>
      <c r="BV62" s="334"/>
      <c r="BW62" s="334"/>
      <c r="BX62" s="334"/>
      <c r="BY62" s="334"/>
      <c r="BZ62" s="334"/>
      <c r="CA62" s="334"/>
      <c r="CB62" s="334"/>
      <c r="CC62" s="334"/>
      <c r="CD62" s="334"/>
      <c r="CE62" s="334"/>
      <c r="CF62" s="334"/>
      <c r="CG62" s="334"/>
      <c r="CH62" s="334"/>
      <c r="CI62" s="334"/>
      <c r="CJ62" s="334"/>
      <c r="CK62" s="334"/>
      <c r="CL62" s="334"/>
      <c r="CM62" s="334"/>
      <c r="CN62" s="334"/>
      <c r="CO62" s="334"/>
      <c r="CP62" s="334"/>
      <c r="CQ62" s="334"/>
      <c r="CR62" s="334"/>
      <c r="CS62" s="334"/>
      <c r="CT62" s="334"/>
      <c r="CU62" s="334"/>
      <c r="CV62" s="334"/>
      <c r="CW62" s="334"/>
      <c r="CX62" s="334"/>
      <c r="CY62" s="334"/>
      <c r="CZ62" s="334"/>
      <c r="DA62" s="334"/>
      <c r="DB62" s="334"/>
      <c r="DC62" s="334"/>
      <c r="DD62" s="334"/>
      <c r="DE62" s="334"/>
      <c r="DF62" s="334"/>
      <c r="DG62" s="334"/>
      <c r="DH62" s="334"/>
      <c r="DI62" s="334"/>
      <c r="DJ62" s="334"/>
      <c r="DK62" s="334"/>
      <c r="DL62" s="334"/>
      <c r="DM62" s="334"/>
      <c r="DN62" s="334"/>
      <c r="DO62" s="334"/>
      <c r="DP62" s="334"/>
      <c r="DQ62" s="334"/>
      <c r="DR62" s="334"/>
      <c r="DS62" s="334"/>
      <c r="DT62" s="334"/>
      <c r="DU62" s="334"/>
      <c r="DV62" s="334"/>
      <c r="DW62" s="334"/>
      <c r="DX62" s="334"/>
      <c r="DY62" s="334"/>
      <c r="DZ62" s="334"/>
      <c r="EA62" s="334"/>
      <c r="EB62" s="334"/>
      <c r="EC62" s="334"/>
      <c r="ED62" s="334"/>
      <c r="EE62" s="334"/>
      <c r="EF62" s="334"/>
      <c r="EG62" s="334"/>
      <c r="EH62" s="334"/>
      <c r="EI62" s="334"/>
      <c r="EJ62" s="334"/>
      <c r="EK62" s="334"/>
      <c r="EL62" s="334"/>
      <c r="EM62" s="334"/>
      <c r="EN62" s="334"/>
      <c r="EO62" s="334"/>
      <c r="EP62" s="334"/>
      <c r="EQ62" s="334"/>
      <c r="ER62" s="334"/>
      <c r="ES62" s="334"/>
      <c r="ET62" s="334"/>
      <c r="EU62" s="334"/>
      <c r="EV62" s="334"/>
      <c r="EW62" s="334"/>
      <c r="EX62" s="334"/>
      <c r="EY62" s="334"/>
      <c r="EZ62" s="334"/>
      <c r="FA62" s="334"/>
      <c r="FB62" s="334"/>
      <c r="FC62" s="334"/>
      <c r="FD62" s="334"/>
      <c r="FE62" s="334"/>
      <c r="FF62" s="334"/>
      <c r="FG62" s="334"/>
      <c r="FH62" s="334"/>
      <c r="FI62" s="334"/>
      <c r="FJ62" s="334"/>
      <c r="FK62" s="334"/>
      <c r="FL62" s="334"/>
      <c r="FM62" s="334"/>
      <c r="FN62" s="334"/>
      <c r="FO62" s="334"/>
      <c r="FP62" s="334"/>
      <c r="FQ62" s="334"/>
      <c r="FR62" s="334"/>
      <c r="FS62" s="334"/>
      <c r="FT62" s="334"/>
      <c r="FU62" s="334"/>
      <c r="FV62" s="334"/>
      <c r="FW62" s="334"/>
      <c r="FX62" s="334"/>
      <c r="FY62" s="334"/>
      <c r="FZ62" s="334"/>
      <c r="GA62" s="334"/>
      <c r="GB62" s="334"/>
      <c r="GC62" s="334"/>
      <c r="GD62" s="334"/>
      <c r="GE62" s="334"/>
      <c r="GF62" s="334"/>
      <c r="GG62" s="334"/>
      <c r="GH62" s="334"/>
      <c r="GI62" s="334"/>
      <c r="GJ62" s="334"/>
      <c r="GK62" s="334"/>
      <c r="GL62" s="334"/>
      <c r="GM62" s="334"/>
      <c r="GN62" s="334"/>
      <c r="GO62" s="334"/>
      <c r="GP62" s="334"/>
      <c r="GQ62" s="334"/>
      <c r="GR62" s="334"/>
      <c r="GS62" s="334"/>
      <c r="GT62" s="334"/>
      <c r="GU62" s="334"/>
      <c r="GV62" s="334"/>
      <c r="GW62" s="334"/>
      <c r="GX62" s="334"/>
      <c r="GY62" s="334"/>
      <c r="GZ62" s="334"/>
      <c r="HA62" s="334"/>
      <c r="HB62" s="334"/>
      <c r="HC62" s="334"/>
      <c r="HD62" s="334"/>
      <c r="HE62" s="334"/>
      <c r="HF62" s="334"/>
      <c r="HG62" s="334"/>
      <c r="HH62" s="334"/>
      <c r="HI62" s="334"/>
      <c r="HJ62" s="334"/>
      <c r="HK62" s="334"/>
      <c r="HL62" s="334"/>
      <c r="HM62" s="334"/>
      <c r="HN62" s="334"/>
      <c r="HO62" s="334"/>
      <c r="HP62" s="334"/>
      <c r="HQ62" s="334"/>
      <c r="HR62" s="334"/>
      <c r="HS62" s="334"/>
      <c r="HT62" s="334"/>
      <c r="HU62" s="334"/>
      <c r="HV62" s="334"/>
      <c r="HW62" s="334"/>
      <c r="HX62" s="334"/>
      <c r="HY62" s="334"/>
      <c r="HZ62" s="334"/>
      <c r="IA62" s="334"/>
      <c r="IB62" s="334"/>
      <c r="IC62" s="334"/>
      <c r="ID62" s="334"/>
      <c r="IE62" s="334"/>
      <c r="IF62" s="334"/>
      <c r="IG62" s="334"/>
      <c r="IH62" s="334"/>
      <c r="II62" s="334"/>
      <c r="IJ62" s="334"/>
      <c r="IK62" s="334"/>
      <c r="IL62" s="334"/>
      <c r="IM62" s="334"/>
      <c r="IN62" s="334"/>
      <c r="IO62" s="334"/>
      <c r="IP62" s="334"/>
      <c r="IQ62" s="334"/>
      <c r="IR62" s="334"/>
    </row>
    <row r="63" spans="1:252">
      <c r="B63" s="327" t="str">
        <f>Cashflow!E24</f>
        <v xml:space="preserve">Invoice finance interest paid </v>
      </c>
      <c r="C63" s="324"/>
      <c r="D63" s="328">
        <f>Cashflow!J24</f>
        <v>0</v>
      </c>
      <c r="E63" s="328">
        <f ca="1">Cashflow!K24</f>
        <v>0</v>
      </c>
      <c r="F63" s="328">
        <f ca="1">Cashflow!L24</f>
        <v>0</v>
      </c>
      <c r="G63" s="328">
        <f ca="1">Cashflow!M24</f>
        <v>0</v>
      </c>
      <c r="H63" s="328">
        <f ca="1">Cashflow!N24</f>
        <v>0</v>
      </c>
      <c r="I63" s="328">
        <f ca="1">Cashflow!O24</f>
        <v>0</v>
      </c>
      <c r="J63" s="328">
        <f ca="1">Cashflow!P24</f>
        <v>0</v>
      </c>
      <c r="K63" s="328">
        <f ca="1">Cashflow!Q24</f>
        <v>0</v>
      </c>
      <c r="L63" s="328">
        <f ca="1">Cashflow!R24</f>
        <v>0</v>
      </c>
      <c r="M63" s="328">
        <f ca="1">Cashflow!S24</f>
        <v>0</v>
      </c>
      <c r="N63" s="328">
        <f ca="1">Cashflow!T24</f>
        <v>0</v>
      </c>
      <c r="O63" s="328">
        <f ca="1">Cashflow!U24</f>
        <v>0</v>
      </c>
      <c r="P63" s="328">
        <f ca="1">Cashflow!V24</f>
        <v>0</v>
      </c>
      <c r="Q63" s="328">
        <f ca="1">Cashflow!W24</f>
        <v>0</v>
      </c>
      <c r="R63" s="328">
        <f ca="1">Cashflow!X24</f>
        <v>0</v>
      </c>
      <c r="S63" s="328">
        <f ca="1">Cashflow!Y24</f>
        <v>0</v>
      </c>
      <c r="T63" s="328">
        <f ca="1">Cashflow!Z24</f>
        <v>0</v>
      </c>
      <c r="U63" s="328">
        <f ca="1">Cashflow!AA24</f>
        <v>0</v>
      </c>
      <c r="V63" s="328">
        <f ca="1">Cashflow!AB24</f>
        <v>0</v>
      </c>
      <c r="W63" s="328">
        <f ca="1">Cashflow!AC24</f>
        <v>0</v>
      </c>
      <c r="X63" s="328">
        <f ca="1">Cashflow!AD24</f>
        <v>0</v>
      </c>
      <c r="Y63" s="328">
        <f ca="1">Cashflow!AE24</f>
        <v>0</v>
      </c>
      <c r="Z63" s="328">
        <f ca="1">Cashflow!AF24</f>
        <v>0</v>
      </c>
      <c r="AA63" s="328">
        <f ca="1">Cashflow!AG24</f>
        <v>0</v>
      </c>
      <c r="AB63" s="328">
        <f ca="1">Cashflow!AH24</f>
        <v>0</v>
      </c>
      <c r="AC63" s="328">
        <f ca="1">Cashflow!AI24</f>
        <v>0</v>
      </c>
      <c r="AD63" s="328">
        <f ca="1">Cashflow!AJ24</f>
        <v>0</v>
      </c>
      <c r="AE63" s="328">
        <f ca="1">Cashflow!AK24</f>
        <v>0</v>
      </c>
      <c r="AF63" s="328">
        <f ca="1">Cashflow!AL24</f>
        <v>0</v>
      </c>
      <c r="AG63" s="328">
        <f ca="1">Cashflow!AM24</f>
        <v>0</v>
      </c>
      <c r="AH63" s="328">
        <f ca="1">Cashflow!AN24</f>
        <v>0</v>
      </c>
      <c r="AI63" s="328">
        <f ca="1">Cashflow!AO24</f>
        <v>0</v>
      </c>
      <c r="AJ63" s="328">
        <f ca="1">Cashflow!AP24</f>
        <v>0</v>
      </c>
      <c r="AK63" s="328">
        <f ca="1">Cashflow!AQ24</f>
        <v>0</v>
      </c>
      <c r="AL63" s="328">
        <f ca="1">Cashflow!AR24</f>
        <v>0</v>
      </c>
      <c r="AM63" s="328">
        <f ca="1">Cashflow!AS24</f>
        <v>0</v>
      </c>
      <c r="AN63" s="328">
        <f ca="1">Cashflow!AT24</f>
        <v>0</v>
      </c>
      <c r="AO63" s="328">
        <f ca="1">Cashflow!AU24</f>
        <v>0</v>
      </c>
      <c r="AP63" s="328">
        <f ca="1">Cashflow!AV24</f>
        <v>0</v>
      </c>
      <c r="AQ63" s="328">
        <f ca="1">Cashflow!AW24</f>
        <v>0</v>
      </c>
      <c r="AR63" s="328">
        <f ca="1">Cashflow!AX24</f>
        <v>0</v>
      </c>
      <c r="AS63" s="328">
        <f ca="1">Cashflow!AY24</f>
        <v>0</v>
      </c>
      <c r="AT63" s="328">
        <f ca="1">Cashflow!AZ24</f>
        <v>0</v>
      </c>
      <c r="AU63" s="328">
        <f ca="1">Cashflow!BA24</f>
        <v>0</v>
      </c>
      <c r="AV63" s="328">
        <f ca="1">Cashflow!BB24</f>
        <v>0</v>
      </c>
      <c r="AW63" s="328">
        <f ca="1">Cashflow!BC24</f>
        <v>0</v>
      </c>
      <c r="AX63" s="328">
        <f ca="1">Cashflow!BD24</f>
        <v>0</v>
      </c>
      <c r="AY63" s="328">
        <f ca="1">Cashflow!BE24</f>
        <v>0</v>
      </c>
      <c r="AZ63" s="328">
        <f ca="1">Cashflow!BF24</f>
        <v>0</v>
      </c>
      <c r="BA63" s="328">
        <f ca="1">Cashflow!BG24</f>
        <v>0</v>
      </c>
      <c r="BB63" s="328">
        <f ca="1">Cashflow!BH24</f>
        <v>0</v>
      </c>
      <c r="BC63" s="328">
        <f ca="1">Cashflow!BI24</f>
        <v>0</v>
      </c>
      <c r="BD63" s="328">
        <f ca="1">Cashflow!BJ24</f>
        <v>0</v>
      </c>
      <c r="BE63" s="328">
        <f ca="1">Cashflow!BK24</f>
        <v>0</v>
      </c>
      <c r="BF63" s="328">
        <f ca="1">Cashflow!BL24</f>
        <v>0</v>
      </c>
      <c r="BG63" s="328">
        <f ca="1">Cashflow!BM24</f>
        <v>0</v>
      </c>
      <c r="BH63" s="328">
        <f ca="1">Cashflow!BN24</f>
        <v>0</v>
      </c>
      <c r="BI63" s="328">
        <f ca="1">Cashflow!BO24</f>
        <v>0</v>
      </c>
      <c r="BJ63" s="328">
        <f ca="1">Cashflow!BP24</f>
        <v>0</v>
      </c>
      <c r="BK63" s="328">
        <f ca="1">Cashflow!BQ24</f>
        <v>0</v>
      </c>
      <c r="BL63" s="334"/>
      <c r="BM63" s="334"/>
      <c r="BN63" s="334"/>
      <c r="BO63" s="334"/>
      <c r="BP63" s="334"/>
      <c r="BQ63" s="334"/>
      <c r="BR63" s="334"/>
      <c r="BS63" s="329"/>
      <c r="BT63" s="329"/>
      <c r="BU63" s="329"/>
      <c r="BV63" s="329"/>
      <c r="BW63" s="329"/>
      <c r="BX63" s="329"/>
      <c r="BY63" s="329"/>
      <c r="BZ63" s="329"/>
      <c r="CA63" s="329"/>
      <c r="CB63" s="329"/>
      <c r="CC63" s="329"/>
      <c r="CD63" s="329"/>
      <c r="CE63" s="329"/>
      <c r="CF63" s="329"/>
      <c r="CG63" s="329"/>
      <c r="CH63" s="329"/>
      <c r="CI63" s="329"/>
      <c r="CJ63" s="329"/>
      <c r="CK63" s="329"/>
      <c r="CL63" s="329"/>
      <c r="CM63" s="329"/>
      <c r="CN63" s="329"/>
      <c r="CO63" s="329"/>
      <c r="CP63" s="329"/>
      <c r="CQ63" s="329"/>
      <c r="CR63" s="329"/>
      <c r="CS63" s="329"/>
      <c r="CT63" s="329"/>
      <c r="CU63" s="329"/>
      <c r="CV63" s="329"/>
      <c r="CW63" s="329"/>
      <c r="CX63" s="329"/>
      <c r="CY63" s="329"/>
      <c r="CZ63" s="329"/>
      <c r="DA63" s="329"/>
      <c r="DB63" s="329"/>
      <c r="DC63" s="329"/>
      <c r="DD63" s="329"/>
      <c r="DE63" s="329"/>
      <c r="DF63" s="329"/>
      <c r="DG63" s="329"/>
      <c r="DH63" s="329"/>
      <c r="DI63" s="329"/>
      <c r="DJ63" s="329"/>
      <c r="DK63" s="329"/>
      <c r="DL63" s="329"/>
      <c r="DM63" s="329"/>
      <c r="DN63" s="329"/>
      <c r="DO63" s="329"/>
      <c r="DP63" s="329"/>
      <c r="DQ63" s="329"/>
      <c r="DR63" s="329"/>
      <c r="DS63" s="329"/>
      <c r="DT63" s="329"/>
      <c r="DU63" s="329"/>
      <c r="DV63" s="329"/>
      <c r="DW63" s="329"/>
      <c r="DX63" s="329"/>
      <c r="DY63" s="329"/>
      <c r="DZ63" s="329"/>
      <c r="EA63" s="329"/>
      <c r="EB63" s="329"/>
      <c r="EC63" s="329"/>
      <c r="ED63" s="329"/>
      <c r="EE63" s="329"/>
      <c r="EF63" s="329"/>
      <c r="EG63" s="329"/>
      <c r="EH63" s="329"/>
      <c r="EI63" s="329"/>
      <c r="EJ63" s="329"/>
      <c r="EK63" s="329"/>
      <c r="EL63" s="329"/>
      <c r="EM63" s="329"/>
      <c r="EN63" s="329"/>
      <c r="EO63" s="329"/>
      <c r="EP63" s="329"/>
      <c r="EQ63" s="329"/>
      <c r="ER63" s="329"/>
      <c r="ES63" s="329"/>
      <c r="ET63" s="329"/>
      <c r="EU63" s="329"/>
      <c r="EV63" s="329"/>
      <c r="EW63" s="329"/>
      <c r="EX63" s="329"/>
      <c r="EY63" s="329"/>
      <c r="EZ63" s="329"/>
      <c r="FA63" s="329"/>
      <c r="FB63" s="329"/>
      <c r="FC63" s="329"/>
      <c r="FD63" s="329"/>
      <c r="FE63" s="329"/>
      <c r="FF63" s="329"/>
      <c r="FG63" s="329"/>
      <c r="FH63" s="329"/>
      <c r="FI63" s="329"/>
      <c r="FJ63" s="329"/>
      <c r="FK63" s="329"/>
      <c r="FL63" s="329"/>
      <c r="FM63" s="329"/>
      <c r="FN63" s="329"/>
      <c r="FO63" s="329"/>
      <c r="FP63" s="329"/>
      <c r="FQ63" s="329"/>
      <c r="FR63" s="329"/>
      <c r="FS63" s="329"/>
      <c r="FT63" s="329"/>
      <c r="FU63" s="329"/>
      <c r="FV63" s="329"/>
      <c r="FW63" s="329"/>
      <c r="FX63" s="329"/>
      <c r="FY63" s="329"/>
      <c r="FZ63" s="329"/>
      <c r="GA63" s="329"/>
      <c r="GB63" s="329"/>
      <c r="GC63" s="329"/>
      <c r="GD63" s="329"/>
      <c r="GE63" s="329"/>
      <c r="GF63" s="329"/>
      <c r="GG63" s="329"/>
      <c r="GH63" s="329"/>
      <c r="GI63" s="329"/>
      <c r="GJ63" s="329"/>
      <c r="GK63" s="329"/>
      <c r="GL63" s="329"/>
      <c r="GM63" s="329"/>
      <c r="GN63" s="329"/>
      <c r="GO63" s="329"/>
      <c r="GP63" s="329"/>
      <c r="GQ63" s="329"/>
      <c r="GR63" s="329"/>
      <c r="GS63" s="329"/>
      <c r="GT63" s="329"/>
      <c r="GU63" s="329"/>
      <c r="GV63" s="329"/>
      <c r="GW63" s="329"/>
      <c r="GX63" s="329"/>
      <c r="GY63" s="329"/>
      <c r="GZ63" s="329"/>
      <c r="HA63" s="329"/>
      <c r="HB63" s="329"/>
      <c r="HC63" s="329"/>
      <c r="HD63" s="329"/>
      <c r="HE63" s="329"/>
      <c r="HF63" s="329"/>
      <c r="HG63" s="329"/>
      <c r="HH63" s="329"/>
      <c r="HI63" s="329"/>
      <c r="HJ63" s="329"/>
      <c r="HK63" s="329"/>
      <c r="HL63" s="329"/>
      <c r="HM63" s="329"/>
      <c r="HN63" s="329"/>
      <c r="HO63" s="329"/>
      <c r="HP63" s="329"/>
      <c r="HQ63" s="329"/>
      <c r="HR63" s="329"/>
      <c r="HS63" s="329"/>
      <c r="HT63" s="329"/>
      <c r="HU63" s="329"/>
      <c r="HV63" s="329"/>
      <c r="HW63" s="329"/>
      <c r="HX63" s="329"/>
      <c r="HY63" s="329"/>
      <c r="HZ63" s="329"/>
      <c r="IA63" s="329"/>
      <c r="IB63" s="329"/>
      <c r="IC63" s="329"/>
      <c r="ID63" s="329"/>
      <c r="IE63" s="329"/>
      <c r="IF63" s="329"/>
      <c r="IG63" s="329"/>
      <c r="IH63" s="329"/>
      <c r="II63" s="329"/>
      <c r="IJ63" s="329"/>
      <c r="IK63" s="329"/>
      <c r="IL63" s="329"/>
      <c r="IM63" s="329"/>
      <c r="IN63" s="329"/>
      <c r="IO63" s="329"/>
      <c r="IP63" s="329"/>
      <c r="IQ63" s="329"/>
      <c r="IR63" s="329"/>
    </row>
    <row r="64" spans="1:252">
      <c r="A64" s="324"/>
      <c r="B64" s="327" t="str">
        <f>Cashflow!E25</f>
        <v xml:space="preserve">Asset Finance interest paid </v>
      </c>
      <c r="C64" s="324"/>
      <c r="D64" s="328">
        <f>Cashflow!J25</f>
        <v>0</v>
      </c>
      <c r="E64" s="328">
        <f ca="1">Cashflow!K25</f>
        <v>-1166.6666666666667</v>
      </c>
      <c r="F64" s="328">
        <f ca="1">Cashflow!L25</f>
        <v>-1118.0555555555557</v>
      </c>
      <c r="G64" s="328">
        <f ca="1">Cashflow!M25</f>
        <v>-1071.4699074074076</v>
      </c>
      <c r="H64" s="328">
        <f ca="1">Cashflow!N25</f>
        <v>-1026.8253279320988</v>
      </c>
      <c r="I64" s="328">
        <f ca="1">Cashflow!O25</f>
        <v>-984.04093926826147</v>
      </c>
      <c r="J64" s="328">
        <f ca="1">Cashflow!P25</f>
        <v>-943.03923346541728</v>
      </c>
      <c r="K64" s="328">
        <f ca="1">Cashflow!Q25</f>
        <v>-2070.412598737692</v>
      </c>
      <c r="L64" s="328">
        <f ca="1">Cashflow!R25</f>
        <v>-1984.1454071236212</v>
      </c>
      <c r="M64" s="328">
        <f ca="1">Cashflow!S25</f>
        <v>-1901.4726818268036</v>
      </c>
      <c r="N64" s="328">
        <f ca="1">Cashflow!T25</f>
        <v>-1822.2446534173537</v>
      </c>
      <c r="O64" s="328">
        <f ca="1">Cashflow!U25</f>
        <v>-1746.3177928582975</v>
      </c>
      <c r="P64" s="328">
        <f ca="1">Cashflow!V25</f>
        <v>-1673.5545514892017</v>
      </c>
      <c r="Q64" s="328">
        <f ca="1">Cashflow!W25</f>
        <v>-2770.4897785104854</v>
      </c>
      <c r="R64" s="328">
        <f ca="1">Cashflow!X25</f>
        <v>-2655.0527044058817</v>
      </c>
      <c r="S64" s="328">
        <f ca="1">Cashflow!Y25</f>
        <v>-2544.4255083889702</v>
      </c>
      <c r="T64" s="328">
        <f ca="1">Cashflow!Z25</f>
        <v>-2438.4077788727632</v>
      </c>
      <c r="U64" s="328">
        <f ca="1">Cashflow!AA25</f>
        <v>-3503.4741214197315</v>
      </c>
      <c r="V64" s="328">
        <f ca="1">Cashflow!AB25</f>
        <v>-3357.4960330272429</v>
      </c>
      <c r="W64" s="328">
        <f ca="1">Cashflow!AC25</f>
        <v>-3217.6003649844411</v>
      </c>
      <c r="X64" s="328">
        <f ca="1">Cashflow!AD25</f>
        <v>-3083.5336831100894</v>
      </c>
      <c r="Y64" s="328">
        <f ca="1">Cashflow!AE25</f>
        <v>-4121.7197796471692</v>
      </c>
      <c r="Z64" s="328">
        <f ca="1">Cashflow!AF25</f>
        <v>-3949.981455495204</v>
      </c>
      <c r="AA64" s="328">
        <f ca="1">Cashflow!AG25</f>
        <v>-3785.3988948495703</v>
      </c>
      <c r="AB64" s="328">
        <f ca="1">Cashflow!AH25</f>
        <v>-4794.3406075641715</v>
      </c>
      <c r="AC64" s="328">
        <f ca="1">Cashflow!AI25</f>
        <v>-4594.5764155823317</v>
      </c>
      <c r="AD64" s="328">
        <f ca="1">Cashflow!AJ25</f>
        <v>-5569.8023982664008</v>
      </c>
      <c r="AE64" s="328">
        <f ca="1">Cashflow!AK25</f>
        <v>-5337.7272983386338</v>
      </c>
      <c r="AF64" s="328">
        <f ca="1">Cashflow!AL25</f>
        <v>-5115.3219942411906</v>
      </c>
      <c r="AG64" s="328">
        <f ca="1">Cashflow!AM25</f>
        <v>-6068.8502444811411</v>
      </c>
      <c r="AH64" s="328">
        <f ca="1">Cashflow!AN25</f>
        <v>-5815.981484294427</v>
      </c>
      <c r="AI64" s="328">
        <f ca="1">Cashflow!AO25</f>
        <v>-5573.6489224488259</v>
      </c>
      <c r="AJ64" s="328">
        <f ca="1">Cashflow!AP25</f>
        <v>-6508.0802173467919</v>
      </c>
      <c r="AK64" s="328">
        <f ca="1">Cashflow!AQ25</f>
        <v>-6236.9102082906757</v>
      </c>
      <c r="AL64" s="328">
        <f ca="1">Cashflow!AR25</f>
        <v>-7143.7056162785648</v>
      </c>
      <c r="AM64" s="328">
        <f ca="1">Cashflow!AS25</f>
        <v>-6846.0512156002915</v>
      </c>
      <c r="AN64" s="328">
        <f ca="1">Cashflow!AT25</f>
        <v>-7727.4657482836119</v>
      </c>
      <c r="AO64" s="328">
        <f ca="1">Cashflow!AU25</f>
        <v>-8572.1546754384617</v>
      </c>
      <c r="AP64" s="328">
        <f ca="1">Cashflow!AV25</f>
        <v>-8214.9815639618591</v>
      </c>
      <c r="AQ64" s="328">
        <f ca="1">Cashflow!AW25</f>
        <v>-9039.3573321301155</v>
      </c>
      <c r="AR64" s="328">
        <f ca="1">Cashflow!AX25</f>
        <v>-9829.3841099580277</v>
      </c>
      <c r="AS64" s="328">
        <f ca="1">Cashflow!AY25</f>
        <v>-9419.8264387097752</v>
      </c>
      <c r="AT64" s="328">
        <f ca="1">Cashflow!AZ25</f>
        <v>-10194.00033709687</v>
      </c>
      <c r="AU64" s="328">
        <f ca="1">Cashflow!BA25</f>
        <v>-10935.916989717833</v>
      </c>
      <c r="AV64" s="328">
        <f ca="1">Cashflow!BB25</f>
        <v>-11646.920448479592</v>
      </c>
      <c r="AW64" s="328">
        <f ca="1">Cashflow!BC25</f>
        <v>-12328.298763126275</v>
      </c>
      <c r="AX64" s="328">
        <f ca="1">Cashflow!BD25</f>
        <v>-12981.286314662681</v>
      </c>
      <c r="AY64" s="328">
        <f ca="1">Cashflow!BE25</f>
        <v>-13607.066051551734</v>
      </c>
      <c r="AZ64" s="328">
        <f ca="1">Cashflow!BF25</f>
        <v>-14206.77163273708</v>
      </c>
      <c r="BA64" s="328">
        <f ca="1">Cashflow!BG25</f>
        <v>-14781.489481373035</v>
      </c>
      <c r="BB64" s="328">
        <f ca="1">Cashflow!BH25</f>
        <v>-15332.260752982493</v>
      </c>
      <c r="BC64" s="328">
        <f ca="1">Cashflow!BI25</f>
        <v>-15860.083221608222</v>
      </c>
      <c r="BD64" s="328">
        <f ca="1">Cashflow!BJ25</f>
        <v>-16365.913087374543</v>
      </c>
      <c r="BE64" s="328">
        <f ca="1">Cashflow!BK25</f>
        <v>-16850.666708733937</v>
      </c>
      <c r="BF64" s="328">
        <f ca="1">Cashflow!BL25</f>
        <v>-17315.222262536689</v>
      </c>
      <c r="BG64" s="328">
        <f ca="1">Cashflow!BM25</f>
        <v>-17760.421334930994</v>
      </c>
      <c r="BH64" s="328">
        <f ca="1">Cashflow!BN25</f>
        <v>-18187.07044597554</v>
      </c>
      <c r="BI64" s="328">
        <f ca="1">Cashflow!BO25</f>
        <v>-18595.94251072656</v>
      </c>
      <c r="BJ64" s="328">
        <f ca="1">Cashflow!BP25</f>
        <v>-18987.778239446288</v>
      </c>
      <c r="BK64" s="328">
        <f ca="1">Cashflow!BQ25</f>
        <v>-19363.28747946936</v>
      </c>
      <c r="BL64" s="324"/>
    </row>
    <row r="65" spans="2:63">
      <c r="B65" s="329" t="str">
        <f>Cashflow!E26</f>
        <v>CF after financing</v>
      </c>
      <c r="C65" s="330"/>
      <c r="D65" s="331">
        <f ca="1">Cashflow!J26</f>
        <v>65080</v>
      </c>
      <c r="E65" s="331">
        <f ca="1">Cashflow!K26</f>
        <v>-66358.581426716148</v>
      </c>
      <c r="F65" s="331">
        <f ca="1">Cashflow!L26</f>
        <v>-21014.957430742976</v>
      </c>
      <c r="G65" s="331">
        <f ca="1">Cashflow!M26</f>
        <v>-67903.657866081703</v>
      </c>
      <c r="H65" s="331">
        <f ca="1">Cashflow!N26</f>
        <v>-68151.913118096956</v>
      </c>
      <c r="I65" s="331">
        <f ca="1">Cashflow!O26</f>
        <v>-52134.054997746913</v>
      </c>
      <c r="J65" s="331">
        <f ca="1">Cashflow!P26</f>
        <v>-94505.93346569172</v>
      </c>
      <c r="K65" s="331">
        <f ca="1">Cashflow!Q26</f>
        <v>-78837.898230182444</v>
      </c>
      <c r="L65" s="331">
        <f ca="1">Cashflow!R26</f>
        <v>-147673.75980860103</v>
      </c>
      <c r="M65" s="331">
        <f ca="1">Cashflow!S26</f>
        <v>644783.61615091527</v>
      </c>
      <c r="N65" s="331">
        <f ca="1">Cashflow!T26</f>
        <v>49198.047485429386</v>
      </c>
      <c r="O65" s="331">
        <f ca="1">Cashflow!U26</f>
        <v>-76793.600172424471</v>
      </c>
      <c r="P65" s="331">
        <f ca="1">Cashflow!V26</f>
        <v>-106923.27049829671</v>
      </c>
      <c r="Q65" s="331">
        <f ca="1">Cashflow!W26</f>
        <v>-91351.130932138185</v>
      </c>
      <c r="R65" s="331">
        <f ca="1">Cashflow!X26</f>
        <v>-164830.58813812991</v>
      </c>
      <c r="S65" s="331">
        <f ca="1">Cashflow!Y26</f>
        <v>671280.54723735293</v>
      </c>
      <c r="T65" s="331">
        <f ca="1">Cashflow!Z26</f>
        <v>128637.60781951444</v>
      </c>
      <c r="U65" s="331">
        <f ca="1">Cashflow!AA26</f>
        <v>-63728.553277364947</v>
      </c>
      <c r="V65" s="331">
        <f ca="1">Cashflow!AB26</f>
        <v>-250951.1649504861</v>
      </c>
      <c r="W65" s="331">
        <f ca="1">Cashflow!AC26</f>
        <v>-104252.70224091849</v>
      </c>
      <c r="X65" s="331">
        <f ca="1">Cashflow!AD26</f>
        <v>-225500.75854831209</v>
      </c>
      <c r="Y65" s="331">
        <f ca="1">Cashflow!AE26</f>
        <v>1473962.6893270833</v>
      </c>
      <c r="Z65" s="331">
        <f ca="1">Cashflow!AF26</f>
        <v>-132678.02960055287</v>
      </c>
      <c r="AA65" s="331">
        <f ca="1">Cashflow!AG26</f>
        <v>50707.19033635917</v>
      </c>
      <c r="AB65" s="331">
        <f ca="1">Cashflow!AH26</f>
        <v>-133487.22004294206</v>
      </c>
      <c r="AC65" s="331">
        <f ca="1">Cashflow!AI26</f>
        <v>852108.44532843214</v>
      </c>
      <c r="AD65" s="331">
        <f ca="1">Cashflow!AJ26</f>
        <v>-494864.35907818202</v>
      </c>
      <c r="AE65" s="331">
        <f ca="1">Cashflow!AK26</f>
        <v>595210.93471164652</v>
      </c>
      <c r="AF65" s="331">
        <f ca="1">Cashflow!AL26</f>
        <v>257916.74595415458</v>
      </c>
      <c r="AG65" s="331">
        <f ca="1">Cashflow!AM26</f>
        <v>560200.90516391792</v>
      </c>
      <c r="AH65" s="331">
        <f ca="1">Cashflow!AN26</f>
        <v>45722.835407997154</v>
      </c>
      <c r="AI65" s="331">
        <f ca="1">Cashflow!AO26</f>
        <v>32233.143841491037</v>
      </c>
      <c r="AJ65" s="331">
        <f ca="1">Cashflow!AP26</f>
        <v>586494.40207020449</v>
      </c>
      <c r="AK65" s="331">
        <f ca="1">Cashflow!AQ26</f>
        <v>1056401.3206310463</v>
      </c>
      <c r="AL65" s="331">
        <f ca="1">Cashflow!AR26</f>
        <v>791111.1837965803</v>
      </c>
      <c r="AM65" s="331">
        <f ca="1">Cashflow!AS26</f>
        <v>-1145.370910606478</v>
      </c>
      <c r="AN65" s="331">
        <f ca="1">Cashflow!AT26</f>
        <v>214799.20760164055</v>
      </c>
      <c r="AO65" s="331">
        <f ca="1">Cashflow!AU26</f>
        <v>1678492.9392729576</v>
      </c>
      <c r="AP65" s="331">
        <f ca="1">Cashflow!AV26</f>
        <v>-134712.3695166843</v>
      </c>
      <c r="AQ65" s="331">
        <f ca="1">Cashflow!AW26</f>
        <v>-561058.29720339994</v>
      </c>
      <c r="AR65" s="331">
        <f ca="1">Cashflow!AX26</f>
        <v>1177325.3951887395</v>
      </c>
      <c r="AS65" s="331">
        <f ca="1">Cashflow!AY26</f>
        <v>572084.56773490121</v>
      </c>
      <c r="AT65" s="331">
        <f ca="1">Cashflow!AZ26</f>
        <v>1204010.2098915628</v>
      </c>
      <c r="AU65" s="331">
        <f ca="1">Cashflow!BA26</f>
        <v>512599.36312071007</v>
      </c>
      <c r="AV65" s="331">
        <f ca="1">Cashflow!BB26</f>
        <v>1494124.4979094286</v>
      </c>
      <c r="AW65" s="331">
        <f ca="1">Cashflow!BC26</f>
        <v>1283594.8433570175</v>
      </c>
      <c r="AX65" s="331">
        <f ca="1">Cashflow!BD26</f>
        <v>1461777.549884595</v>
      </c>
      <c r="AY65" s="331">
        <f ca="1">Cashflow!BE26</f>
        <v>663790.38195324165</v>
      </c>
      <c r="AZ65" s="331">
        <f ca="1">Cashflow!BF26</f>
        <v>1384759.9796472439</v>
      </c>
      <c r="BA65" s="331">
        <f ca="1">Cashflow!BG26</f>
        <v>1419091.8813465012</v>
      </c>
      <c r="BB65" s="331">
        <f ca="1">Cashflow!BH26</f>
        <v>680333.00136813545</v>
      </c>
      <c r="BC65" s="331">
        <f ca="1">Cashflow!BI26</f>
        <v>-260368.83628268697</v>
      </c>
      <c r="BD65" s="331">
        <f ca="1">Cashflow!BJ26</f>
        <v>2579839.6022001165</v>
      </c>
      <c r="BE65" s="331">
        <f ca="1">Cashflow!BK26</f>
        <v>559615.66659213637</v>
      </c>
      <c r="BF65" s="331">
        <f ca="1">Cashflow!BL26</f>
        <v>2702336.4977992922</v>
      </c>
      <c r="BG65" s="331">
        <f ca="1">Cashflow!BM26</f>
        <v>1908267.9417774179</v>
      </c>
      <c r="BH65" s="331">
        <f ca="1">Cashflow!BN26</f>
        <v>1510314.9705972143</v>
      </c>
      <c r="BI65" s="331">
        <f ca="1">Cashflow!BO26</f>
        <v>2920368.7946069636</v>
      </c>
      <c r="BJ65" s="331">
        <f ca="1">Cashflow!BP26</f>
        <v>2137878.0208695685</v>
      </c>
      <c r="BK65" s="331">
        <f ca="1">Cashflow!BQ26</f>
        <v>1618216.53228779</v>
      </c>
    </row>
    <row r="66" spans="2:63">
      <c r="C66" s="324"/>
      <c r="D66" s="328"/>
      <c r="E66" s="328"/>
      <c r="F66" s="328"/>
      <c r="G66" s="328"/>
      <c r="H66" s="328"/>
      <c r="I66" s="328"/>
      <c r="J66" s="328"/>
      <c r="K66" s="328"/>
      <c r="L66" s="328"/>
      <c r="M66" s="328"/>
      <c r="N66" s="328"/>
      <c r="O66" s="328"/>
      <c r="P66" s="328"/>
      <c r="Q66" s="328"/>
      <c r="R66" s="328"/>
      <c r="S66" s="328"/>
      <c r="T66" s="328"/>
      <c r="U66" s="328"/>
      <c r="V66" s="328"/>
      <c r="W66" s="328"/>
      <c r="X66" s="328"/>
      <c r="Y66" s="328"/>
      <c r="Z66" s="328"/>
      <c r="AA66" s="328"/>
      <c r="AB66" s="328"/>
      <c r="AC66" s="328"/>
      <c r="AD66" s="328"/>
      <c r="AE66" s="328"/>
      <c r="AF66" s="328"/>
      <c r="AG66" s="328"/>
      <c r="AH66" s="328"/>
      <c r="AI66" s="328"/>
      <c r="AJ66" s="328"/>
      <c r="AK66" s="328"/>
      <c r="AL66" s="328"/>
      <c r="AM66" s="328"/>
      <c r="AN66" s="328"/>
      <c r="AO66" s="328"/>
      <c r="AP66" s="328"/>
      <c r="AQ66" s="328"/>
      <c r="AR66" s="328"/>
      <c r="AS66" s="328"/>
      <c r="AT66" s="328"/>
      <c r="AU66" s="328"/>
      <c r="AV66" s="328"/>
      <c r="AW66" s="328"/>
      <c r="AX66" s="328"/>
      <c r="AY66" s="328"/>
      <c r="AZ66" s="328"/>
      <c r="BA66" s="328"/>
      <c r="BB66" s="328"/>
      <c r="BC66" s="328"/>
      <c r="BD66" s="328"/>
      <c r="BE66" s="328"/>
      <c r="BF66" s="328"/>
      <c r="BG66" s="328"/>
      <c r="BH66" s="328"/>
      <c r="BI66" s="328"/>
      <c r="BJ66" s="328"/>
      <c r="BK66" s="328"/>
    </row>
    <row r="67" spans="2:63">
      <c r="B67" s="327" t="str">
        <f>Cashflow!E28</f>
        <v>New share capital issued</v>
      </c>
      <c r="C67" s="324"/>
      <c r="D67" s="328">
        <f>Cashflow!J28</f>
        <v>0</v>
      </c>
      <c r="E67" s="328">
        <f>Cashflow!K28</f>
        <v>0</v>
      </c>
      <c r="F67" s="328">
        <f>Cashflow!L28</f>
        <v>0</v>
      </c>
      <c r="G67" s="328">
        <f>Cashflow!M28</f>
        <v>0</v>
      </c>
      <c r="H67" s="328">
        <f>Cashflow!N28</f>
        <v>0</v>
      </c>
      <c r="I67" s="328">
        <f>Cashflow!O28</f>
        <v>0</v>
      </c>
      <c r="J67" s="328">
        <f>Cashflow!P28</f>
        <v>0</v>
      </c>
      <c r="K67" s="328">
        <f>Cashflow!Q28</f>
        <v>0</v>
      </c>
      <c r="L67" s="328">
        <f>Cashflow!R28</f>
        <v>0</v>
      </c>
      <c r="M67" s="328">
        <f>Cashflow!S28</f>
        <v>0</v>
      </c>
      <c r="N67" s="328">
        <f>Cashflow!T28</f>
        <v>0</v>
      </c>
      <c r="O67" s="328">
        <f>Cashflow!U28</f>
        <v>0</v>
      </c>
      <c r="P67" s="328">
        <f>Cashflow!V28</f>
        <v>0</v>
      </c>
      <c r="Q67" s="328">
        <f>Cashflow!W28</f>
        <v>0</v>
      </c>
      <c r="R67" s="328">
        <f>Cashflow!X28</f>
        <v>0</v>
      </c>
      <c r="S67" s="328">
        <f>Cashflow!Y28</f>
        <v>0</v>
      </c>
      <c r="T67" s="328">
        <f>Cashflow!Z28</f>
        <v>0</v>
      </c>
      <c r="U67" s="328">
        <f>Cashflow!AA28</f>
        <v>0</v>
      </c>
      <c r="V67" s="328">
        <f>Cashflow!AB28</f>
        <v>0</v>
      </c>
      <c r="W67" s="328">
        <f>Cashflow!AC28</f>
        <v>0</v>
      </c>
      <c r="X67" s="328">
        <f>Cashflow!AD28</f>
        <v>0</v>
      </c>
      <c r="Y67" s="328">
        <f>Cashflow!AE28</f>
        <v>0</v>
      </c>
      <c r="Z67" s="328">
        <f>Cashflow!AF28</f>
        <v>0</v>
      </c>
      <c r="AA67" s="328">
        <f>Cashflow!AG28</f>
        <v>0</v>
      </c>
      <c r="AB67" s="328">
        <f>Cashflow!AH28</f>
        <v>0</v>
      </c>
      <c r="AC67" s="328">
        <f>Cashflow!AI28</f>
        <v>0</v>
      </c>
      <c r="AD67" s="328">
        <f>Cashflow!AJ28</f>
        <v>0</v>
      </c>
      <c r="AE67" s="328">
        <f>Cashflow!AK28</f>
        <v>0</v>
      </c>
      <c r="AF67" s="328">
        <f>Cashflow!AL28</f>
        <v>0</v>
      </c>
      <c r="AG67" s="328">
        <f>Cashflow!AM28</f>
        <v>0</v>
      </c>
      <c r="AH67" s="328">
        <f>Cashflow!AN28</f>
        <v>0</v>
      </c>
      <c r="AI67" s="328">
        <f>Cashflow!AO28</f>
        <v>0</v>
      </c>
      <c r="AJ67" s="328">
        <f>Cashflow!AP28</f>
        <v>0</v>
      </c>
      <c r="AK67" s="328">
        <f>Cashflow!AQ28</f>
        <v>0</v>
      </c>
      <c r="AL67" s="328">
        <f>Cashflow!AR28</f>
        <v>0</v>
      </c>
      <c r="AM67" s="328">
        <f>Cashflow!AS28</f>
        <v>0</v>
      </c>
      <c r="AN67" s="328">
        <f>Cashflow!AT28</f>
        <v>0</v>
      </c>
      <c r="AO67" s="328">
        <f>Cashflow!AU28</f>
        <v>0</v>
      </c>
      <c r="AP67" s="328">
        <f>Cashflow!AV28</f>
        <v>0</v>
      </c>
      <c r="AQ67" s="328">
        <f>Cashflow!AW28</f>
        <v>0</v>
      </c>
      <c r="AR67" s="328">
        <f>Cashflow!AX28</f>
        <v>0</v>
      </c>
      <c r="AS67" s="328">
        <f>Cashflow!AY28</f>
        <v>0</v>
      </c>
      <c r="AT67" s="328">
        <f>Cashflow!AZ28</f>
        <v>0</v>
      </c>
      <c r="AU67" s="328">
        <f>Cashflow!BA28</f>
        <v>0</v>
      </c>
      <c r="AV67" s="328">
        <f>Cashflow!BB28</f>
        <v>0</v>
      </c>
      <c r="AW67" s="328">
        <f>Cashflow!BC28</f>
        <v>0</v>
      </c>
      <c r="AX67" s="328">
        <f>Cashflow!BD28</f>
        <v>0</v>
      </c>
      <c r="AY67" s="328">
        <f>Cashflow!BE28</f>
        <v>0</v>
      </c>
      <c r="AZ67" s="328">
        <f>Cashflow!BF28</f>
        <v>0</v>
      </c>
      <c r="BA67" s="328">
        <f>Cashflow!BG28</f>
        <v>0</v>
      </c>
      <c r="BB67" s="328">
        <f>Cashflow!BH28</f>
        <v>0</v>
      </c>
      <c r="BC67" s="328">
        <f>Cashflow!BI28</f>
        <v>0</v>
      </c>
      <c r="BD67" s="328">
        <f>Cashflow!BJ28</f>
        <v>0</v>
      </c>
      <c r="BE67" s="328">
        <f>Cashflow!BK28</f>
        <v>0</v>
      </c>
      <c r="BF67" s="328">
        <f>Cashflow!BL28</f>
        <v>0</v>
      </c>
      <c r="BG67" s="328">
        <f>Cashflow!BM28</f>
        <v>0</v>
      </c>
      <c r="BH67" s="328">
        <f>Cashflow!BN28</f>
        <v>0</v>
      </c>
      <c r="BI67" s="328">
        <f>Cashflow!BO28</f>
        <v>0</v>
      </c>
      <c r="BJ67" s="328">
        <f>Cashflow!BP28</f>
        <v>0</v>
      </c>
      <c r="BK67" s="328">
        <f>Cashflow!BQ28</f>
        <v>0</v>
      </c>
    </row>
    <row r="68" spans="2:63">
      <c r="B68" s="329" t="str">
        <f>Cashflow!E29</f>
        <v>Net Cashflow</v>
      </c>
      <c r="C68" s="330"/>
      <c r="D68" s="331">
        <f ca="1">Cashflow!J29</f>
        <v>65080</v>
      </c>
      <c r="E68" s="331">
        <f ca="1">Cashflow!K29</f>
        <v>-66358.581426716148</v>
      </c>
      <c r="F68" s="331">
        <f ca="1">Cashflow!L29</f>
        <v>-21014.957430742976</v>
      </c>
      <c r="G68" s="331">
        <f ca="1">Cashflow!M29</f>
        <v>-67903.657866081703</v>
      </c>
      <c r="H68" s="331">
        <f ca="1">Cashflow!N29</f>
        <v>-68151.913118096956</v>
      </c>
      <c r="I68" s="331">
        <f ca="1">Cashflow!O29</f>
        <v>-52134.054997746913</v>
      </c>
      <c r="J68" s="331">
        <f ca="1">Cashflow!P29</f>
        <v>-94505.93346569172</v>
      </c>
      <c r="K68" s="331">
        <f ca="1">Cashflow!Q29</f>
        <v>-78837.898230182444</v>
      </c>
      <c r="L68" s="331">
        <f ca="1">Cashflow!R29</f>
        <v>-147673.75980860103</v>
      </c>
      <c r="M68" s="331">
        <f ca="1">Cashflow!S29</f>
        <v>644783.61615091527</v>
      </c>
      <c r="N68" s="331">
        <f ca="1">Cashflow!T29</f>
        <v>49198.047485429386</v>
      </c>
      <c r="O68" s="331">
        <f ca="1">Cashflow!U29</f>
        <v>-76793.600172424471</v>
      </c>
      <c r="P68" s="331">
        <f ca="1">Cashflow!V29</f>
        <v>-106923.27049829671</v>
      </c>
      <c r="Q68" s="331">
        <f ca="1">Cashflow!W29</f>
        <v>-91351.130932138185</v>
      </c>
      <c r="R68" s="331">
        <f ca="1">Cashflow!X29</f>
        <v>-164830.58813812991</v>
      </c>
      <c r="S68" s="331">
        <f ca="1">Cashflow!Y29</f>
        <v>671280.54723735293</v>
      </c>
      <c r="T68" s="331">
        <f ca="1">Cashflow!Z29</f>
        <v>128637.60781951444</v>
      </c>
      <c r="U68" s="331">
        <f ca="1">Cashflow!AA29</f>
        <v>-63728.553277364947</v>
      </c>
      <c r="V68" s="331">
        <f ca="1">Cashflow!AB29</f>
        <v>-250951.1649504861</v>
      </c>
      <c r="W68" s="331">
        <f ca="1">Cashflow!AC29</f>
        <v>-104252.70224091849</v>
      </c>
      <c r="X68" s="331">
        <f ca="1">Cashflow!AD29</f>
        <v>-225500.75854831209</v>
      </c>
      <c r="Y68" s="331">
        <f ca="1">Cashflow!AE29</f>
        <v>1473962.6893270833</v>
      </c>
      <c r="Z68" s="331">
        <f ca="1">Cashflow!AF29</f>
        <v>-132678.02960055287</v>
      </c>
      <c r="AA68" s="331">
        <f ca="1">Cashflow!AG29</f>
        <v>50707.19033635917</v>
      </c>
      <c r="AB68" s="331">
        <f ca="1">Cashflow!AH29</f>
        <v>-133487.22004294206</v>
      </c>
      <c r="AC68" s="331">
        <f ca="1">Cashflow!AI29</f>
        <v>852108.44532843214</v>
      </c>
      <c r="AD68" s="331">
        <f ca="1">Cashflow!AJ29</f>
        <v>-494864.35907818202</v>
      </c>
      <c r="AE68" s="331">
        <f ca="1">Cashflow!AK29</f>
        <v>595210.93471164652</v>
      </c>
      <c r="AF68" s="331">
        <f ca="1">Cashflow!AL29</f>
        <v>257916.74595415458</v>
      </c>
      <c r="AG68" s="331">
        <f ca="1">Cashflow!AM29</f>
        <v>560200.90516391792</v>
      </c>
      <c r="AH68" s="331">
        <f ca="1">Cashflow!AN29</f>
        <v>45722.835407997154</v>
      </c>
      <c r="AI68" s="331">
        <f ca="1">Cashflow!AO29</f>
        <v>32233.143841491037</v>
      </c>
      <c r="AJ68" s="331">
        <f ca="1">Cashflow!AP29</f>
        <v>586494.40207020449</v>
      </c>
      <c r="AK68" s="331">
        <f ca="1">Cashflow!AQ29</f>
        <v>1056401.3206310463</v>
      </c>
      <c r="AL68" s="331">
        <f ca="1">Cashflow!AR29</f>
        <v>791111.1837965803</v>
      </c>
      <c r="AM68" s="331">
        <f ca="1">Cashflow!AS29</f>
        <v>-1145.370910606478</v>
      </c>
      <c r="AN68" s="331">
        <f ca="1">Cashflow!AT29</f>
        <v>214799.20760164055</v>
      </c>
      <c r="AO68" s="331">
        <f ca="1">Cashflow!AU29</f>
        <v>1678492.9392729576</v>
      </c>
      <c r="AP68" s="331">
        <f ca="1">Cashflow!AV29</f>
        <v>-134712.3695166843</v>
      </c>
      <c r="AQ68" s="331">
        <f ca="1">Cashflow!AW29</f>
        <v>-561058.29720339994</v>
      </c>
      <c r="AR68" s="331">
        <f ca="1">Cashflow!AX29</f>
        <v>1177325.3951887395</v>
      </c>
      <c r="AS68" s="331">
        <f ca="1">Cashflow!AY29</f>
        <v>572084.56773490121</v>
      </c>
      <c r="AT68" s="331">
        <f ca="1">Cashflow!AZ29</f>
        <v>1204010.2098915628</v>
      </c>
      <c r="AU68" s="331">
        <f ca="1">Cashflow!BA29</f>
        <v>512599.36312071007</v>
      </c>
      <c r="AV68" s="331">
        <f ca="1">Cashflow!BB29</f>
        <v>1494124.4979094286</v>
      </c>
      <c r="AW68" s="331">
        <f ca="1">Cashflow!BC29</f>
        <v>1283594.8433570175</v>
      </c>
      <c r="AX68" s="331">
        <f ca="1">Cashflow!BD29</f>
        <v>1461777.549884595</v>
      </c>
      <c r="AY68" s="331">
        <f ca="1">Cashflow!BE29</f>
        <v>663790.38195324165</v>
      </c>
      <c r="AZ68" s="331">
        <f ca="1">Cashflow!BF29</f>
        <v>1384759.9796472439</v>
      </c>
      <c r="BA68" s="331">
        <f ca="1">Cashflow!BG29</f>
        <v>1419091.8813465012</v>
      </c>
      <c r="BB68" s="331">
        <f ca="1">Cashflow!BH29</f>
        <v>680333.00136813545</v>
      </c>
      <c r="BC68" s="331">
        <f ca="1">Cashflow!BI29</f>
        <v>-260368.83628268697</v>
      </c>
      <c r="BD68" s="331">
        <f ca="1">Cashflow!BJ29</f>
        <v>2579839.6022001165</v>
      </c>
      <c r="BE68" s="331">
        <f ca="1">Cashflow!BK29</f>
        <v>559615.66659213637</v>
      </c>
      <c r="BF68" s="331">
        <f ca="1">Cashflow!BL29</f>
        <v>2702336.4977992922</v>
      </c>
      <c r="BG68" s="331">
        <f ca="1">Cashflow!BM29</f>
        <v>1908267.9417774179</v>
      </c>
      <c r="BH68" s="331">
        <f ca="1">Cashflow!BN29</f>
        <v>1510314.9705972143</v>
      </c>
      <c r="BI68" s="331">
        <f ca="1">Cashflow!BO29</f>
        <v>2920368.7946069636</v>
      </c>
      <c r="BJ68" s="331">
        <f ca="1">Cashflow!BP29</f>
        <v>2137878.0208695685</v>
      </c>
      <c r="BK68" s="331">
        <f ca="1">Cashflow!BQ29</f>
        <v>1618216.53228779</v>
      </c>
    </row>
    <row r="69" spans="2:63">
      <c r="C69" s="324"/>
      <c r="D69" s="328"/>
      <c r="E69" s="328"/>
      <c r="F69" s="328"/>
      <c r="G69" s="328"/>
      <c r="H69" s="328"/>
      <c r="I69" s="328"/>
      <c r="J69" s="328"/>
      <c r="K69" s="328"/>
      <c r="L69" s="328"/>
      <c r="M69" s="328"/>
      <c r="N69" s="328"/>
      <c r="O69" s="328"/>
      <c r="P69" s="328"/>
      <c r="Q69" s="328"/>
      <c r="R69" s="328"/>
      <c r="S69" s="328"/>
      <c r="T69" s="328"/>
      <c r="U69" s="328"/>
      <c r="V69" s="328"/>
      <c r="W69" s="328"/>
      <c r="X69" s="328"/>
      <c r="Y69" s="328"/>
      <c r="Z69" s="328"/>
      <c r="AA69" s="328"/>
      <c r="AB69" s="328"/>
      <c r="AC69" s="328"/>
      <c r="AD69" s="328"/>
      <c r="AE69" s="328"/>
      <c r="AF69" s="328"/>
      <c r="AG69" s="328"/>
      <c r="AH69" s="328"/>
      <c r="AI69" s="328"/>
      <c r="AJ69" s="328"/>
      <c r="AK69" s="328"/>
      <c r="AL69" s="328"/>
      <c r="AM69" s="328"/>
      <c r="AN69" s="328"/>
      <c r="AO69" s="328"/>
      <c r="AP69" s="328"/>
      <c r="AQ69" s="328"/>
      <c r="AR69" s="328"/>
      <c r="AS69" s="328"/>
      <c r="AT69" s="328"/>
      <c r="AU69" s="328"/>
      <c r="AV69" s="328"/>
      <c r="AW69" s="328"/>
      <c r="AX69" s="328"/>
      <c r="AY69" s="328"/>
      <c r="AZ69" s="328"/>
      <c r="BA69" s="328"/>
      <c r="BB69" s="328"/>
      <c r="BC69" s="328"/>
      <c r="BD69" s="328"/>
      <c r="BE69" s="328"/>
      <c r="BF69" s="328"/>
      <c r="BG69" s="328"/>
      <c r="BH69" s="328"/>
      <c r="BI69" s="328"/>
      <c r="BJ69" s="328"/>
      <c r="BK69" s="32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outlinePr summaryBelow="0" summaryRight="0"/>
  </sheetPr>
  <dimension ref="A1:J41"/>
  <sheetViews>
    <sheetView showGridLines="0" workbookViewId="0"/>
  </sheetViews>
  <sheetFormatPr defaultColWidth="0" defaultRowHeight="12.75" customHeight="1" zeroHeight="1"/>
  <cols>
    <col min="1" max="1" width="11.6328125" style="182" customWidth="1"/>
    <col min="2" max="2" width="83.81640625" style="182" bestFit="1" customWidth="1"/>
    <col min="3" max="10" width="11.6328125" style="182" customWidth="1"/>
    <col min="11" max="14" width="11.6328125" style="182" hidden="1" customWidth="1"/>
    <col min="15" max="16384" width="11.6328125" style="182" hidden="1"/>
  </cols>
  <sheetData>
    <row r="1" spans="2:2"/>
    <row r="2" spans="2:2"/>
    <row r="3" spans="2:2"/>
    <row r="4" spans="2:2"/>
    <row r="5" spans="2:2" ht="22.5">
      <c r="B5" s="162" t="s">
        <v>155</v>
      </c>
    </row>
    <row r="6" spans="2:2"/>
    <row r="7" spans="2:2"/>
    <row r="8" spans="2:2"/>
    <row r="9" spans="2:2" s="265" customFormat="1" ht="22.5">
      <c r="B9" s="162" t="s">
        <v>42</v>
      </c>
    </row>
    <row r="10" spans="2:2"/>
    <row r="11" spans="2:2">
      <c r="B11" s="209" t="s">
        <v>118</v>
      </c>
    </row>
    <row r="12" spans="2:2">
      <c r="B12" s="209" t="s">
        <v>284</v>
      </c>
    </row>
    <row r="13" spans="2:2">
      <c r="B13" s="209" t="s">
        <v>25</v>
      </c>
    </row>
    <row r="14" spans="2:2"/>
    <row r="15" spans="2:2"/>
    <row r="16" spans="2:2"/>
    <row r="17"/>
    <row r="18"/>
    <row r="19"/>
    <row r="20"/>
    <row r="21"/>
    <row r="22"/>
    <row r="23"/>
    <row r="24"/>
    <row r="25"/>
    <row r="26"/>
    <row r="27"/>
    <row r="28"/>
    <row r="29"/>
    <row r="30"/>
    <row r="31"/>
    <row r="32"/>
    <row r="33"/>
    <row r="34"/>
    <row r="35"/>
    <row r="36"/>
    <row r="37"/>
    <row r="38"/>
    <row r="39"/>
    <row r="40"/>
    <row r="41"/>
  </sheetData>
  <pageMargins left="0.7" right="0.7" top="0.75" bottom="0.75" header="0.3" footer="0.3"/>
  <customProperties>
    <customPr name="MMSheetType" r:id="rId1"/>
  </customPropertie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W138"/>
  <sheetViews>
    <sheetView showGridLines="0" workbookViewId="0"/>
  </sheetViews>
  <sheetFormatPr defaultColWidth="0" defaultRowHeight="10.15"/>
  <cols>
    <col min="1" max="1" width="36.81640625" style="128" customWidth="1"/>
    <col min="2" max="2" width="28.08984375" style="128" customWidth="1"/>
    <col min="3" max="3" width="23.08984375" style="128" customWidth="1"/>
    <col min="4" max="4" width="9.36328125" style="128" customWidth="1"/>
    <col min="5" max="26" width="9.36328125" style="128" hidden="1" customWidth="1"/>
    <col min="27" max="55" width="9.08984375" style="128" hidden="1" customWidth="1"/>
    <col min="56" max="56" width="9.36328125" style="128" hidden="1" customWidth="1"/>
    <col min="57" max="16384" width="9.36328125" style="128" hidden="1"/>
  </cols>
  <sheetData>
    <row r="1" spans="1:55" ht="25.15">
      <c r="A1" s="45" t="str">
        <f ca="1" xml:space="preserve"> RIGHT(CELL("filename", A1), LEN(CELL("filename", A1)) - SEARCH("]", CELL("filename", A1)))</f>
        <v>Contents</v>
      </c>
    </row>
    <row r="5" spans="1:55" ht="17.649999999999999">
      <c r="A5" s="26" t="s">
        <v>94</v>
      </c>
      <c r="B5" s="198"/>
      <c r="C5" s="198"/>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5">
      <c r="A6" s="166" t="str">
        <f>HYPERLINK("#TOCrepobxIncome_Statement_Year","1.Income Statement")</f>
        <v>1.Income Statement</v>
      </c>
      <c r="B6" s="112"/>
      <c r="C6" s="186"/>
    </row>
    <row r="7" spans="1:55" ht="15">
      <c r="A7" s="166"/>
      <c r="B7" s="112"/>
      <c r="C7" s="186"/>
    </row>
    <row r="8" spans="1:55" ht="15">
      <c r="A8" s="166" t="str">
        <f>HYPERLINK("#TOCrepobxBalance_Sheet_Year","2.Balance Sheet")</f>
        <v>2.Balance Sheet</v>
      </c>
      <c r="B8" s="112"/>
      <c r="C8" s="186"/>
    </row>
    <row r="9" spans="1:55" ht="15">
      <c r="A9" s="166"/>
      <c r="B9" s="112"/>
      <c r="C9" s="186"/>
    </row>
    <row r="10" spans="1:55" ht="15">
      <c r="A10" s="166" t="str">
        <f>HYPERLINK("#TOCrepobxCashflow_Year","3.Cashflow")</f>
        <v>3.Cashflow</v>
      </c>
      <c r="B10" s="112"/>
      <c r="C10" s="186"/>
    </row>
    <row r="11" spans="1:55" ht="15">
      <c r="A11" s="166"/>
      <c r="B11" s="112"/>
      <c r="C11" s="186"/>
    </row>
    <row r="12" spans="1:55" ht="15">
      <c r="A12" s="166" t="str">
        <f>HYPERLINK("#TOCrepobxInventory_Report_Year","4.Inventory Report")</f>
        <v>4.Inventory Report</v>
      </c>
      <c r="B12" s="112"/>
      <c r="C12" s="186"/>
    </row>
    <row r="13" spans="1:55" ht="15">
      <c r="A13" s="166"/>
      <c r="B13" s="112"/>
      <c r="C13" s="186"/>
    </row>
    <row r="14" spans="1:55" ht="15">
      <c r="A14" s="166" t="str">
        <f>HYPERLINK("#TOCrepobxMetrics_Report_Year","5.Metrics Report")</f>
        <v>5.Metrics Report</v>
      </c>
      <c r="B14" s="112"/>
      <c r="C14" s="186"/>
    </row>
    <row r="15" spans="1:55" ht="15">
      <c r="A15" s="166"/>
      <c r="B15" s="112"/>
      <c r="C15" s="186"/>
    </row>
    <row r="16" spans="1:55" ht="15">
      <c r="A16" s="166" t="str">
        <f>HYPERLINK("#TOCrepobxIncome_Statement_base_Month","6.Income Statement base")</f>
        <v>6.Income Statement base</v>
      </c>
      <c r="B16" s="112"/>
      <c r="C16" s="186"/>
    </row>
    <row r="17" spans="1:3" ht="15">
      <c r="A17" s="166"/>
      <c r="B17" s="112"/>
      <c r="C17" s="186"/>
    </row>
    <row r="18" spans="1:3" ht="15">
      <c r="A18" s="166" t="str">
        <f>HYPERLINK("#TOCrepobxIncome_Statement_base_1_Quarter","7.Income Statement base 1")</f>
        <v>7.Income Statement base 1</v>
      </c>
      <c r="B18" s="112"/>
      <c r="C18" s="186"/>
    </row>
    <row r="19" spans="1:3" ht="15">
      <c r="A19" s="166"/>
      <c r="B19" s="112"/>
      <c r="C19" s="186"/>
    </row>
    <row r="20" spans="1:3" ht="15">
      <c r="A20" s="166" t="str">
        <f>HYPERLINK("#TOCrepobxIncome_Statement_base_2_SemiAnnual","8.Income Statement base 2")</f>
        <v>8.Income Statement base 2</v>
      </c>
      <c r="B20" s="112"/>
      <c r="C20" s="186"/>
    </row>
    <row r="21" spans="1:3" ht="15">
      <c r="A21" s="166"/>
      <c r="B21" s="112"/>
      <c r="C21" s="186"/>
    </row>
    <row r="22" spans="1:3" ht="15">
      <c r="A22" s="166" t="str">
        <f>HYPERLINK("#TOCrepobxBalance_Sheet_base_Month","9.Balance Sheet base")</f>
        <v>9.Balance Sheet base</v>
      </c>
      <c r="B22" s="112"/>
      <c r="C22" s="186"/>
    </row>
    <row r="23" spans="1:3" ht="15">
      <c r="A23" s="166"/>
      <c r="B23" s="112"/>
      <c r="C23" s="186"/>
    </row>
    <row r="24" spans="1:3" ht="15">
      <c r="A24" s="166" t="str">
        <f>HYPERLINK("#TOCrepobxBalance_Sheet_base_1_Quarter","10.Balance Sheet base 1")</f>
        <v>10.Balance Sheet base 1</v>
      </c>
      <c r="B24" s="112"/>
      <c r="C24" s="186"/>
    </row>
    <row r="25" spans="1:3" ht="15">
      <c r="A25" s="166"/>
      <c r="B25" s="112"/>
      <c r="C25" s="186"/>
    </row>
    <row r="26" spans="1:3" ht="15">
      <c r="A26" s="166" t="str">
        <f>HYPERLINK("#TOCrepobxBalance_Sheet_base_2_SemiAnnual","11.Balance Sheet base 2")</f>
        <v>11.Balance Sheet base 2</v>
      </c>
      <c r="B26" s="112"/>
      <c r="C26" s="186"/>
    </row>
    <row r="27" spans="1:3" ht="15">
      <c r="A27" s="166"/>
      <c r="B27" s="112"/>
      <c r="C27" s="186"/>
    </row>
    <row r="28" spans="1:3" ht="15">
      <c r="A28" s="166" t="str">
        <f>HYPERLINK("#TOCrepobxCashflow_base_Month","12.Cashflow base")</f>
        <v>12.Cashflow base</v>
      </c>
      <c r="B28" s="112"/>
      <c r="C28" s="186"/>
    </row>
    <row r="29" spans="1:3" ht="15">
      <c r="A29" s="166"/>
      <c r="B29" s="112"/>
      <c r="C29" s="186"/>
    </row>
    <row r="30" spans="1:3" ht="15">
      <c r="A30" s="166" t="str">
        <f>HYPERLINK("#TOCrepobxCashflow_base_1_Quarter","13.Cashflow base 1")</f>
        <v>13.Cashflow base 1</v>
      </c>
      <c r="B30" s="112"/>
      <c r="C30" s="186"/>
    </row>
    <row r="31" spans="1:3" ht="15">
      <c r="A31" s="166"/>
      <c r="B31" s="112"/>
      <c r="C31" s="186"/>
    </row>
    <row r="32" spans="1:3" ht="15">
      <c r="A32" s="166" t="str">
        <f>HYPERLINK("#TOCrepobxCashflow_base_2_SemiAnnual","14.Cashflow base 2")</f>
        <v>14.Cashflow base 2</v>
      </c>
      <c r="B32" s="112"/>
      <c r="C32" s="186"/>
    </row>
    <row r="33" spans="1:101" ht="15">
      <c r="A33" s="166"/>
      <c r="B33" s="112"/>
      <c r="C33" s="186"/>
    </row>
    <row r="34" spans="1:101" ht="15">
      <c r="A34" s="166" t="str">
        <f>HYPERLINK("#TOCrepobxInventory_Report_base_Month","15.Inventory Report base")</f>
        <v>15.Inventory Report base</v>
      </c>
      <c r="B34" s="112"/>
      <c r="C34" s="186"/>
    </row>
    <row r="35" spans="1:101" ht="15">
      <c r="A35" s="166"/>
      <c r="B35" s="112"/>
      <c r="C35" s="186"/>
    </row>
    <row r="36" spans="1:101" ht="15">
      <c r="A36" s="166" t="str">
        <f>HYPERLINK("#TOCrepobxInventory_Report_base_1_Quarter","16.Inventory Report base 1")</f>
        <v>16.Inventory Report base 1</v>
      </c>
      <c r="B36" s="112"/>
      <c r="C36" s="186"/>
    </row>
    <row r="37" spans="1:101" ht="15">
      <c r="A37" s="166"/>
      <c r="B37" s="112"/>
      <c r="C37" s="186"/>
    </row>
    <row r="38" spans="1:101" ht="15">
      <c r="A38" s="166" t="str">
        <f>HYPERLINK("#TOCrepobxInventory_Report_base_2_SemiAnnual","17.Inventory Report base 2")</f>
        <v>17.Inventory Report base 2</v>
      </c>
      <c r="B38" s="112"/>
      <c r="C38" s="186"/>
    </row>
    <row r="39" spans="1:101" ht="15">
      <c r="A39" s="166"/>
      <c r="B39" s="112"/>
      <c r="C39" s="186"/>
    </row>
    <row r="40" spans="1:101" ht="15">
      <c r="A40" s="166" t="str">
        <f>HYPERLINK("#TOCrepobxMetrics_Report_base_Month","18.Metrics Report base")</f>
        <v>18.Metrics Report base</v>
      </c>
      <c r="B40" s="112"/>
      <c r="C40" s="186"/>
    </row>
    <row r="41" spans="1:101" ht="15">
      <c r="A41" s="166"/>
      <c r="B41" s="112"/>
      <c r="C41" s="186"/>
    </row>
    <row r="42" spans="1:101" ht="15">
      <c r="A42" s="166" t="str">
        <f>HYPERLINK("#TOCrepobxMetrics_Report_base_1_Quarter","19.Metrics Report base 1")</f>
        <v>19.Metrics Report base 1</v>
      </c>
      <c r="B42" s="112"/>
      <c r="C42" s="186"/>
    </row>
    <row r="43" spans="1:101" ht="15">
      <c r="A43" s="166"/>
      <c r="B43" s="112"/>
      <c r="C43" s="186"/>
    </row>
    <row r="44" spans="1:101" ht="15">
      <c r="A44" s="166" t="str">
        <f>HYPERLINK("#TOCrepobxMetrics_Report_base_2_SemiAnnual","20.Metrics Report base 2")</f>
        <v>20.Metrics Report base 2</v>
      </c>
      <c r="B44" s="112"/>
      <c r="C44" s="186"/>
    </row>
    <row r="45" spans="1:101" ht="15">
      <c r="A45" s="166"/>
      <c r="B45" s="112"/>
      <c r="C45" s="186"/>
    </row>
    <row r="46" spans="1:101" ht="15">
      <c r="A46" s="166"/>
      <c r="B46" s="112"/>
      <c r="C46" s="186"/>
    </row>
    <row r="47" spans="1:101" ht="17.649999999999999">
      <c r="A47" s="26" t="s">
        <v>250</v>
      </c>
      <c r="B47" s="26" t="s">
        <v>91</v>
      </c>
      <c r="C47" s="26" t="s">
        <v>121</v>
      </c>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c r="BK47" s="26"/>
      <c r="BL47" s="26"/>
      <c r="BM47" s="26"/>
      <c r="BN47" s="26"/>
      <c r="BO47" s="26"/>
      <c r="BP47" s="26"/>
      <c r="BQ47" s="26"/>
      <c r="BR47" s="26"/>
      <c r="BS47" s="26"/>
      <c r="BT47" s="26"/>
      <c r="BU47" s="26"/>
      <c r="BV47" s="26"/>
      <c r="BW47" s="26"/>
      <c r="BX47" s="26"/>
      <c r="BY47" s="26"/>
      <c r="BZ47" s="26"/>
      <c r="CA47" s="26"/>
      <c r="CB47" s="26"/>
      <c r="CC47" s="26"/>
      <c r="CD47" s="26"/>
      <c r="CE47" s="26"/>
      <c r="CF47" s="26"/>
      <c r="CG47" s="26"/>
      <c r="CH47" s="26"/>
      <c r="CI47" s="26"/>
      <c r="CJ47" s="26"/>
      <c r="CK47" s="26"/>
      <c r="CL47" s="26"/>
      <c r="CM47" s="26"/>
      <c r="CN47" s="26"/>
      <c r="CO47" s="26"/>
      <c r="CP47" s="26"/>
      <c r="CQ47" s="26"/>
      <c r="CR47" s="26"/>
      <c r="CS47" s="26"/>
      <c r="CT47" s="26"/>
      <c r="CU47" s="26"/>
      <c r="CV47" s="26"/>
      <c r="CW47" s="26"/>
    </row>
    <row r="48" spans="1:101" ht="15">
      <c r="A48" s="166" t="str">
        <f>HYPERLINK("#TOCobxUnallocated", "1.Unallocated")</f>
        <v>1.Unallocated</v>
      </c>
      <c r="B48" s="112"/>
      <c r="C48" s="186"/>
    </row>
    <row r="49" spans="1:3" ht="15">
      <c r="A49" s="166"/>
      <c r="B49" s="112"/>
      <c r="C49" s="186"/>
    </row>
    <row r="50" spans="1:3" ht="15">
      <c r="A50" s="166" t="str">
        <f>HYPERLINK("#TOCobxInputs", "2.Inputs")</f>
        <v>2.Inputs</v>
      </c>
      <c r="B50" s="112"/>
      <c r="C50" s="186"/>
    </row>
    <row r="51" spans="1:3" ht="15">
      <c r="A51" s="166"/>
      <c r="B51" s="112" t="str">
        <f>HYPERLINK("#TOCobxInputs.Model_Constants", "2.1.Model Constants")</f>
        <v>2.1.Model Constants</v>
      </c>
      <c r="C51" s="186"/>
    </row>
    <row r="52" spans="1:3" ht="15">
      <c r="A52" s="166"/>
      <c r="B52" s="112" t="str">
        <f>HYPERLINK("#TOCobxInputs.Customer_Orders", "2.2.Customer Orders")</f>
        <v>2.2.Customer Orders</v>
      </c>
      <c r="C52" s="186"/>
    </row>
    <row r="53" spans="1:3" ht="15">
      <c r="A53" s="166"/>
      <c r="B53" s="112" t="str">
        <f>HYPERLINK("#TOCobxInputs.Expense", "2.3.Expense")</f>
        <v>2.3.Expense</v>
      </c>
      <c r="C53" s="186"/>
    </row>
    <row r="54" spans="1:3" ht="15">
      <c r="A54" s="166"/>
      <c r="B54" s="112" t="str">
        <f>HYPERLINK("#TOCobxInputs.Supplier_orders", "2.4.Supplier orders")</f>
        <v>2.4.Supplier orders</v>
      </c>
      <c r="C54" s="186"/>
    </row>
    <row r="55" spans="1:3" ht="15">
      <c r="A55" s="166"/>
      <c r="B55" s="112" t="str">
        <f>HYPERLINK("#TOCobxInputs.Inventory", "2.5.Inventory")</f>
        <v>2.5.Inventory</v>
      </c>
      <c r="C55" s="186"/>
    </row>
    <row r="56" spans="1:3" ht="15">
      <c r="A56" s="166"/>
      <c r="B56" s="112" t="str">
        <f>HYPERLINK("#TOCobxInputs.Opening_Balances", "2.6.Opening Balances")</f>
        <v>2.6.Opening Balances</v>
      </c>
      <c r="C56" s="186"/>
    </row>
    <row r="57" spans="1:3" ht="15">
      <c r="A57" s="166"/>
      <c r="B57" s="112" t="str">
        <f>HYPERLINK("#TOCobxInputs.Debt", "2.7.Debt")</f>
        <v>2.7.Debt</v>
      </c>
      <c r="C57" s="186"/>
    </row>
    <row r="58" spans="1:3" ht="15">
      <c r="A58" s="166"/>
      <c r="B58" s="112"/>
      <c r="C58" s="186" t="str">
        <f>HYPERLINK("#TOCobxInputs.Debt.Invoice_Finance", "2.7.1.Invoice Finance")</f>
        <v>2.7.1.Invoice Finance</v>
      </c>
    </row>
    <row r="59" spans="1:3" ht="15">
      <c r="A59" s="166"/>
      <c r="B59" s="112"/>
      <c r="C59" s="186" t="str">
        <f>HYPERLINK("#TOCobxInputs.Debt.Supply_Chain_Finance", "2.7.2.Supply Chain Finance")</f>
        <v>2.7.2.Supply Chain Finance</v>
      </c>
    </row>
    <row r="60" spans="1:3" ht="15">
      <c r="A60" s="166"/>
      <c r="B60" s="112"/>
      <c r="C60" s="186" t="str">
        <f>HYPERLINK("#TOCobxInputs.Debt.Asset_Finance", "2.7.3.Asset Finance")</f>
        <v>2.7.3.Asset Finance</v>
      </c>
    </row>
    <row r="61" spans="1:3" ht="15">
      <c r="A61" s="166"/>
      <c r="B61" s="112" t="str">
        <f>HYPERLINK("#TOCobxInputs.VAT", "2.8.VAT")</f>
        <v>2.8.VAT</v>
      </c>
      <c r="C61" s="186"/>
    </row>
    <row r="62" spans="1:3" ht="15">
      <c r="A62" s="166"/>
      <c r="B62" s="112" t="str">
        <f>HYPERLINK("#TOCobxInputs.Corporation_Tax", "2.9.Corporation Tax")</f>
        <v>2.9.Corporation Tax</v>
      </c>
      <c r="C62" s="186"/>
    </row>
    <row r="63" spans="1:3" ht="15">
      <c r="A63" s="166"/>
      <c r="B63" s="112" t="str">
        <f>HYPERLINK("#TOCobxInputs.Equity", "2.10.Equity")</f>
        <v>2.10.Equity</v>
      </c>
      <c r="C63" s="186"/>
    </row>
    <row r="64" spans="1:3" ht="15">
      <c r="A64" s="166"/>
      <c r="B64" s="112" t="str">
        <f>HYPERLINK("#TOCobxInputs.Short_term_forecast", "2.11.Short term forecast")</f>
        <v>2.11.Short term forecast</v>
      </c>
      <c r="C64" s="186"/>
    </row>
    <row r="65" spans="1:3" ht="15">
      <c r="A65" s="166"/>
      <c r="B65" s="112"/>
      <c r="C65" s="186"/>
    </row>
    <row r="66" spans="1:3" ht="15">
      <c r="A66" s="166" t="str">
        <f>HYPERLINK("#TOCobxTime", "3.Time")</f>
        <v>3.Time</v>
      </c>
      <c r="B66" s="112"/>
      <c r="C66" s="186"/>
    </row>
    <row r="67" spans="1:3" ht="15">
      <c r="A67" s="166"/>
      <c r="B67" s="112" t="str">
        <f>HYPERLINK("#TOCobxTime.Headers", "3.1.Headers")</f>
        <v>3.1.Headers</v>
      </c>
      <c r="C67" s="186"/>
    </row>
    <row r="68" spans="1:3" ht="15">
      <c r="A68" s="166"/>
      <c r="B68" s="112" t="str">
        <f>HYPERLINK("#TOCobxTime.Customer_Order_Growth_index", "3.2.Customer Order Growth index")</f>
        <v>3.2.Customer Order Growth index</v>
      </c>
      <c r="C68" s="186"/>
    </row>
    <row r="69" spans="1:3" ht="15">
      <c r="A69" s="166"/>
      <c r="B69" s="112" t="str">
        <f>HYPERLINK("#TOCobxTime.Fixed_Operating_Cost_Growth_Rate_index", "3.3.Fixed Operating Cost Growth Rate index")</f>
        <v>3.3.Fixed Operating Cost Growth Rate index</v>
      </c>
      <c r="C69" s="186"/>
    </row>
    <row r="70" spans="1:3" ht="15">
      <c r="A70" s="166"/>
      <c r="B70" s="112" t="str">
        <f>HYPERLINK("#TOCobxTime.Debts_flags", "3.4.Debts flags")</f>
        <v>3.4.Debts flags</v>
      </c>
      <c r="C70" s="186"/>
    </row>
    <row r="71" spans="1:3" ht="15">
      <c r="A71" s="166"/>
      <c r="B71" s="112" t="str">
        <f>HYPERLINK("#TOCobxTime.VAT_return_this_period_flag", "3.5.VAT return this period flag")</f>
        <v>3.5.VAT return this period flag</v>
      </c>
      <c r="C71" s="186"/>
    </row>
    <row r="72" spans="1:3" ht="15">
      <c r="A72" s="166"/>
      <c r="B72" s="112" t="str">
        <f>HYPERLINK("#TOCobxTime.Use_short_term_forecast_flag", "3.6.Use short term forecast flag")</f>
        <v>3.6.Use short term forecast flag</v>
      </c>
      <c r="C72" s="186"/>
    </row>
    <row r="73" spans="1:3" ht="15">
      <c r="A73" s="166"/>
      <c r="B73" s="112" t="str">
        <f>HYPERLINK("#TOCobxTime.Model_timelines", "3.7.Model timelines")</f>
        <v>3.7.Model timelines</v>
      </c>
      <c r="C73" s="186"/>
    </row>
    <row r="74" spans="1:3" ht="15">
      <c r="A74" s="166"/>
      <c r="B74" s="112"/>
      <c r="C74" s="186"/>
    </row>
    <row r="75" spans="1:3" ht="15">
      <c r="A75" s="166" t="str">
        <f>HYPERLINK("#TOCobxMetrics", "4.Metrics")</f>
        <v>4.Metrics</v>
      </c>
      <c r="B75" s="112"/>
      <c r="C75" s="186"/>
    </row>
    <row r="76" spans="1:3" ht="15">
      <c r="A76" s="166"/>
      <c r="B76" s="112"/>
      <c r="C76" s="186"/>
    </row>
    <row r="77" spans="1:3" ht="15">
      <c r="A77" s="166" t="str">
        <f>HYPERLINK("#TOCobxFinancials", "5.Financials")</f>
        <v>5.Financials</v>
      </c>
      <c r="B77" s="112"/>
      <c r="C77" s="186"/>
    </row>
    <row r="78" spans="1:3" ht="15">
      <c r="A78" s="166"/>
      <c r="B78" s="112"/>
      <c r="C78" s="186"/>
    </row>
    <row r="79" spans="1:3" ht="15">
      <c r="A79" s="166" t="str">
        <f>HYPERLINK("#TOCobxCustomers", "6.Customers")</f>
        <v>6.Customers</v>
      </c>
      <c r="B79" s="112"/>
      <c r="C79" s="186"/>
    </row>
    <row r="80" spans="1:3" ht="15">
      <c r="A80" s="166"/>
      <c r="B80" s="112"/>
      <c r="C80" s="186"/>
    </row>
    <row r="81" spans="1:3" ht="15">
      <c r="A81" s="166" t="str">
        <f>HYPERLINK("#TOCobxIncome", "7.Income")</f>
        <v>7.Income</v>
      </c>
      <c r="B81" s="112"/>
      <c r="C81" s="186"/>
    </row>
    <row r="82" spans="1:3" ht="15">
      <c r="A82" s="166"/>
      <c r="B82" s="112"/>
      <c r="C82" s="186"/>
    </row>
    <row r="83" spans="1:3" ht="15">
      <c r="A83" s="166" t="str">
        <f>HYPERLINK("#TOCobxInventory", "8.Inventory")</f>
        <v>8.Inventory</v>
      </c>
      <c r="B83" s="112"/>
      <c r="C83" s="186"/>
    </row>
    <row r="84" spans="1:3" ht="15">
      <c r="A84" s="166"/>
      <c r="B84" s="112"/>
      <c r="C84" s="186"/>
    </row>
    <row r="85" spans="1:3" ht="15">
      <c r="A85" s="166" t="str">
        <f>HYPERLINK("#TOCobxAssets", "9.Assets")</f>
        <v>9.Assets</v>
      </c>
      <c r="B85" s="112"/>
      <c r="C85" s="186"/>
    </row>
    <row r="86" spans="1:3" ht="15">
      <c r="A86" s="166"/>
      <c r="B86" s="112"/>
      <c r="C86" s="186"/>
    </row>
    <row r="87" spans="1:3" ht="15">
      <c r="A87" s="288" t="str">
        <f>HYPERLINK("#TOCobxExpense", "10.Expense")</f>
        <v>10.Expense</v>
      </c>
      <c r="B87" s="112"/>
      <c r="C87" s="186"/>
    </row>
    <row r="88" spans="1:3" ht="15">
      <c r="A88" s="288"/>
      <c r="B88" s="112"/>
      <c r="C88" s="186"/>
    </row>
    <row r="89" spans="1:3" ht="15">
      <c r="A89" s="288" t="str">
        <f>HYPERLINK("#TOCobxWorking_Capital", "11.Working Capital")</f>
        <v>11.Working Capital</v>
      </c>
      <c r="B89" s="112"/>
      <c r="C89" s="186"/>
    </row>
    <row r="90" spans="1:3" ht="15">
      <c r="A90" s="288"/>
      <c r="B90" s="112"/>
      <c r="C90" s="186"/>
    </row>
    <row r="91" spans="1:3" ht="15">
      <c r="A91" s="288" t="str">
        <f>HYPERLINK("#TOCobxInvoice_finance", "12.Invoice finance")</f>
        <v>12.Invoice finance</v>
      </c>
      <c r="B91" s="112"/>
      <c r="C91" s="186"/>
    </row>
    <row r="92" spans="1:3" ht="15">
      <c r="A92" s="288"/>
      <c r="B92" s="112"/>
      <c r="C92" s="186"/>
    </row>
    <row r="93" spans="1:3" ht="15">
      <c r="A93" s="288" t="str">
        <f>HYPERLINK("#TOCobxSupply_Chain_finance", "13.Supply Chain finance")</f>
        <v>13.Supply Chain finance</v>
      </c>
      <c r="B93" s="112"/>
      <c r="C93" s="186"/>
    </row>
    <row r="94" spans="1:3" ht="15">
      <c r="A94" s="288"/>
      <c r="B94" s="112"/>
      <c r="C94" s="186"/>
    </row>
    <row r="95" spans="1:3" ht="15">
      <c r="A95" s="288" t="str">
        <f>HYPERLINK("#TOCobxAsset_Finance", "14.Asset Finance")</f>
        <v>14.Asset Finance</v>
      </c>
      <c r="B95" s="112"/>
      <c r="C95" s="186"/>
    </row>
    <row r="96" spans="1:3" ht="15">
      <c r="A96" s="288"/>
      <c r="B96" s="112"/>
      <c r="C96" s="186"/>
    </row>
    <row r="97" spans="1:3" ht="15">
      <c r="A97" s="288" t="str">
        <f>HYPERLINK("#TOCobxVAT", "15.VAT")</f>
        <v>15.VAT</v>
      </c>
      <c r="B97" s="112"/>
      <c r="C97" s="186"/>
    </row>
    <row r="98" spans="1:3" ht="15">
      <c r="A98" s="288"/>
      <c r="B98" s="112"/>
      <c r="C98" s="186"/>
    </row>
    <row r="99" spans="1:3" ht="15">
      <c r="A99" s="288" t="str">
        <f>HYPERLINK("#TOCobxCorporation_tax", "16.Corporation tax")</f>
        <v>16.Corporation tax</v>
      </c>
      <c r="B99" s="112"/>
      <c r="C99" s="186"/>
    </row>
    <row r="100" spans="1:3" ht="15">
      <c r="A100" s="288"/>
      <c r="B100" s="112" t="str">
        <f>HYPERLINK("#TOCobxCorporation_tax.Tax_losses", "16.1.Tax losses")</f>
        <v>16.1.Tax losses</v>
      </c>
      <c r="C100" s="186"/>
    </row>
    <row r="101" spans="1:3" ht="15">
      <c r="A101" s="288"/>
      <c r="B101" s="112" t="str">
        <f>HYPERLINK("#TOCobxCorporation_tax.Corporation_tax_creditor", "16.2.Corporation tax creditor")</f>
        <v>16.2.Corporation tax creditor</v>
      </c>
      <c r="C101" s="186"/>
    </row>
    <row r="102" spans="1:3" ht="15">
      <c r="A102" s="288"/>
      <c r="B102" s="112"/>
      <c r="C102" s="186"/>
    </row>
    <row r="103" spans="1:3" ht="15">
      <c r="A103" s="288" t="str">
        <f>HYPERLINK("#TOCobxEquity", "17.Equity")</f>
        <v>17.Equity</v>
      </c>
      <c r="B103" s="112"/>
      <c r="C103" s="186"/>
    </row>
    <row r="104" spans="1:3" ht="15">
      <c r="A104" s="288"/>
      <c r="B104" s="112"/>
      <c r="C104" s="186"/>
    </row>
    <row r="105" spans="1:3" ht="15">
      <c r="A105" s="288" t="str">
        <f>HYPERLINK("#TOCobxModel_Checks_and_Alerts", "18.Model Checks and Alerts")</f>
        <v>18.Model Checks and Alerts</v>
      </c>
      <c r="B105" s="112"/>
      <c r="C105" s="186"/>
    </row>
    <row r="106" spans="1:3" ht="15">
      <c r="A106" s="288"/>
      <c r="B106" s="112" t="str">
        <f>HYPERLINK("#TOCobxModel_Checks_and_Alerts.Model_Checks", "18.1.Model Checks")</f>
        <v>18.1.Model Checks</v>
      </c>
      <c r="C106" s="186"/>
    </row>
    <row r="107" spans="1:3" ht="15">
      <c r="A107" s="288"/>
      <c r="B107" s="112"/>
      <c r="C107" s="186"/>
    </row>
    <row r="108" spans="1:3" ht="15">
      <c r="A108" s="288"/>
      <c r="B108" s="112"/>
      <c r="C108" s="186"/>
    </row>
    <row r="109" spans="1:3" ht="15">
      <c r="A109" s="288"/>
      <c r="B109" s="112"/>
      <c r="C109" s="186"/>
    </row>
    <row r="110" spans="1:3" ht="15">
      <c r="A110" s="288"/>
      <c r="B110" s="112"/>
      <c r="C110" s="186"/>
    </row>
    <row r="111" spans="1:3" ht="15">
      <c r="A111" s="288"/>
      <c r="B111" s="112"/>
      <c r="C111" s="186"/>
    </row>
    <row r="112" spans="1:3" ht="15">
      <c r="A112" s="288"/>
      <c r="B112" s="112"/>
      <c r="C112" s="186"/>
    </row>
    <row r="113" spans="1:3" ht="15">
      <c r="A113" s="288"/>
      <c r="B113" s="112"/>
      <c r="C113" s="186"/>
    </row>
    <row r="114" spans="1:3" ht="15">
      <c r="A114" s="288"/>
      <c r="B114" s="112"/>
      <c r="C114" s="186"/>
    </row>
    <row r="115" spans="1:3" ht="15">
      <c r="A115" s="288"/>
      <c r="B115" s="112"/>
      <c r="C115" s="186"/>
    </row>
    <row r="116" spans="1:3" ht="15">
      <c r="A116" s="288"/>
      <c r="B116" s="112"/>
      <c r="C116" s="186"/>
    </row>
    <row r="117" spans="1:3" ht="15">
      <c r="A117" s="288"/>
      <c r="B117" s="112"/>
      <c r="C117" s="186"/>
    </row>
    <row r="118" spans="1:3" ht="15">
      <c r="A118" s="288"/>
      <c r="B118" s="112"/>
      <c r="C118" s="186"/>
    </row>
    <row r="119" spans="1:3" ht="15">
      <c r="A119" s="288"/>
      <c r="B119" s="112"/>
      <c r="C119" s="186"/>
    </row>
    <row r="120" spans="1:3" ht="15">
      <c r="A120" s="288"/>
      <c r="B120" s="112"/>
      <c r="C120" s="186"/>
    </row>
    <row r="121" spans="1:3" ht="15">
      <c r="A121" s="288"/>
      <c r="B121" s="112"/>
      <c r="C121" s="186"/>
    </row>
    <row r="122" spans="1:3" ht="15">
      <c r="A122" s="288"/>
      <c r="B122" s="112"/>
      <c r="C122" s="186"/>
    </row>
    <row r="123" spans="1:3" ht="15">
      <c r="A123" s="288"/>
      <c r="B123" s="112"/>
      <c r="C123" s="186"/>
    </row>
    <row r="124" spans="1:3" ht="15">
      <c r="A124" s="288"/>
      <c r="B124" s="112"/>
      <c r="C124" s="186"/>
    </row>
    <row r="125" spans="1:3" ht="15">
      <c r="A125" s="288"/>
      <c r="B125" s="112"/>
      <c r="C125" s="186"/>
    </row>
    <row r="126" spans="1:3" ht="15">
      <c r="A126" s="288"/>
      <c r="B126" s="112"/>
      <c r="C126" s="186"/>
    </row>
    <row r="127" spans="1:3" ht="15">
      <c r="A127" s="288"/>
      <c r="B127" s="112"/>
      <c r="C127" s="186"/>
    </row>
    <row r="128" spans="1:3" ht="15">
      <c r="A128" s="288"/>
      <c r="B128" s="112"/>
      <c r="C128" s="186"/>
    </row>
    <row r="129" spans="1:3" ht="15">
      <c r="A129" s="288"/>
      <c r="B129" s="112"/>
      <c r="C129" s="186"/>
    </row>
    <row r="130" spans="1:3" ht="15">
      <c r="A130" s="288"/>
      <c r="B130" s="112"/>
      <c r="C130" s="186"/>
    </row>
    <row r="131" spans="1:3" ht="15">
      <c r="A131" s="288"/>
      <c r="B131" s="112"/>
      <c r="C131" s="186"/>
    </row>
    <row r="132" spans="1:3" ht="15">
      <c r="A132" s="288"/>
      <c r="B132" s="112"/>
      <c r="C132" s="186"/>
    </row>
    <row r="133" spans="1:3" ht="15">
      <c r="A133" s="288"/>
      <c r="B133" s="112"/>
      <c r="C133" s="186"/>
    </row>
    <row r="134" spans="1:3" ht="15">
      <c r="A134" s="288"/>
      <c r="B134" s="112"/>
      <c r="C134" s="186"/>
    </row>
    <row r="135" spans="1:3" ht="15">
      <c r="A135" s="288"/>
      <c r="B135" s="112"/>
      <c r="C135" s="186"/>
    </row>
    <row r="136" spans="1:3" ht="15">
      <c r="A136" s="288"/>
      <c r="B136" s="112"/>
      <c r="C136" s="186"/>
    </row>
    <row r="137" spans="1:3" ht="15">
      <c r="A137" s="288"/>
      <c r="B137" s="112"/>
      <c r="C137" s="112"/>
    </row>
    <row r="138" spans="1:3" ht="15">
      <c r="A138" s="288"/>
      <c r="B138" s="112"/>
      <c r="C138" s="112"/>
    </row>
  </sheetData>
  <pageMargins left="0.7" right="0.7" top="0.75" bottom="0.75" header="0.3" footer="0.3"/>
  <pageSetup orientation="portrait"/>
  <customProperties>
    <customPr name="MMSheetType"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99"/>
    <outlinePr summaryBelow="0" summaryRight="0"/>
  </sheetPr>
  <dimension ref="A1:W102"/>
  <sheetViews>
    <sheetView showGridLines="0" defaultGridColor="0" colorId="22" zoomScale="80" workbookViewId="0">
      <pane xSplit="10" ySplit="9" topLeftCell="K60" activePane="bottomRight" state="frozen"/>
      <selection pane="topRight" activeCell="K1" sqref="K1"/>
      <selection pane="bottomLeft" activeCell="A10" sqref="A10"/>
      <selection pane="bottomRight" activeCell="C13" sqref="C13:F100"/>
    </sheetView>
  </sheetViews>
  <sheetFormatPr defaultColWidth="0" defaultRowHeight="14.25" outlineLevelRow="1"/>
  <cols>
    <col min="1" max="1" width="1.81640625" style="274" customWidth="1"/>
    <col min="2" max="3" width="1.81640625" style="158" customWidth="1"/>
    <col min="4" max="4" width="1.81640625" style="242" customWidth="1"/>
    <col min="5" max="5" width="72.36328125" style="158" bestFit="1" customWidth="1"/>
    <col min="6" max="6" width="19.36328125" style="158" customWidth="1"/>
    <col min="7" max="8" width="47.36328125" style="94" customWidth="1"/>
    <col min="9" max="9" width="5.08984375" style="257" customWidth="1"/>
    <col min="10" max="10" width="1.453125" style="66" customWidth="1"/>
    <col min="11" max="13" width="19.36328125" style="94" customWidth="1"/>
    <col min="14" max="14" width="1.453125" style="66" customWidth="1"/>
    <col min="15" max="18" width="14.81640625" style="94" bestFit="1" customWidth="1"/>
    <col min="19" max="24" width="11.453125" style="94" hidden="1" customWidth="1"/>
    <col min="25" max="16384" width="11.453125" style="94" hidden="1"/>
  </cols>
  <sheetData>
    <row r="1" spans="1:23" ht="25.15">
      <c r="A1" s="45" t="str">
        <f ca="1">RIGHT(CELL("filename", A1), LEN(CELL("filename", A1)) - SEARCH("]", CELL("filename", A1)))</f>
        <v>InpC</v>
      </c>
      <c r="B1" s="106"/>
      <c r="C1" s="137"/>
      <c r="D1" s="144"/>
      <c r="E1" s="95"/>
      <c r="F1" s="52" t="str">
        <f>HYPERLINK("#Contents!A1","Go to contents")</f>
        <v>Go to contents</v>
      </c>
      <c r="G1" s="95"/>
      <c r="H1" s="95"/>
      <c r="I1" s="95"/>
      <c r="J1" s="130"/>
      <c r="K1" s="95"/>
      <c r="L1" s="95"/>
      <c r="M1" s="95"/>
      <c r="N1" s="130"/>
    </row>
    <row r="2" spans="1:23" ht="36.75" customHeight="1">
      <c r="A2" s="6"/>
      <c r="B2" s="6"/>
      <c r="C2" s="244"/>
      <c r="D2" s="269"/>
      <c r="E2" s="127"/>
      <c r="F2" s="127"/>
      <c r="G2" s="127"/>
      <c r="H2" s="127"/>
      <c r="I2" s="106"/>
      <c r="J2" s="170"/>
      <c r="K2" s="138" t="str">
        <f>IF(K3 = $F3, "q", "")</f>
        <v>q</v>
      </c>
      <c r="L2" s="138" t="str">
        <f>IF(L3 = $F3, "q", "")</f>
        <v/>
      </c>
      <c r="M2" s="138" t="str">
        <f>IF(M3 = $F3, "q", "")</f>
        <v/>
      </c>
      <c r="N2" s="170"/>
    </row>
    <row r="3" spans="1:23" ht="14.25" customHeight="1">
      <c r="A3" s="106"/>
      <c r="B3" s="106"/>
      <c r="C3" s="137"/>
      <c r="D3" s="144"/>
      <c r="E3" s="6"/>
      <c r="F3" s="263" t="str">
        <f>INDEX(J3:S3,MATCH(F4,J4:S4,0))</f>
        <v>Base case 1</v>
      </c>
      <c r="G3" s="260"/>
      <c r="H3" s="6"/>
      <c r="I3" s="95"/>
      <c r="J3" s="200"/>
      <c r="K3" s="111" t="s">
        <v>226</v>
      </c>
      <c r="L3" s="111" t="s">
        <v>304</v>
      </c>
      <c r="M3" s="111" t="s">
        <v>69</v>
      </c>
      <c r="N3" s="200"/>
      <c r="O3" s="111" t="s">
        <v>303</v>
      </c>
      <c r="P3" s="111" t="s">
        <v>43</v>
      </c>
      <c r="Q3" s="111" t="s">
        <v>142</v>
      </c>
      <c r="R3" s="111" t="s">
        <v>227</v>
      </c>
    </row>
    <row r="4" spans="1:23">
      <c r="A4" s="165"/>
      <c r="B4" s="165"/>
      <c r="C4" s="211"/>
      <c r="D4" s="281"/>
      <c r="E4" s="15" t="s">
        <v>120</v>
      </c>
      <c r="F4" s="273">
        <v>1</v>
      </c>
      <c r="G4" s="15"/>
      <c r="H4" s="15"/>
      <c r="I4" s="213">
        <f>MATCH(F4, $J$4:$S$4, 0)</f>
        <v>2</v>
      </c>
      <c r="J4" s="116"/>
      <c r="K4" s="105">
        <v>1</v>
      </c>
      <c r="L4" s="105">
        <v>2</v>
      </c>
      <c r="M4" s="105">
        <v>3</v>
      </c>
      <c r="N4" s="116"/>
      <c r="O4" s="126">
        <v>4</v>
      </c>
      <c r="P4" s="126">
        <v>5</v>
      </c>
      <c r="Q4" s="126">
        <v>6</v>
      </c>
      <c r="R4" s="126">
        <v>7</v>
      </c>
    </row>
    <row r="5" spans="1:23">
      <c r="A5" s="165"/>
      <c r="B5" s="165"/>
      <c r="C5" s="211"/>
      <c r="D5" s="281"/>
      <c r="E5" s="15" t="s">
        <v>141</v>
      </c>
      <c r="F5" s="224">
        <v>1</v>
      </c>
      <c r="G5" s="15"/>
      <c r="H5" s="15"/>
      <c r="I5" s="213">
        <f>MATCH(F5, $J$4:$S$4, 0)</f>
        <v>2</v>
      </c>
      <c r="J5" s="116"/>
      <c r="K5" s="15"/>
      <c r="L5" s="15"/>
      <c r="M5" s="15"/>
      <c r="N5" s="116"/>
      <c r="O5" s="15"/>
      <c r="P5" s="15"/>
      <c r="Q5" s="15"/>
      <c r="R5" s="15"/>
    </row>
    <row r="6" spans="1:23">
      <c r="A6" s="165"/>
      <c r="B6" s="165"/>
      <c r="C6" s="211"/>
      <c r="D6" s="281"/>
      <c r="E6" s="15" t="s">
        <v>157</v>
      </c>
      <c r="F6" s="238">
        <f>INDEX(J6:S6,MATCH(F4,J4:S4,0))</f>
        <v>1</v>
      </c>
      <c r="G6" s="15"/>
      <c r="H6" s="15"/>
      <c r="I6" s="213">
        <f>MATCH(F6, $J$4:$S$4, 0)</f>
        <v>2</v>
      </c>
      <c r="J6" s="116"/>
      <c r="K6" s="105">
        <v>1</v>
      </c>
      <c r="L6" s="105">
        <v>2</v>
      </c>
      <c r="M6" s="105">
        <v>3</v>
      </c>
      <c r="N6" s="116"/>
      <c r="O6" s="105">
        <v>1</v>
      </c>
      <c r="P6" s="105">
        <v>1</v>
      </c>
      <c r="Q6" s="105">
        <v>2</v>
      </c>
      <c r="R6" s="105">
        <v>2</v>
      </c>
    </row>
    <row r="7" spans="1:23">
      <c r="A7" s="106"/>
      <c r="B7" s="106"/>
      <c r="C7" s="137"/>
      <c r="D7" s="144"/>
      <c r="E7" s="15" t="s">
        <v>68</v>
      </c>
      <c r="F7" s="215">
        <f>COUNTIF( $I$13:$I$102, "tu" )</f>
        <v>0</v>
      </c>
      <c r="G7" s="15"/>
      <c r="H7" s="15"/>
      <c r="J7" s="116"/>
      <c r="K7" s="143" t="str">
        <f>IF(K6 = $F$5, "Base case", "")</f>
        <v>Base case</v>
      </c>
      <c r="L7" s="143" t="str">
        <f>IF(L6 = $F$5, "Base case", "")</f>
        <v/>
      </c>
      <c r="M7" s="143" t="str">
        <f>IF(M6 = $F$5, "Base case", "")</f>
        <v/>
      </c>
      <c r="N7" s="116"/>
      <c r="O7" s="15"/>
      <c r="P7" s="15"/>
      <c r="Q7" s="15"/>
      <c r="R7" s="15"/>
    </row>
    <row r="8" spans="1:23">
      <c r="A8" s="106"/>
      <c r="B8" s="106"/>
      <c r="C8" s="137"/>
      <c r="D8" s="144"/>
      <c r="E8" s="94"/>
      <c r="F8" s="94"/>
      <c r="I8" s="233"/>
      <c r="J8" s="130"/>
      <c r="K8" s="95"/>
      <c r="L8" s="95"/>
      <c r="M8" s="95"/>
      <c r="N8" s="130"/>
    </row>
    <row r="9" spans="1:23">
      <c r="A9" s="106"/>
      <c r="B9" s="106"/>
      <c r="C9" s="137"/>
      <c r="D9" s="144"/>
      <c r="E9" s="95"/>
      <c r="F9" s="106" t="s">
        <v>248</v>
      </c>
      <c r="G9" s="106" t="s">
        <v>224</v>
      </c>
      <c r="H9" s="106" t="s">
        <v>93</v>
      </c>
      <c r="I9" s="97"/>
      <c r="J9" s="130"/>
      <c r="K9" s="95"/>
      <c r="L9" s="95"/>
      <c r="M9" s="95"/>
      <c r="N9" s="130"/>
    </row>
    <row r="10" spans="1:23">
      <c r="A10" s="106"/>
      <c r="B10" s="106"/>
      <c r="C10" s="137"/>
      <c r="D10" s="144"/>
      <c r="E10" s="95"/>
      <c r="F10" s="106"/>
      <c r="G10" s="106"/>
      <c r="H10" s="106"/>
      <c r="I10" s="97"/>
      <c r="J10" s="130"/>
      <c r="K10" s="95"/>
      <c r="L10" s="95"/>
      <c r="M10" s="95"/>
      <c r="N10" s="130"/>
    </row>
    <row r="11" spans="1:23">
      <c r="A11" s="106"/>
      <c r="B11" s="106"/>
      <c r="C11" s="137"/>
      <c r="D11" s="144"/>
      <c r="E11" s="95"/>
      <c r="F11" s="106"/>
      <c r="G11" s="106"/>
      <c r="H11" s="106"/>
      <c r="I11" s="97"/>
      <c r="J11" s="130"/>
      <c r="K11" s="95"/>
      <c r="L11" s="95"/>
      <c r="M11" s="95"/>
      <c r="N11" s="130"/>
    </row>
    <row r="12" spans="1:23">
      <c r="A12" s="106"/>
      <c r="B12" s="106"/>
      <c r="C12" s="137"/>
      <c r="D12" s="144"/>
      <c r="E12" s="95"/>
      <c r="F12" s="106"/>
      <c r="G12" s="106"/>
      <c r="H12" s="106"/>
      <c r="I12" s="97"/>
      <c r="J12" s="130"/>
      <c r="K12" s="95"/>
      <c r="L12" s="95"/>
      <c r="M12" s="95"/>
      <c r="N12" s="130"/>
    </row>
    <row r="13" spans="1:23">
      <c r="A13" s="106" t="s">
        <v>326</v>
      </c>
      <c r="B13" s="106"/>
      <c r="C13" s="137"/>
      <c r="D13" s="144"/>
      <c r="E13" s="95"/>
      <c r="F13" s="95"/>
      <c r="G13" s="95"/>
      <c r="H13" s="95"/>
      <c r="I13" s="97" t="str">
        <f t="shared" ref="I13:I22" si="0">IF( INDEX(J13:S13, I$5) = "", IF( INDEX(J13:S13, I$4) = F13, "vw", "tu"), IF(INDEX(J13:S13, I$5) = F13, "vw", "tu"))</f>
        <v>vw</v>
      </c>
      <c r="J13" s="130"/>
      <c r="K13" s="95"/>
      <c r="L13" s="95"/>
      <c r="M13" s="95"/>
      <c r="N13" s="130"/>
      <c r="O13" s="41"/>
      <c r="P13" s="41"/>
      <c r="Q13" s="41"/>
      <c r="R13" s="41"/>
    </row>
    <row r="14" spans="1:23">
      <c r="A14" s="106"/>
      <c r="B14" s="106"/>
      <c r="C14" s="137"/>
      <c r="D14" s="144"/>
      <c r="E14" s="136" t="s">
        <v>251</v>
      </c>
      <c r="F14" s="99">
        <f t="shared" ref="F14:F22" si="1">IF(INDEX(J14:X14,$I$4)="",INDEX(J14:X14,$I$6),INDEX(J14:X14,$I$4))</f>
        <v>0.9</v>
      </c>
      <c r="G14" s="136" t="s">
        <v>205</v>
      </c>
      <c r="H14" s="136"/>
      <c r="I14" s="97" t="str">
        <f t="shared" si="0"/>
        <v>vw</v>
      </c>
      <c r="J14" s="193"/>
      <c r="K14" s="33">
        <v>0.9</v>
      </c>
      <c r="L14" s="33">
        <v>0.9</v>
      </c>
      <c r="M14" s="33">
        <v>0.9</v>
      </c>
      <c r="N14" s="193"/>
      <c r="O14" s="33">
        <v>0.9</v>
      </c>
      <c r="P14" s="33">
        <v>0.9</v>
      </c>
      <c r="Q14" s="33">
        <v>0.9</v>
      </c>
      <c r="R14" s="33">
        <v>0.9</v>
      </c>
      <c r="T14" s="41"/>
      <c r="U14" s="41"/>
      <c r="V14" s="41"/>
      <c r="W14" s="41"/>
    </row>
    <row r="15" spans="1:23">
      <c r="E15" s="63" t="s">
        <v>182</v>
      </c>
      <c r="F15" s="93">
        <f t="shared" si="1"/>
        <v>500</v>
      </c>
      <c r="G15" s="63" t="s">
        <v>122</v>
      </c>
      <c r="I15" s="97" t="str">
        <f t="shared" si="0"/>
        <v>vw</v>
      </c>
      <c r="K15" s="20">
        <v>500</v>
      </c>
      <c r="L15" s="20">
        <v>500</v>
      </c>
      <c r="M15" s="20"/>
      <c r="O15" s="20"/>
      <c r="P15" s="20"/>
      <c r="Q15" s="20"/>
      <c r="R15" s="20"/>
      <c r="T15" s="41"/>
      <c r="U15" s="41"/>
      <c r="V15" s="41"/>
      <c r="W15" s="41"/>
    </row>
    <row r="16" spans="1:23">
      <c r="E16" s="78" t="s">
        <v>70</v>
      </c>
      <c r="F16" s="99">
        <f t="shared" si="1"/>
        <v>1</v>
      </c>
      <c r="G16" s="78" t="s">
        <v>205</v>
      </c>
      <c r="H16" s="100"/>
      <c r="I16" s="97" t="str">
        <f t="shared" si="0"/>
        <v>vw</v>
      </c>
      <c r="J16" s="77"/>
      <c r="K16" s="33">
        <v>1</v>
      </c>
      <c r="L16" s="33">
        <v>1</v>
      </c>
      <c r="M16" s="33">
        <v>1</v>
      </c>
      <c r="N16" s="77"/>
      <c r="O16" s="33">
        <v>1</v>
      </c>
      <c r="P16" s="33">
        <v>1</v>
      </c>
      <c r="Q16" s="33">
        <v>1</v>
      </c>
      <c r="R16" s="33">
        <v>1</v>
      </c>
      <c r="T16" s="41"/>
      <c r="U16" s="41"/>
      <c r="V16" s="41"/>
      <c r="W16" s="41"/>
    </row>
    <row r="17" spans="1:23">
      <c r="E17" s="63" t="s">
        <v>206</v>
      </c>
      <c r="F17" s="93">
        <f t="shared" si="1"/>
        <v>1</v>
      </c>
      <c r="G17" s="63"/>
      <c r="I17" s="97" t="str">
        <f t="shared" si="0"/>
        <v>vw</v>
      </c>
      <c r="K17" s="20">
        <v>1</v>
      </c>
      <c r="L17" s="20">
        <v>1</v>
      </c>
      <c r="M17" s="20">
        <v>1</v>
      </c>
      <c r="O17" s="20">
        <v>1</v>
      </c>
      <c r="P17" s="20">
        <v>1</v>
      </c>
      <c r="Q17" s="20">
        <v>1</v>
      </c>
      <c r="R17" s="20">
        <v>1</v>
      </c>
      <c r="T17" s="41"/>
      <c r="U17" s="41"/>
      <c r="V17" s="41"/>
      <c r="W17" s="41"/>
    </row>
    <row r="18" spans="1:23">
      <c r="E18" s="63" t="s">
        <v>183</v>
      </c>
      <c r="F18" s="93">
        <f t="shared" si="1"/>
        <v>0</v>
      </c>
      <c r="G18" s="63" t="s">
        <v>122</v>
      </c>
      <c r="I18" s="97" t="str">
        <f t="shared" si="0"/>
        <v>vw</v>
      </c>
      <c r="K18" s="20">
        <v>0</v>
      </c>
      <c r="L18" s="20">
        <v>0</v>
      </c>
      <c r="M18" s="20">
        <v>0</v>
      </c>
      <c r="O18" s="20">
        <v>0</v>
      </c>
      <c r="P18" s="20">
        <v>0</v>
      </c>
      <c r="Q18" s="20">
        <v>0</v>
      </c>
      <c r="R18" s="20">
        <v>0</v>
      </c>
      <c r="T18" s="41"/>
      <c r="U18" s="41"/>
      <c r="V18" s="41"/>
      <c r="W18" s="41"/>
    </row>
    <row r="19" spans="1:23">
      <c r="E19" s="63" t="s">
        <v>306</v>
      </c>
      <c r="F19" s="93">
        <f t="shared" si="1"/>
        <v>2</v>
      </c>
      <c r="G19" s="63" t="s">
        <v>71</v>
      </c>
      <c r="I19" s="97" t="str">
        <f t="shared" si="0"/>
        <v>vw</v>
      </c>
      <c r="K19" s="20">
        <v>2</v>
      </c>
      <c r="L19" s="20"/>
      <c r="M19" s="20"/>
      <c r="O19" s="20"/>
      <c r="P19" s="20"/>
      <c r="Q19" s="20"/>
      <c r="R19" s="20"/>
      <c r="T19" s="41"/>
      <c r="U19" s="41"/>
      <c r="V19" s="41"/>
      <c r="W19" s="41"/>
    </row>
    <row r="20" spans="1:23">
      <c r="E20" s="63" t="s">
        <v>269</v>
      </c>
      <c r="F20" s="93">
        <f t="shared" si="1"/>
        <v>12</v>
      </c>
      <c r="G20" s="63" t="s">
        <v>252</v>
      </c>
      <c r="I20" s="97" t="str">
        <f t="shared" si="0"/>
        <v>vw</v>
      </c>
      <c r="K20" s="20">
        <v>12</v>
      </c>
      <c r="L20" s="20"/>
      <c r="M20" s="20"/>
      <c r="O20" s="20"/>
      <c r="P20" s="20"/>
      <c r="Q20" s="20"/>
      <c r="R20" s="20"/>
      <c r="T20" s="41"/>
      <c r="U20" s="41"/>
      <c r="V20" s="41"/>
      <c r="W20" s="41"/>
    </row>
    <row r="21" spans="1:23">
      <c r="E21" s="63" t="s">
        <v>270</v>
      </c>
      <c r="F21" s="93">
        <f t="shared" si="1"/>
        <v>24</v>
      </c>
      <c r="G21" s="63" t="s">
        <v>71</v>
      </c>
      <c r="I21" s="97" t="str">
        <f t="shared" si="0"/>
        <v>vw</v>
      </c>
      <c r="K21" s="20">
        <v>24</v>
      </c>
      <c r="L21" s="20"/>
      <c r="M21" s="20"/>
      <c r="O21" s="20"/>
      <c r="P21" s="20"/>
      <c r="Q21" s="20"/>
      <c r="R21" s="20"/>
      <c r="T21" s="41"/>
      <c r="U21" s="41"/>
      <c r="V21" s="41"/>
      <c r="W21" s="41"/>
    </row>
    <row r="22" spans="1:23">
      <c r="E22" s="63" t="s">
        <v>3</v>
      </c>
      <c r="F22" s="93">
        <f t="shared" si="1"/>
        <v>12</v>
      </c>
      <c r="G22" s="63" t="s">
        <v>71</v>
      </c>
      <c r="I22" s="97" t="str">
        <f t="shared" si="0"/>
        <v>vw</v>
      </c>
      <c r="K22" s="20">
        <v>12</v>
      </c>
      <c r="L22" s="20">
        <v>12</v>
      </c>
      <c r="M22" s="20">
        <v>12</v>
      </c>
      <c r="O22" s="20">
        <v>12</v>
      </c>
      <c r="P22" s="20">
        <v>12</v>
      </c>
      <c r="Q22" s="20">
        <v>12</v>
      </c>
      <c r="R22" s="20">
        <v>12</v>
      </c>
      <c r="T22" s="41"/>
      <c r="U22" s="41"/>
      <c r="V22" s="41"/>
      <c r="W22" s="41"/>
    </row>
    <row r="24" spans="1:23">
      <c r="A24" s="274" t="s">
        <v>159</v>
      </c>
    </row>
    <row r="25" spans="1:23">
      <c r="E25" s="63" t="s">
        <v>98</v>
      </c>
      <c r="F25" s="93">
        <f t="shared" ref="F25:F28" si="2">IF(INDEX(J25:X25,$I$4)="",INDEX(J25:X25,$I$6),INDEX(J25:X25,$I$4))</f>
        <v>45000</v>
      </c>
      <c r="G25" s="63" t="s">
        <v>252</v>
      </c>
      <c r="I25" s="97" t="str">
        <f>IF( INDEX(J25:S25, I$5) = "", IF( INDEX(J25:S25, I$4) = F25, "vw", "tu"), IF(INDEX(J25:S25, I$5) = F25, "vw", "tu"))</f>
        <v>vw</v>
      </c>
      <c r="K25" s="20">
        <v>45000</v>
      </c>
      <c r="L25" s="20">
        <v>25000</v>
      </c>
      <c r="M25" s="20">
        <v>25000</v>
      </c>
      <c r="O25" s="20">
        <v>25000</v>
      </c>
      <c r="P25" s="20">
        <v>25000</v>
      </c>
      <c r="Q25" s="20">
        <v>25000</v>
      </c>
      <c r="R25" s="20">
        <v>25000</v>
      </c>
      <c r="T25" s="41"/>
      <c r="U25" s="41"/>
      <c r="V25" s="41"/>
      <c r="W25" s="41"/>
    </row>
    <row r="26" spans="1:23">
      <c r="E26" s="78" t="s">
        <v>327</v>
      </c>
      <c r="F26" s="99">
        <f t="shared" si="2"/>
        <v>0.1</v>
      </c>
      <c r="G26" s="78" t="s">
        <v>205</v>
      </c>
      <c r="H26" s="100"/>
      <c r="I26" s="97" t="str">
        <f>IF( INDEX(J26:S26, I$5) = "", IF( INDEX(J26:S26, I$4) = F26, "vw", "tu"), IF(INDEX(J26:S26, I$5) = F26, "vw", "tu"))</f>
        <v>vw</v>
      </c>
      <c r="J26" s="77"/>
      <c r="K26" s="33">
        <v>0.1</v>
      </c>
      <c r="L26" s="33">
        <v>0.1</v>
      </c>
      <c r="M26" s="33">
        <v>0.1</v>
      </c>
      <c r="N26" s="77"/>
      <c r="O26" s="33">
        <v>0.1</v>
      </c>
      <c r="P26" s="33">
        <v>0.1</v>
      </c>
      <c r="Q26" s="33">
        <v>0.1</v>
      </c>
      <c r="R26" s="33">
        <v>0.1</v>
      </c>
      <c r="T26" s="41"/>
      <c r="U26" s="41"/>
      <c r="V26" s="41"/>
      <c r="W26" s="41"/>
    </row>
    <row r="27" spans="1:23">
      <c r="E27" s="63" t="s">
        <v>307</v>
      </c>
      <c r="F27" s="93">
        <f t="shared" si="2"/>
        <v>3</v>
      </c>
      <c r="G27" s="63" t="s">
        <v>71</v>
      </c>
      <c r="I27" s="97" t="str">
        <f>IF( INDEX(J27:S27, I$5) = "", IF( INDEX(J27:S27, I$4) = F27, "vw", "tu"), IF(INDEX(J27:S27, I$5) = F27, "vw", "tu"))</f>
        <v>vw</v>
      </c>
      <c r="K27" s="20">
        <v>3</v>
      </c>
      <c r="L27" s="20">
        <v>3</v>
      </c>
      <c r="M27" s="20">
        <v>3</v>
      </c>
      <c r="O27" s="20">
        <v>3</v>
      </c>
      <c r="P27" s="20">
        <v>3</v>
      </c>
      <c r="Q27" s="20">
        <v>3</v>
      </c>
      <c r="R27" s="20">
        <v>3</v>
      </c>
      <c r="T27" s="41"/>
      <c r="U27" s="41"/>
      <c r="V27" s="41"/>
      <c r="W27" s="41"/>
    </row>
    <row r="28" spans="1:23">
      <c r="E28" s="78" t="s">
        <v>308</v>
      </c>
      <c r="F28" s="99">
        <f t="shared" si="2"/>
        <v>0.05</v>
      </c>
      <c r="G28" s="78" t="s">
        <v>205</v>
      </c>
      <c r="H28" s="100"/>
      <c r="I28" s="97" t="str">
        <f>IF( INDEX(J28:S28, I$5) = "", IF( INDEX(J28:S28, I$4) = F28, "vw", "tu"), IF(INDEX(J28:S28, I$5) = F28, "vw", "tu"))</f>
        <v>vw</v>
      </c>
      <c r="J28" s="77"/>
      <c r="K28" s="33">
        <v>0.05</v>
      </c>
      <c r="L28" s="33">
        <v>0.05</v>
      </c>
      <c r="M28" s="33">
        <v>0.05</v>
      </c>
      <c r="N28" s="77"/>
      <c r="O28" s="33">
        <v>0.05</v>
      </c>
      <c r="P28" s="33">
        <v>0.05</v>
      </c>
      <c r="Q28" s="33">
        <v>0.05</v>
      </c>
      <c r="R28" s="33">
        <v>0.05</v>
      </c>
      <c r="T28" s="41"/>
      <c r="U28" s="41"/>
      <c r="V28" s="41"/>
      <c r="W28" s="41"/>
    </row>
    <row r="30" spans="1:23">
      <c r="A30" s="274" t="s">
        <v>27</v>
      </c>
    </row>
    <row r="31" spans="1:23">
      <c r="E31" s="63" t="s">
        <v>72</v>
      </c>
      <c r="F31" s="93">
        <f t="shared" ref="F31:F35" si="3">IF(INDEX(J31:X31,$I$4)="",INDEX(J31:X31,$I$6),INDEX(J31:X31,$I$4))</f>
        <v>1000</v>
      </c>
      <c r="G31" s="63" t="s">
        <v>122</v>
      </c>
      <c r="I31" s="97" t="str">
        <f>IF( INDEX(J31:S31, I$5) = "", IF( INDEX(J31:S31, I$4) = F31, "vw", "tu"), IF(INDEX(J31:S31, I$5) = F31, "vw", "tu"))</f>
        <v>vw</v>
      </c>
      <c r="K31" s="20">
        <v>1000</v>
      </c>
      <c r="L31" s="20">
        <v>1000</v>
      </c>
      <c r="M31" s="20">
        <v>1000</v>
      </c>
      <c r="O31" s="20">
        <v>1000</v>
      </c>
      <c r="P31" s="20">
        <v>1000</v>
      </c>
      <c r="Q31" s="20">
        <v>1000</v>
      </c>
      <c r="R31" s="20">
        <v>1000</v>
      </c>
      <c r="T31" s="41"/>
      <c r="U31" s="41"/>
      <c r="V31" s="41"/>
      <c r="W31" s="41"/>
    </row>
    <row r="32" spans="1:23">
      <c r="E32" s="78" t="s">
        <v>47</v>
      </c>
      <c r="F32" s="99">
        <f t="shared" si="3"/>
        <v>0.3</v>
      </c>
      <c r="G32" s="78" t="s">
        <v>205</v>
      </c>
      <c r="H32" s="100"/>
      <c r="I32" s="97" t="str">
        <f>IF( INDEX(J32:S32, I$5) = "", IF( INDEX(J32:S32, I$4) = F32, "vw", "tu"), IF(INDEX(J32:S32, I$5) = F32, "vw", "tu"))</f>
        <v>vw</v>
      </c>
      <c r="J32" s="77"/>
      <c r="K32" s="33">
        <v>0.3</v>
      </c>
      <c r="L32" s="33"/>
      <c r="M32" s="33"/>
      <c r="N32" s="77"/>
      <c r="O32" s="33"/>
      <c r="P32" s="33"/>
      <c r="Q32" s="33"/>
      <c r="R32" s="33"/>
      <c r="T32" s="41"/>
      <c r="U32" s="41"/>
      <c r="V32" s="41"/>
      <c r="W32" s="41"/>
    </row>
    <row r="33" spans="1:23">
      <c r="E33" s="63" t="s">
        <v>48</v>
      </c>
      <c r="F33" s="93">
        <f t="shared" si="3"/>
        <v>6</v>
      </c>
      <c r="G33" s="63" t="s">
        <v>71</v>
      </c>
      <c r="I33" s="97" t="str">
        <f>IF( INDEX(J33:S33, I$5) = "", IF( INDEX(J33:S33, I$4) = F33, "vw", "tu"), IF(INDEX(J33:S33, I$5) = F33, "vw", "tu"))</f>
        <v>vw</v>
      </c>
      <c r="K33" s="20">
        <v>6</v>
      </c>
      <c r="L33" s="20"/>
      <c r="M33" s="20"/>
      <c r="O33" s="20"/>
      <c r="P33" s="20"/>
      <c r="Q33" s="20"/>
      <c r="R33" s="20"/>
      <c r="T33" s="41"/>
      <c r="U33" s="41"/>
      <c r="V33" s="41"/>
      <c r="W33" s="41"/>
    </row>
    <row r="34" spans="1:23">
      <c r="E34" s="63" t="s">
        <v>207</v>
      </c>
      <c r="F34" s="93">
        <f t="shared" si="3"/>
        <v>35</v>
      </c>
      <c r="G34" s="63" t="s">
        <v>252</v>
      </c>
      <c r="I34" s="97" t="str">
        <f>IF( INDEX(J34:S34, I$5) = "", IF( INDEX(J34:S34, I$4) = F34, "vw", "tu"), IF(INDEX(J34:S34, I$5) = F34, "vw", "tu"))</f>
        <v>vw</v>
      </c>
      <c r="K34" s="20">
        <v>35</v>
      </c>
      <c r="L34" s="20"/>
      <c r="M34" s="20"/>
      <c r="O34" s="20"/>
      <c r="P34" s="20"/>
      <c r="Q34" s="20"/>
      <c r="R34" s="20"/>
      <c r="T34" s="41"/>
      <c r="U34" s="41"/>
      <c r="V34" s="41"/>
      <c r="W34" s="41"/>
    </row>
    <row r="35" spans="1:23">
      <c r="E35" s="63" t="s">
        <v>286</v>
      </c>
      <c r="F35" s="93">
        <f t="shared" si="3"/>
        <v>5000</v>
      </c>
      <c r="G35" s="63" t="s">
        <v>122</v>
      </c>
      <c r="I35" s="97" t="str">
        <f>IF( INDEX(J35:S35, I$5) = "", IF( INDEX(J35:S35, I$4) = F35, "vw", "tu"), IF(INDEX(J35:S35, I$5) = F35, "vw", "tu"))</f>
        <v>vw</v>
      </c>
      <c r="K35" s="20">
        <v>5000</v>
      </c>
      <c r="L35" s="20"/>
      <c r="M35" s="20"/>
      <c r="O35" s="20"/>
      <c r="P35" s="20"/>
      <c r="Q35" s="20"/>
      <c r="R35" s="20"/>
      <c r="T35" s="41"/>
      <c r="U35" s="41"/>
      <c r="V35" s="41"/>
      <c r="W35" s="41"/>
    </row>
    <row r="37" spans="1:23">
      <c r="A37" s="274" t="s">
        <v>208</v>
      </c>
    </row>
    <row r="38" spans="1:23">
      <c r="E38" s="63" t="s">
        <v>160</v>
      </c>
      <c r="F38" s="93">
        <f t="shared" ref="F38:F41" si="4">IF(INDEX(J38:X38,$I$4)="",INDEX(J38:X38,$I$6),INDEX(J38:X38,$I$4))</f>
        <v>24</v>
      </c>
      <c r="G38" s="63" t="s">
        <v>71</v>
      </c>
      <c r="I38" s="97" t="str">
        <f>IF( INDEX(J38:S38, I$5) = "", IF( INDEX(J38:S38, I$4) = F38, "vw", "tu"), IF(INDEX(J38:S38, I$5) = F38, "vw", "tu"))</f>
        <v>vw</v>
      </c>
      <c r="K38" s="20">
        <v>24</v>
      </c>
      <c r="L38" s="20"/>
      <c r="M38" s="20"/>
      <c r="O38" s="20"/>
      <c r="P38" s="20"/>
      <c r="Q38" s="20"/>
      <c r="R38" s="20"/>
      <c r="T38" s="41"/>
      <c r="U38" s="41"/>
      <c r="V38" s="41"/>
      <c r="W38" s="41"/>
    </row>
    <row r="39" spans="1:23">
      <c r="E39" s="63" t="s">
        <v>328</v>
      </c>
      <c r="F39" s="93">
        <f t="shared" si="4"/>
        <v>0</v>
      </c>
      <c r="G39" s="63" t="s">
        <v>122</v>
      </c>
      <c r="I39" s="97" t="str">
        <f>IF( INDEX(J39:S39, I$5) = "", IF( INDEX(J39:S39, I$4) = F39, "vw", "tu"), IF(INDEX(J39:S39, I$5) = F39, "vw", "tu"))</f>
        <v>vw</v>
      </c>
      <c r="K39" s="20"/>
      <c r="L39" s="20"/>
      <c r="M39" s="20"/>
      <c r="O39" s="20"/>
      <c r="P39" s="20"/>
      <c r="Q39" s="20"/>
      <c r="R39" s="20"/>
      <c r="T39" s="41"/>
      <c r="U39" s="41"/>
      <c r="V39" s="41"/>
      <c r="W39" s="41"/>
    </row>
    <row r="40" spans="1:23">
      <c r="E40" s="63" t="s">
        <v>287</v>
      </c>
      <c r="F40" s="93">
        <f t="shared" si="4"/>
        <v>0</v>
      </c>
      <c r="G40" s="63" t="s">
        <v>122</v>
      </c>
      <c r="I40" s="97" t="str">
        <f>IF( INDEX(J40:S40, I$5) = "", IF( INDEX(J40:S40, I$4) = F40, "vw", "tu"), IF(INDEX(J40:S40, I$5) = F40, "vw", "tu"))</f>
        <v>vw</v>
      </c>
      <c r="K40" s="20"/>
      <c r="L40" s="20"/>
      <c r="M40" s="20"/>
      <c r="O40" s="20"/>
      <c r="P40" s="20"/>
      <c r="Q40" s="20"/>
      <c r="R40" s="20"/>
      <c r="T40" s="41"/>
      <c r="U40" s="41"/>
      <c r="V40" s="41"/>
      <c r="W40" s="41"/>
    </row>
    <row r="41" spans="1:23">
      <c r="E41" s="63" t="s">
        <v>161</v>
      </c>
      <c r="F41" s="93">
        <f t="shared" si="4"/>
        <v>0</v>
      </c>
      <c r="G41" s="63" t="s">
        <v>122</v>
      </c>
      <c r="I41" s="97" t="str">
        <f>IF( INDEX(J41:S41, I$5) = "", IF( INDEX(J41:S41, I$4) = F41, "vw", "tu"), IF(INDEX(J41:S41, I$5) = F41, "vw", "tu"))</f>
        <v>vw</v>
      </c>
      <c r="K41" s="20"/>
      <c r="L41" s="20"/>
      <c r="M41" s="20"/>
      <c r="O41" s="20"/>
      <c r="P41" s="20"/>
      <c r="Q41" s="20"/>
      <c r="R41" s="20"/>
      <c r="T41" s="41"/>
      <c r="U41" s="41"/>
      <c r="V41" s="41"/>
      <c r="W41" s="41"/>
    </row>
    <row r="43" spans="1:23">
      <c r="A43" s="274" t="s">
        <v>99</v>
      </c>
    </row>
    <row r="44" spans="1:23">
      <c r="E44" s="63" t="s">
        <v>209</v>
      </c>
      <c r="F44" s="93">
        <f t="shared" ref="F44:F52" si="5">IF(INDEX(J44:X44,$I$4)="",INDEX(J44:X44,$I$6),INDEX(J44:X44,$I$4))</f>
        <v>0</v>
      </c>
      <c r="G44" s="63" t="s">
        <v>252</v>
      </c>
      <c r="I44" s="97" t="str">
        <f t="shared" ref="I44:I52" si="6">IF( INDEX(J44:S44, I$5) = "", IF( INDEX(J44:S44, I$4) = F44, "vw", "tu"), IF(INDEX(J44:S44, I$5) = F44, "vw", "tu"))</f>
        <v>vw</v>
      </c>
      <c r="K44" s="20">
        <v>0</v>
      </c>
      <c r="L44" s="20">
        <v>0</v>
      </c>
      <c r="M44" s="20">
        <v>0</v>
      </c>
      <c r="O44" s="20">
        <v>0</v>
      </c>
      <c r="P44" s="20">
        <v>0</v>
      </c>
      <c r="Q44" s="20">
        <v>0</v>
      </c>
      <c r="R44" s="20">
        <v>0</v>
      </c>
      <c r="T44" s="41"/>
      <c r="U44" s="41"/>
      <c r="V44" s="41"/>
      <c r="W44" s="41"/>
    </row>
    <row r="45" spans="1:23">
      <c r="E45" s="63" t="s">
        <v>4</v>
      </c>
      <c r="F45" s="93">
        <f t="shared" si="5"/>
        <v>0</v>
      </c>
      <c r="G45" s="63" t="s">
        <v>252</v>
      </c>
      <c r="I45" s="97" t="str">
        <f t="shared" si="6"/>
        <v>vw</v>
      </c>
      <c r="K45" s="20">
        <v>0</v>
      </c>
      <c r="L45" s="20">
        <v>0</v>
      </c>
      <c r="M45" s="20">
        <v>0</v>
      </c>
      <c r="O45" s="20">
        <v>0</v>
      </c>
      <c r="P45" s="20">
        <v>0</v>
      </c>
      <c r="Q45" s="20">
        <v>0</v>
      </c>
      <c r="R45" s="20">
        <v>0</v>
      </c>
      <c r="T45" s="41"/>
      <c r="U45" s="41"/>
      <c r="V45" s="41"/>
      <c r="W45" s="41"/>
    </row>
    <row r="46" spans="1:23">
      <c r="E46" s="63" t="s">
        <v>329</v>
      </c>
      <c r="F46" s="93">
        <f t="shared" si="5"/>
        <v>0</v>
      </c>
      <c r="G46" s="63" t="s">
        <v>252</v>
      </c>
      <c r="I46" s="97" t="str">
        <f t="shared" si="6"/>
        <v>vw</v>
      </c>
      <c r="K46" s="20">
        <v>0</v>
      </c>
      <c r="L46" s="20">
        <v>0</v>
      </c>
      <c r="M46" s="20">
        <v>0</v>
      </c>
      <c r="O46" s="20">
        <v>0</v>
      </c>
      <c r="P46" s="20">
        <v>0</v>
      </c>
      <c r="Q46" s="20">
        <v>0</v>
      </c>
      <c r="R46" s="20">
        <v>0</v>
      </c>
      <c r="T46" s="41"/>
      <c r="U46" s="41"/>
      <c r="V46" s="41"/>
      <c r="W46" s="41"/>
    </row>
    <row r="47" spans="1:23">
      <c r="E47" s="63" t="s">
        <v>162</v>
      </c>
      <c r="F47" s="93">
        <f t="shared" si="5"/>
        <v>0</v>
      </c>
      <c r="G47" s="63" t="s">
        <v>252</v>
      </c>
      <c r="I47" s="97" t="str">
        <f t="shared" si="6"/>
        <v>vw</v>
      </c>
      <c r="K47" s="20"/>
      <c r="L47" s="20"/>
      <c r="M47" s="20"/>
      <c r="O47" s="20"/>
      <c r="P47" s="20"/>
      <c r="Q47" s="20"/>
      <c r="R47" s="20"/>
      <c r="T47" s="41"/>
      <c r="U47" s="41"/>
      <c r="V47" s="41"/>
      <c r="W47" s="41"/>
    </row>
    <row r="48" spans="1:23">
      <c r="E48" s="63" t="s">
        <v>184</v>
      </c>
      <c r="F48" s="93">
        <f t="shared" si="5"/>
        <v>0</v>
      </c>
      <c r="G48" s="63" t="s">
        <v>252</v>
      </c>
      <c r="I48" s="97" t="str">
        <f t="shared" si="6"/>
        <v>vw</v>
      </c>
      <c r="K48" s="20">
        <v>0</v>
      </c>
      <c r="L48" s="20">
        <v>0</v>
      </c>
      <c r="M48" s="20">
        <v>0</v>
      </c>
      <c r="O48" s="20">
        <v>0</v>
      </c>
      <c r="P48" s="20">
        <v>0</v>
      </c>
      <c r="Q48" s="20">
        <v>0</v>
      </c>
      <c r="R48" s="20">
        <v>0</v>
      </c>
      <c r="T48" s="41"/>
      <c r="U48" s="41"/>
      <c r="V48" s="41"/>
      <c r="W48" s="41"/>
    </row>
    <row r="49" spans="1:23">
      <c r="E49" s="63" t="s">
        <v>5</v>
      </c>
      <c r="F49" s="93">
        <f t="shared" si="5"/>
        <v>0</v>
      </c>
      <c r="G49" s="63" t="s">
        <v>252</v>
      </c>
      <c r="I49" s="97" t="str">
        <f t="shared" si="6"/>
        <v>vw</v>
      </c>
      <c r="K49" s="20">
        <v>0</v>
      </c>
      <c r="L49" s="20">
        <v>0</v>
      </c>
      <c r="M49" s="20">
        <v>0</v>
      </c>
      <c r="O49" s="20">
        <v>0</v>
      </c>
      <c r="P49" s="20">
        <v>0</v>
      </c>
      <c r="Q49" s="20">
        <v>0</v>
      </c>
      <c r="R49" s="20">
        <v>0</v>
      </c>
      <c r="T49" s="41"/>
      <c r="U49" s="41"/>
      <c r="V49" s="41"/>
      <c r="W49" s="41"/>
    </row>
    <row r="50" spans="1:23">
      <c r="E50" s="63" t="s">
        <v>123</v>
      </c>
      <c r="F50" s="93">
        <f t="shared" si="5"/>
        <v>0</v>
      </c>
      <c r="G50" s="63" t="s">
        <v>252</v>
      </c>
      <c r="I50" s="97" t="str">
        <f t="shared" si="6"/>
        <v>vw</v>
      </c>
      <c r="K50" s="20">
        <v>0</v>
      </c>
      <c r="L50" s="20">
        <v>0</v>
      </c>
      <c r="M50" s="20">
        <v>0</v>
      </c>
      <c r="O50" s="20">
        <v>0</v>
      </c>
      <c r="P50" s="20">
        <v>0</v>
      </c>
      <c r="Q50" s="20">
        <v>0</v>
      </c>
      <c r="R50" s="20">
        <v>0</v>
      </c>
      <c r="T50" s="41"/>
      <c r="U50" s="41"/>
      <c r="V50" s="41"/>
      <c r="W50" s="41"/>
    </row>
    <row r="51" spans="1:23">
      <c r="E51" s="63" t="s">
        <v>229</v>
      </c>
      <c r="F51" s="93">
        <f t="shared" si="5"/>
        <v>0</v>
      </c>
      <c r="G51" s="63" t="s">
        <v>252</v>
      </c>
      <c r="I51" s="97" t="str">
        <f t="shared" si="6"/>
        <v>vw</v>
      </c>
      <c r="K51" s="20">
        <v>0</v>
      </c>
      <c r="L51" s="20">
        <v>0</v>
      </c>
      <c r="M51" s="20">
        <v>0</v>
      </c>
      <c r="O51" s="20">
        <v>0</v>
      </c>
      <c r="P51" s="20">
        <v>0</v>
      </c>
      <c r="Q51" s="20">
        <v>0</v>
      </c>
      <c r="R51" s="20">
        <v>0</v>
      </c>
      <c r="T51" s="41"/>
      <c r="U51" s="41"/>
      <c r="V51" s="41"/>
      <c r="W51" s="41"/>
    </row>
    <row r="52" spans="1:23">
      <c r="E52" s="63" t="s">
        <v>73</v>
      </c>
      <c r="F52" s="93">
        <f t="shared" si="5"/>
        <v>0</v>
      </c>
      <c r="G52" s="63" t="s">
        <v>252</v>
      </c>
      <c r="I52" s="97" t="str">
        <f t="shared" si="6"/>
        <v>vw</v>
      </c>
      <c r="K52" s="20">
        <v>0</v>
      </c>
      <c r="L52" s="20">
        <v>0</v>
      </c>
      <c r="M52" s="20">
        <v>0</v>
      </c>
      <c r="O52" s="20">
        <v>0</v>
      </c>
      <c r="P52" s="20">
        <v>0</v>
      </c>
      <c r="Q52" s="20">
        <v>0</v>
      </c>
      <c r="R52" s="20">
        <v>0</v>
      </c>
      <c r="T52" s="41"/>
      <c r="U52" s="41"/>
      <c r="V52" s="41"/>
      <c r="W52" s="41"/>
    </row>
    <row r="54" spans="1:23">
      <c r="A54" s="274" t="s">
        <v>146</v>
      </c>
    </row>
    <row r="55" spans="1:23">
      <c r="E55" s="63" t="s">
        <v>271</v>
      </c>
      <c r="F55" s="93">
        <f t="shared" ref="F55:F56" si="7">IF(INDEX(J55:X55,$I$4)="",INDEX(J55:X55,$I$6),INDEX(J55:X55,$I$4))</f>
        <v>30</v>
      </c>
      <c r="G55" s="63" t="s">
        <v>124</v>
      </c>
      <c r="I55" s="97" t="str">
        <f>IF( INDEX(J55:S55, I$5) = "", IF( INDEX(J55:S55, I$4) = F55, "vw", "tu"), IF(INDEX(J55:S55, I$5) = F55, "vw", "tu"))</f>
        <v>vw</v>
      </c>
      <c r="K55" s="20">
        <v>30</v>
      </c>
      <c r="L55" s="20">
        <v>30</v>
      </c>
      <c r="M55" s="20">
        <v>30</v>
      </c>
      <c r="O55" s="20">
        <v>30</v>
      </c>
      <c r="P55" s="20">
        <v>30</v>
      </c>
      <c r="Q55" s="20">
        <v>30</v>
      </c>
      <c r="R55" s="20">
        <v>30</v>
      </c>
      <c r="T55" s="41"/>
      <c r="U55" s="41"/>
      <c r="V55" s="41"/>
      <c r="W55" s="41"/>
    </row>
    <row r="56" spans="1:23">
      <c r="E56" s="63" t="s">
        <v>288</v>
      </c>
      <c r="F56" s="93">
        <f t="shared" si="7"/>
        <v>360</v>
      </c>
      <c r="G56" s="63" t="s">
        <v>124</v>
      </c>
      <c r="I56" s="97" t="str">
        <f>IF( INDEX(J56:S56, I$5) = "", IF( INDEX(J56:S56, I$4) = F56, "vw", "tu"), IF(INDEX(J56:S56, I$5) = F56, "vw", "tu"))</f>
        <v>vw</v>
      </c>
      <c r="K56" s="20">
        <v>360</v>
      </c>
      <c r="L56" s="20">
        <v>360</v>
      </c>
      <c r="M56" s="20">
        <v>360</v>
      </c>
      <c r="O56" s="20">
        <v>360</v>
      </c>
      <c r="P56" s="20">
        <v>360</v>
      </c>
      <c r="Q56" s="20">
        <v>360</v>
      </c>
      <c r="R56" s="20">
        <v>360</v>
      </c>
      <c r="T56" s="41"/>
      <c r="U56" s="41"/>
      <c r="V56" s="41"/>
      <c r="W56" s="41"/>
    </row>
    <row r="58" spans="1:23">
      <c r="B58" s="148" t="s">
        <v>6</v>
      </c>
    </row>
    <row r="59" spans="1:23">
      <c r="E59" s="98" t="s">
        <v>253</v>
      </c>
      <c r="F59" s="123">
        <f t="shared" ref="F59:F63" si="8">IF(INDEX(J59:X59,$I$4)="",INDEX(J59:X59,$I$6),INDEX(J59:X59,$I$4))</f>
        <v>0</v>
      </c>
      <c r="G59" s="98" t="s">
        <v>210</v>
      </c>
      <c r="H59" s="121"/>
      <c r="I59" s="97" t="str">
        <f>IF( INDEX(J59:S59, I$5) = "", IF( INDEX(J59:S59, I$4) = F59, "vw", "tu"), IF(INDEX(J59:S59, I$5) = F59, "vw", "tu"))</f>
        <v>vw</v>
      </c>
      <c r="J59" s="101"/>
      <c r="K59" s="60"/>
      <c r="L59" s="60"/>
      <c r="M59" s="60"/>
      <c r="N59" s="101"/>
      <c r="O59" s="60"/>
      <c r="P59" s="60"/>
      <c r="Q59" s="60"/>
      <c r="R59" s="60"/>
      <c r="T59" s="41"/>
      <c r="U59" s="41"/>
      <c r="V59" s="41"/>
      <c r="W59" s="41"/>
    </row>
    <row r="60" spans="1:23">
      <c r="E60" s="98" t="s">
        <v>49</v>
      </c>
      <c r="F60" s="123">
        <f t="shared" si="8"/>
        <v>0</v>
      </c>
      <c r="G60" s="98" t="s">
        <v>210</v>
      </c>
      <c r="H60" s="121"/>
      <c r="I60" s="97" t="str">
        <f>IF( INDEX(J60:S60, I$5) = "", IF( INDEX(J60:S60, I$4) = F60, "vw", "tu"), IF(INDEX(J60:S60, I$5) = F60, "vw", "tu"))</f>
        <v>vw</v>
      </c>
      <c r="J60" s="101"/>
      <c r="K60" s="60"/>
      <c r="L60" s="60"/>
      <c r="M60" s="60"/>
      <c r="N60" s="101"/>
      <c r="O60" s="60"/>
      <c r="P60" s="60"/>
      <c r="Q60" s="60"/>
      <c r="R60" s="60"/>
      <c r="T60" s="41"/>
      <c r="U60" s="41"/>
      <c r="V60" s="41"/>
      <c r="W60" s="41"/>
    </row>
    <row r="61" spans="1:23">
      <c r="E61" s="78" t="s">
        <v>309</v>
      </c>
      <c r="F61" s="99">
        <f t="shared" si="8"/>
        <v>0.9</v>
      </c>
      <c r="G61" s="78" t="s">
        <v>205</v>
      </c>
      <c r="H61" s="100"/>
      <c r="I61" s="97" t="str">
        <f>IF( INDEX(J61:S61, I$5) = "", IF( INDEX(J61:S61, I$4) = F61, "vw", "tu"), IF(INDEX(J61:S61, I$5) = F61, "vw", "tu"))</f>
        <v>vw</v>
      </c>
      <c r="J61" s="77"/>
      <c r="K61" s="33">
        <v>0.9</v>
      </c>
      <c r="L61" s="33">
        <v>0.9</v>
      </c>
      <c r="M61" s="33">
        <v>0.9</v>
      </c>
      <c r="N61" s="77"/>
      <c r="O61" s="33">
        <v>0.9</v>
      </c>
      <c r="P61" s="33">
        <v>0.9</v>
      </c>
      <c r="Q61" s="33">
        <v>0.9</v>
      </c>
      <c r="R61" s="33">
        <v>0.9</v>
      </c>
      <c r="T61" s="41"/>
      <c r="U61" s="41"/>
      <c r="V61" s="41"/>
      <c r="W61" s="41"/>
    </row>
    <row r="62" spans="1:23">
      <c r="E62" s="78" t="s">
        <v>28</v>
      </c>
      <c r="F62" s="99">
        <f t="shared" si="8"/>
        <v>0.1</v>
      </c>
      <c r="G62" s="78" t="s">
        <v>205</v>
      </c>
      <c r="H62" s="100"/>
      <c r="I62" s="97" t="str">
        <f>IF( INDEX(J62:S62, I$5) = "", IF( INDEX(J62:S62, I$4) = F62, "vw", "tu"), IF(INDEX(J62:S62, I$5) = F62, "vw", "tu"))</f>
        <v>vw</v>
      </c>
      <c r="J62" s="77"/>
      <c r="K62" s="33">
        <v>0.1</v>
      </c>
      <c r="L62" s="33">
        <v>0.1</v>
      </c>
      <c r="M62" s="33">
        <v>0.1</v>
      </c>
      <c r="N62" s="77"/>
      <c r="O62" s="33">
        <v>0.1</v>
      </c>
      <c r="P62" s="33">
        <v>0.1</v>
      </c>
      <c r="Q62" s="33">
        <v>0.1</v>
      </c>
      <c r="R62" s="33">
        <v>0.1</v>
      </c>
      <c r="T62" s="41"/>
      <c r="U62" s="41"/>
      <c r="V62" s="41"/>
      <c r="W62" s="41"/>
    </row>
    <row r="63" spans="1:23">
      <c r="E63" s="63" t="s">
        <v>211</v>
      </c>
      <c r="F63" s="93">
        <f t="shared" si="8"/>
        <v>0</v>
      </c>
      <c r="G63" s="63" t="s">
        <v>252</v>
      </c>
      <c r="I63" s="97" t="str">
        <f>IF( INDEX(J63:S63, I$5) = "", IF( INDEX(J63:S63, I$4) = F63, "vw", "tu"), IF(INDEX(J63:S63, I$5) = F63, "vw", "tu"))</f>
        <v>vw</v>
      </c>
      <c r="K63" s="20"/>
      <c r="L63" s="20"/>
      <c r="M63" s="20"/>
      <c r="O63" s="20"/>
      <c r="P63" s="20"/>
      <c r="Q63" s="20"/>
      <c r="R63" s="20"/>
      <c r="T63" s="41"/>
      <c r="U63" s="41"/>
      <c r="V63" s="41"/>
      <c r="W63" s="41"/>
    </row>
    <row r="65" spans="1:23">
      <c r="B65" s="148" t="s">
        <v>163</v>
      </c>
    </row>
    <row r="66" spans="1:23">
      <c r="E66" s="98" t="s">
        <v>74</v>
      </c>
      <c r="F66" s="123">
        <f t="shared" ref="F66:F70" si="9">IF(INDEX(J66:X66,$I$4)="",INDEX(J66:X66,$I$6),INDEX(J66:X66,$I$4))</f>
        <v>0</v>
      </c>
      <c r="G66" s="98" t="s">
        <v>210</v>
      </c>
      <c r="H66" s="121"/>
      <c r="I66" s="97" t="str">
        <f>IF( INDEX(J66:S66, I$5) = "", IF( INDEX(J66:S66, I$4) = F66, "vw", "tu"), IF(INDEX(J66:S66, I$5) = F66, "vw", "tu"))</f>
        <v>vw</v>
      </c>
      <c r="J66" s="101"/>
      <c r="K66" s="60"/>
      <c r="L66" s="60"/>
      <c r="M66" s="60"/>
      <c r="N66" s="101"/>
      <c r="O66" s="60"/>
      <c r="P66" s="60"/>
      <c r="Q66" s="60"/>
      <c r="R66" s="60"/>
      <c r="T66" s="41"/>
      <c r="U66" s="41"/>
      <c r="V66" s="41"/>
      <c r="W66" s="41"/>
    </row>
    <row r="67" spans="1:23">
      <c r="E67" s="98" t="s">
        <v>272</v>
      </c>
      <c r="F67" s="123">
        <f t="shared" si="9"/>
        <v>0</v>
      </c>
      <c r="G67" s="98" t="s">
        <v>210</v>
      </c>
      <c r="H67" s="121"/>
      <c r="I67" s="97" t="str">
        <f>IF( INDEX(J67:S67, I$5) = "", IF( INDEX(J67:S67, I$4) = F67, "vw", "tu"), IF(INDEX(J67:S67, I$5) = F67, "vw", "tu"))</f>
        <v>vw</v>
      </c>
      <c r="J67" s="101"/>
      <c r="K67" s="60"/>
      <c r="L67" s="60"/>
      <c r="M67" s="60"/>
      <c r="N67" s="101"/>
      <c r="O67" s="60"/>
      <c r="P67" s="60"/>
      <c r="Q67" s="60"/>
      <c r="R67" s="60"/>
      <c r="T67" s="41"/>
      <c r="U67" s="41"/>
      <c r="V67" s="41"/>
      <c r="W67" s="41"/>
    </row>
    <row r="68" spans="1:23">
      <c r="E68" s="63" t="s">
        <v>125</v>
      </c>
      <c r="F68" s="93">
        <f t="shared" si="9"/>
        <v>0</v>
      </c>
      <c r="G68" s="63" t="s">
        <v>252</v>
      </c>
      <c r="I68" s="97" t="str">
        <f>IF( INDEX(J68:S68, I$5) = "", IF( INDEX(J68:S68, I$4) = F68, "vw", "tu"), IF(INDEX(J68:S68, I$5) = F68, "vw", "tu"))</f>
        <v>vw</v>
      </c>
      <c r="K68" s="20">
        <v>0</v>
      </c>
      <c r="L68" s="20">
        <v>0</v>
      </c>
      <c r="M68" s="20">
        <v>0</v>
      </c>
      <c r="O68" s="20">
        <v>0</v>
      </c>
      <c r="P68" s="20">
        <v>0</v>
      </c>
      <c r="Q68" s="20">
        <v>0</v>
      </c>
      <c r="R68" s="20">
        <v>0</v>
      </c>
      <c r="T68" s="41"/>
      <c r="U68" s="41"/>
      <c r="V68" s="41"/>
      <c r="W68" s="41"/>
    </row>
    <row r="69" spans="1:23">
      <c r="E69" s="78" t="s">
        <v>185</v>
      </c>
      <c r="F69" s="99">
        <f t="shared" si="9"/>
        <v>0.08</v>
      </c>
      <c r="G69" s="78" t="s">
        <v>205</v>
      </c>
      <c r="H69" s="100"/>
      <c r="I69" s="97" t="str">
        <f>IF( INDEX(J69:S69, I$5) = "", IF( INDEX(J69:S69, I$4) = F69, "vw", "tu"), IF(INDEX(J69:S69, I$5) = F69, "vw", "tu"))</f>
        <v>vw</v>
      </c>
      <c r="J69" s="77"/>
      <c r="K69" s="33">
        <v>0.08</v>
      </c>
      <c r="L69" s="33">
        <v>0.08</v>
      </c>
      <c r="M69" s="33">
        <v>0.08</v>
      </c>
      <c r="N69" s="77"/>
      <c r="O69" s="33">
        <v>0.08</v>
      </c>
      <c r="P69" s="33">
        <v>0.08</v>
      </c>
      <c r="Q69" s="33">
        <v>0.08</v>
      </c>
      <c r="R69" s="33">
        <v>0.08</v>
      </c>
      <c r="T69" s="41"/>
      <c r="U69" s="41"/>
      <c r="V69" s="41"/>
      <c r="W69" s="41"/>
    </row>
    <row r="70" spans="1:23">
      <c r="E70" s="78" t="s">
        <v>289</v>
      </c>
      <c r="F70" s="99">
        <f t="shared" si="9"/>
        <v>0.8</v>
      </c>
      <c r="G70" s="78" t="s">
        <v>205</v>
      </c>
      <c r="H70" s="100"/>
      <c r="I70" s="97" t="str">
        <f>IF( INDEX(J70:S70, I$5) = "", IF( INDEX(J70:S70, I$4) = F70, "vw", "tu"), IF(INDEX(J70:S70, I$5) = F70, "vw", "tu"))</f>
        <v>vw</v>
      </c>
      <c r="J70" s="77"/>
      <c r="K70" s="33">
        <v>0.8</v>
      </c>
      <c r="L70" s="33">
        <v>0.8</v>
      </c>
      <c r="M70" s="33">
        <v>0.8</v>
      </c>
      <c r="N70" s="77"/>
      <c r="O70" s="33">
        <v>0.8</v>
      </c>
      <c r="P70" s="33">
        <v>0.8</v>
      </c>
      <c r="Q70" s="33">
        <v>0.8</v>
      </c>
      <c r="R70" s="33">
        <v>0.8</v>
      </c>
      <c r="T70" s="41"/>
      <c r="U70" s="41"/>
      <c r="V70" s="41"/>
      <c r="W70" s="41"/>
    </row>
    <row r="72" spans="1:23">
      <c r="B72" s="148" t="s">
        <v>50</v>
      </c>
    </row>
    <row r="73" spans="1:23">
      <c r="E73" s="98" t="s">
        <v>290</v>
      </c>
      <c r="F73" s="123">
        <f t="shared" ref="F73:F78" si="10">IF(INDEX(J73:X73,$I$4)="",INDEX(J73:X73,$I$6),INDEX(J73:X73,$I$4))</f>
        <v>46873</v>
      </c>
      <c r="G73" s="98" t="s">
        <v>210</v>
      </c>
      <c r="H73" s="121"/>
      <c r="I73" s="97" t="str">
        <f t="shared" ref="I73:I78" si="11">IF( INDEX(J73:S73, I$5) = "", IF( INDEX(J73:S73, I$4) = F73, "vw", "tu"), IF(INDEX(J73:S73, I$5) = F73, "vw", "tu"))</f>
        <v>vw</v>
      </c>
      <c r="J73" s="101"/>
      <c r="K73" s="60">
        <v>46873</v>
      </c>
      <c r="L73" s="60"/>
      <c r="M73" s="60"/>
      <c r="N73" s="101"/>
      <c r="O73" s="60"/>
      <c r="P73" s="60"/>
      <c r="Q73" s="60"/>
      <c r="R73" s="60"/>
      <c r="T73" s="41"/>
      <c r="U73" s="41"/>
      <c r="V73" s="41"/>
      <c r="W73" s="41"/>
    </row>
    <row r="74" spans="1:23">
      <c r="E74" s="98" t="s">
        <v>273</v>
      </c>
      <c r="F74" s="123">
        <f t="shared" si="10"/>
        <v>45047</v>
      </c>
      <c r="G74" s="98" t="s">
        <v>210</v>
      </c>
      <c r="H74" s="121"/>
      <c r="I74" s="97" t="str">
        <f t="shared" si="11"/>
        <v>vw</v>
      </c>
      <c r="J74" s="101"/>
      <c r="K74" s="60">
        <v>45047</v>
      </c>
      <c r="L74" s="60"/>
      <c r="M74" s="60"/>
      <c r="N74" s="101"/>
      <c r="O74" s="60"/>
      <c r="P74" s="60"/>
      <c r="Q74" s="60"/>
      <c r="R74" s="60"/>
      <c r="T74" s="41"/>
      <c r="U74" s="41"/>
      <c r="V74" s="41"/>
      <c r="W74" s="41"/>
    </row>
    <row r="75" spans="1:23">
      <c r="E75" s="78" t="s">
        <v>51</v>
      </c>
      <c r="F75" s="99">
        <f t="shared" si="10"/>
        <v>0.08</v>
      </c>
      <c r="G75" s="78" t="s">
        <v>205</v>
      </c>
      <c r="H75" s="100"/>
      <c r="I75" s="97" t="str">
        <f t="shared" si="11"/>
        <v>vw</v>
      </c>
      <c r="J75" s="77"/>
      <c r="K75" s="33">
        <v>0.08</v>
      </c>
      <c r="L75" s="33"/>
      <c r="M75" s="33"/>
      <c r="N75" s="77"/>
      <c r="O75" s="33"/>
      <c r="P75" s="33"/>
      <c r="Q75" s="33"/>
      <c r="R75" s="33"/>
      <c r="T75" s="41"/>
      <c r="U75" s="41"/>
      <c r="V75" s="41"/>
      <c r="W75" s="41"/>
    </row>
    <row r="76" spans="1:23">
      <c r="E76" s="63" t="s">
        <v>100</v>
      </c>
      <c r="F76" s="93">
        <f t="shared" si="10"/>
        <v>24</v>
      </c>
      <c r="G76" s="63" t="s">
        <v>71</v>
      </c>
      <c r="I76" s="97" t="str">
        <f t="shared" si="11"/>
        <v>vw</v>
      </c>
      <c r="K76" s="20">
        <v>24</v>
      </c>
      <c r="L76" s="20"/>
      <c r="M76" s="20"/>
      <c r="O76" s="20"/>
      <c r="P76" s="20"/>
      <c r="Q76" s="20"/>
      <c r="R76" s="20"/>
      <c r="T76" s="41"/>
      <c r="U76" s="41"/>
      <c r="V76" s="41"/>
      <c r="W76" s="41"/>
    </row>
    <row r="77" spans="1:23">
      <c r="E77" s="78" t="s">
        <v>52</v>
      </c>
      <c r="F77" s="99">
        <f t="shared" si="10"/>
        <v>1</v>
      </c>
      <c r="G77" s="78" t="s">
        <v>205</v>
      </c>
      <c r="H77" s="100"/>
      <c r="I77" s="97" t="str">
        <f t="shared" si="11"/>
        <v>vw</v>
      </c>
      <c r="J77" s="77"/>
      <c r="K77" s="33">
        <v>1</v>
      </c>
      <c r="L77" s="33"/>
      <c r="M77" s="33"/>
      <c r="N77" s="77"/>
      <c r="O77" s="33"/>
      <c r="P77" s="33"/>
      <c r="Q77" s="33"/>
      <c r="R77" s="33"/>
      <c r="T77" s="41"/>
      <c r="U77" s="41"/>
      <c r="V77" s="41"/>
      <c r="W77" s="41"/>
    </row>
    <row r="78" spans="1:23">
      <c r="E78" s="63" t="s">
        <v>186</v>
      </c>
      <c r="F78" s="93">
        <f t="shared" si="10"/>
        <v>0</v>
      </c>
      <c r="G78" s="63" t="s">
        <v>252</v>
      </c>
      <c r="I78" s="97" t="str">
        <f t="shared" si="11"/>
        <v>vw</v>
      </c>
      <c r="K78" s="20">
        <v>0</v>
      </c>
      <c r="L78" s="20"/>
      <c r="M78" s="20"/>
      <c r="O78" s="20"/>
      <c r="P78" s="20"/>
      <c r="Q78" s="20"/>
      <c r="R78" s="20"/>
      <c r="T78" s="41"/>
      <c r="U78" s="41"/>
      <c r="V78" s="41"/>
      <c r="W78" s="41"/>
    </row>
    <row r="80" spans="1:23">
      <c r="A80" s="274" t="s">
        <v>187</v>
      </c>
    </row>
    <row r="81" spans="1:23">
      <c r="E81" s="63" t="s">
        <v>230</v>
      </c>
      <c r="F81" s="93">
        <f t="shared" ref="F81:F85" si="12">IF(INDEX(J81:X81,$I$4)="",INDEX(J81:X81,$I$6),INDEX(J81:X81,$I$4))</f>
        <v>3</v>
      </c>
      <c r="G81" s="63" t="s">
        <v>71</v>
      </c>
      <c r="I81" s="97" t="str">
        <f>IF( INDEX(J81:S81, I$5) = "", IF( INDEX(J81:S81, I$4) = F81, "vw", "tu"), IF(INDEX(J81:S81, I$5) = F81, "vw", "tu"))</f>
        <v>vw</v>
      </c>
      <c r="K81" s="20">
        <v>3</v>
      </c>
      <c r="L81" s="20">
        <v>3</v>
      </c>
      <c r="M81" s="20">
        <v>3</v>
      </c>
      <c r="O81" s="20">
        <v>3</v>
      </c>
      <c r="P81" s="20">
        <v>3</v>
      </c>
      <c r="Q81" s="20">
        <v>3</v>
      </c>
      <c r="R81" s="20">
        <v>3</v>
      </c>
      <c r="T81" s="41"/>
      <c r="U81" s="41"/>
      <c r="V81" s="41"/>
      <c r="W81" s="41"/>
    </row>
    <row r="82" spans="1:23">
      <c r="E82" s="98" t="s">
        <v>29</v>
      </c>
      <c r="F82" s="123">
        <f t="shared" si="12"/>
        <v>45078</v>
      </c>
      <c r="G82" s="98" t="s">
        <v>210</v>
      </c>
      <c r="H82" s="121"/>
      <c r="I82" s="97" t="str">
        <f>IF( INDEX(J82:S82, I$5) = "", IF( INDEX(J82:S82, I$4) = F82, "vw", "tu"), IF(INDEX(J82:S82, I$5) = F82, "vw", "tu"))</f>
        <v>vw</v>
      </c>
      <c r="J82" s="101"/>
      <c r="K82" s="60">
        <v>45078</v>
      </c>
      <c r="L82" s="60"/>
      <c r="M82" s="60"/>
      <c r="N82" s="101"/>
      <c r="O82" s="60"/>
      <c r="P82" s="60"/>
      <c r="Q82" s="60"/>
      <c r="R82" s="60"/>
      <c r="T82" s="41"/>
      <c r="U82" s="41"/>
      <c r="V82" s="41"/>
      <c r="W82" s="41"/>
    </row>
    <row r="83" spans="1:23">
      <c r="E83" s="78" t="s">
        <v>126</v>
      </c>
      <c r="F83" s="99">
        <f t="shared" si="12"/>
        <v>0.5</v>
      </c>
      <c r="G83" s="78" t="s">
        <v>205</v>
      </c>
      <c r="H83" s="100"/>
      <c r="I83" s="97" t="str">
        <f>IF( INDEX(J83:S83, I$5) = "", IF( INDEX(J83:S83, I$4) = F83, "vw", "tu"), IF(INDEX(J83:S83, I$5) = F83, "vw", "tu"))</f>
        <v>vw</v>
      </c>
      <c r="J83" s="77"/>
      <c r="K83" s="33">
        <v>0.5</v>
      </c>
      <c r="L83" s="33">
        <v>0.5</v>
      </c>
      <c r="M83" s="33">
        <v>0.5</v>
      </c>
      <c r="N83" s="77"/>
      <c r="O83" s="33">
        <v>0.5</v>
      </c>
      <c r="P83" s="33">
        <v>0.5</v>
      </c>
      <c r="Q83" s="33">
        <v>0.5</v>
      </c>
      <c r="R83" s="33">
        <v>0.5</v>
      </c>
      <c r="T83" s="41"/>
      <c r="U83" s="41"/>
      <c r="V83" s="41"/>
      <c r="W83" s="41"/>
    </row>
    <row r="84" spans="1:23">
      <c r="E84" s="78" t="s">
        <v>75</v>
      </c>
      <c r="F84" s="99">
        <f t="shared" si="12"/>
        <v>0.2</v>
      </c>
      <c r="G84" s="78" t="s">
        <v>205</v>
      </c>
      <c r="H84" s="100"/>
      <c r="I84" s="97" t="str">
        <f>IF( INDEX(J84:S84, I$5) = "", IF( INDEX(J84:S84, I$4) = F84, "vw", "tu"), IF(INDEX(J84:S84, I$5) = F84, "vw", "tu"))</f>
        <v>vw</v>
      </c>
      <c r="J84" s="77"/>
      <c r="K84" s="33">
        <v>0.2</v>
      </c>
      <c r="L84" s="33">
        <v>0.2</v>
      </c>
      <c r="M84" s="33">
        <v>0.2</v>
      </c>
      <c r="N84" s="77"/>
      <c r="O84" s="33">
        <v>0.2</v>
      </c>
      <c r="P84" s="33">
        <v>0.2</v>
      </c>
      <c r="Q84" s="33">
        <v>0.2</v>
      </c>
      <c r="R84" s="33">
        <v>0.2</v>
      </c>
      <c r="T84" s="41"/>
      <c r="U84" s="41"/>
      <c r="V84" s="41"/>
      <c r="W84" s="41"/>
    </row>
    <row r="85" spans="1:23">
      <c r="E85" s="63" t="s">
        <v>212</v>
      </c>
      <c r="F85" s="93">
        <f t="shared" si="12"/>
        <v>1</v>
      </c>
      <c r="G85" s="63" t="s">
        <v>71</v>
      </c>
      <c r="I85" s="97" t="str">
        <f>IF( INDEX(J85:S85, I$5) = "", IF( INDEX(J85:S85, I$4) = F85, "vw", "tu"), IF(INDEX(J85:S85, I$5) = F85, "vw", "tu"))</f>
        <v>vw</v>
      </c>
      <c r="K85" s="20">
        <v>1</v>
      </c>
      <c r="L85" s="20">
        <v>1</v>
      </c>
      <c r="M85" s="20">
        <v>1</v>
      </c>
      <c r="O85" s="20">
        <v>1</v>
      </c>
      <c r="P85" s="20">
        <v>1</v>
      </c>
      <c r="Q85" s="20">
        <v>1</v>
      </c>
      <c r="R85" s="20">
        <v>1</v>
      </c>
      <c r="T85" s="41"/>
      <c r="U85" s="41"/>
      <c r="V85" s="41"/>
      <c r="W85" s="41"/>
    </row>
    <row r="87" spans="1:23">
      <c r="A87" s="274" t="s">
        <v>254</v>
      </c>
    </row>
    <row r="88" spans="1:23">
      <c r="E88" s="78" t="s">
        <v>330</v>
      </c>
      <c r="F88" s="99">
        <f t="shared" ref="F88:F91" si="13">IF(INDEX(J88:X88,$I$4)="",INDEX(J88:X88,$I$6),INDEX(J88:X88,$I$4))</f>
        <v>0.2</v>
      </c>
      <c r="G88" s="78" t="s">
        <v>205</v>
      </c>
      <c r="H88" s="100"/>
      <c r="I88" s="97" t="str">
        <f>IF( INDEX(J88:S88, I$5) = "", IF( INDEX(J88:S88, I$4) = F88, "vw", "tu"), IF(INDEX(J88:S88, I$5) = F88, "vw", "tu"))</f>
        <v>vw</v>
      </c>
      <c r="J88" s="77"/>
      <c r="K88" s="33">
        <v>0.2</v>
      </c>
      <c r="L88" s="33"/>
      <c r="M88" s="33"/>
      <c r="N88" s="77"/>
      <c r="O88" s="33"/>
      <c r="P88" s="33"/>
      <c r="Q88" s="33"/>
      <c r="R88" s="33"/>
      <c r="T88" s="41"/>
      <c r="U88" s="41"/>
      <c r="V88" s="41"/>
      <c r="W88" s="41"/>
    </row>
    <row r="89" spans="1:23">
      <c r="E89" s="63" t="s">
        <v>231</v>
      </c>
      <c r="F89" s="93">
        <f t="shared" si="13"/>
        <v>0</v>
      </c>
      <c r="G89" s="63" t="s">
        <v>252</v>
      </c>
      <c r="I89" s="97" t="str">
        <f>IF( INDEX(J89:S89, I$5) = "", IF( INDEX(J89:S89, I$4) = F89, "vw", "tu"), IF(INDEX(J89:S89, I$5) = F89, "vw", "tu"))</f>
        <v>vw</v>
      </c>
      <c r="K89" s="20">
        <v>0</v>
      </c>
      <c r="L89" s="20"/>
      <c r="M89" s="20"/>
      <c r="O89" s="20"/>
      <c r="P89" s="20"/>
      <c r="Q89" s="20"/>
      <c r="R89" s="20"/>
      <c r="T89" s="41"/>
      <c r="U89" s="41"/>
      <c r="V89" s="41"/>
      <c r="W89" s="41"/>
    </row>
    <row r="90" spans="1:23">
      <c r="E90" s="63" t="s">
        <v>331</v>
      </c>
      <c r="F90" s="93">
        <f t="shared" si="13"/>
        <v>8</v>
      </c>
      <c r="G90" s="63"/>
      <c r="I90" s="97" t="str">
        <f>IF( INDEX(J90:S90, I$5) = "", IF( INDEX(J90:S90, I$4) = F90, "vw", "tu"), IF(INDEX(J90:S90, I$5) = F90, "vw", "tu"))</f>
        <v>vw</v>
      </c>
      <c r="K90" s="20">
        <v>8</v>
      </c>
      <c r="L90" s="20">
        <v>12</v>
      </c>
      <c r="M90" s="20">
        <v>12</v>
      </c>
      <c r="O90" s="20">
        <v>12</v>
      </c>
      <c r="P90" s="20">
        <v>12</v>
      </c>
      <c r="Q90" s="20">
        <v>12</v>
      </c>
      <c r="R90" s="20">
        <v>12</v>
      </c>
      <c r="T90" s="41"/>
      <c r="U90" s="41"/>
      <c r="V90" s="41"/>
      <c r="W90" s="41"/>
    </row>
    <row r="91" spans="1:23">
      <c r="E91" s="63" t="s">
        <v>274</v>
      </c>
      <c r="F91" s="93">
        <f t="shared" si="13"/>
        <v>0</v>
      </c>
      <c r="G91" s="63" t="s">
        <v>252</v>
      </c>
      <c r="I91" s="97" t="str">
        <f>IF( INDEX(J91:S91, I$5) = "", IF( INDEX(J91:S91, I$4) = F91, "vw", "tu"), IF(INDEX(J91:S91, I$5) = F91, "vw", "tu"))</f>
        <v>vw</v>
      </c>
      <c r="K91" s="20">
        <v>0</v>
      </c>
      <c r="L91" s="20">
        <v>0</v>
      </c>
      <c r="M91" s="20">
        <v>0</v>
      </c>
      <c r="O91" s="20">
        <v>0</v>
      </c>
      <c r="P91" s="20">
        <v>0</v>
      </c>
      <c r="Q91" s="20">
        <v>0</v>
      </c>
      <c r="R91" s="20">
        <v>0</v>
      </c>
      <c r="T91" s="41"/>
      <c r="U91" s="41"/>
      <c r="V91" s="41"/>
      <c r="W91" s="41"/>
    </row>
    <row r="93" spans="1:23">
      <c r="A93" s="274" t="s">
        <v>332</v>
      </c>
    </row>
    <row r="94" spans="1:23">
      <c r="E94" s="98" t="s">
        <v>333</v>
      </c>
      <c r="F94" s="123">
        <f>IF(INDEX(J94:X94,$I$4)="",INDEX(J94:X94,$I$6),INDEX(J94:X94,$I$4))</f>
        <v>0</v>
      </c>
      <c r="G94" s="98" t="s">
        <v>210</v>
      </c>
      <c r="H94" s="121"/>
      <c r="I94" s="97" t="str">
        <f>IF( INDEX(J94:S94, I$5) = "", IF( INDEX(J94:S94, I$4) = F94, "vw", "tu"), IF(INDEX(J94:S94, I$5) = F94, "vw", "tu"))</f>
        <v>vw</v>
      </c>
      <c r="J94" s="101"/>
      <c r="K94" s="60"/>
      <c r="L94" s="60"/>
      <c r="M94" s="60"/>
      <c r="N94" s="101"/>
      <c r="O94" s="60"/>
      <c r="P94" s="60"/>
      <c r="Q94" s="60"/>
      <c r="R94" s="60"/>
      <c r="T94" s="41"/>
      <c r="U94" s="41"/>
      <c r="V94" s="41"/>
      <c r="W94" s="41"/>
    </row>
    <row r="96" spans="1:23" outlineLevel="1">
      <c r="A96" s="274" t="s">
        <v>30</v>
      </c>
    </row>
    <row r="97" spans="5:7" outlineLevel="1">
      <c r="E97" s="63" t="s">
        <v>76</v>
      </c>
      <c r="F97" s="20">
        <v>12</v>
      </c>
      <c r="G97" s="63"/>
    </row>
    <row r="98" spans="5:7" outlineLevel="1">
      <c r="E98" s="63" t="s">
        <v>188</v>
      </c>
      <c r="F98" s="20">
        <v>1</v>
      </c>
      <c r="G98" s="63" t="s">
        <v>71</v>
      </c>
    </row>
    <row r="99" spans="5:7" outlineLevel="1">
      <c r="E99" s="63" t="s">
        <v>147</v>
      </c>
      <c r="F99" s="20">
        <v>4</v>
      </c>
      <c r="G99" s="63" t="s">
        <v>71</v>
      </c>
    </row>
    <row r="100" spans="5:7" outlineLevel="1">
      <c r="E100" s="98" t="s">
        <v>310</v>
      </c>
      <c r="F100" s="60">
        <v>45047</v>
      </c>
      <c r="G100" s="63" t="s">
        <v>210</v>
      </c>
    </row>
    <row r="101" spans="5:7" outlineLevel="1"/>
    <row r="102" spans="5:7" outlineLevel="1"/>
  </sheetData>
  <conditionalFormatting sqref="I9:I22 I25:I28 I31:I35 I38:I41 I44:I52 I55:I56 I59:I63 I66:I70 I73:I78 I81:I85 I88:I91 I94">
    <cfRule type="cellIs" dxfId="282" priority="4" operator="equal">
      <formula>"tu"</formula>
    </cfRule>
  </conditionalFormatting>
  <conditionalFormatting sqref="O13:R13 T14:W22 T25:W28 T31:W35 T38:W41 T44:W52 T55:W56 T59:W63 T66:W70 T73:W78 T81:W85 T88:W91 T94:W94">
    <cfRule type="cellIs" dxfId="281" priority="1" operator="equal">
      <formula>""</formula>
    </cfRule>
  </conditionalFormatting>
  <printOptions verticalCentered="1" headings="1"/>
  <pageMargins left="0.74803149606299213" right="0.74803149606299213" top="0.98425196850393704" bottom="0.98425196850393704" header="0.51181102362204722" footer="0.51181102362204722"/>
  <pageSetup paperSize="9" scale="55" orientation="landscape" blackAndWhite="1" horizontalDpi="300" verticalDpi="300"/>
  <customProperties>
    <customPr name="MMSheetType"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99"/>
    <outlinePr summaryBelow="0" summaryRight="0"/>
  </sheetPr>
  <dimension ref="A1:BQ19"/>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2"/>
  <cols>
    <col min="1" max="2" width="1.453125" style="27" customWidth="1"/>
    <col min="3" max="3" width="1.453125" style="61" customWidth="1"/>
    <col min="4" max="4" width="1.453125" style="164" customWidth="1"/>
    <col min="5" max="5" width="27.0898437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RIGHT(CELL("filename", A1), LEN(CELL("filename", A1)) - SEARCH("]", CELL("filename", A1)))</f>
        <v>InpS</v>
      </c>
      <c r="B1" s="81"/>
      <c r="C1" s="79"/>
      <c r="D1" s="175"/>
      <c r="F1" s="52" t="str">
        <f>HYPERLINK("#Contents!A1","Go to contents")</f>
        <v>Go to contents</v>
      </c>
      <c r="H1" s="56"/>
      <c r="J1" s="56"/>
    </row>
    <row r="2" spans="1:69" s="53" customFormat="1">
      <c r="A2" s="57"/>
      <c r="B2" s="57"/>
      <c r="C2" s="80"/>
      <c r="D2" s="183"/>
      <c r="E2" s="161" t="s">
        <v>324</v>
      </c>
      <c r="F2" s="51">
        <f ca="1">'Model Checks and Alerts'!F11</f>
        <v>0</v>
      </c>
      <c r="G2" s="55" t="s">
        <v>143</v>
      </c>
      <c r="H2" s="22"/>
      <c r="I2" s="22"/>
      <c r="J2" s="6">
        <f>Time!J$19</f>
        <v>45077</v>
      </c>
      <c r="K2" s="6">
        <f>Time!K$19</f>
        <v>45107</v>
      </c>
      <c r="L2" s="6">
        <f>Time!L$19</f>
        <v>45138</v>
      </c>
      <c r="M2" s="6">
        <f>Time!M$19</f>
        <v>45169</v>
      </c>
      <c r="N2" s="6">
        <f>Time!N$19</f>
        <v>45199</v>
      </c>
      <c r="O2" s="6">
        <f>Time!O$19</f>
        <v>45230</v>
      </c>
      <c r="P2" s="6">
        <f>Time!P$19</f>
        <v>45260</v>
      </c>
      <c r="Q2" s="6">
        <f>Time!Q$19</f>
        <v>45291</v>
      </c>
      <c r="R2" s="6">
        <f>Time!R$19</f>
        <v>45322</v>
      </c>
      <c r="S2" s="6">
        <f>Time!S$19</f>
        <v>45351</v>
      </c>
      <c r="T2" s="6">
        <f>Time!T$19</f>
        <v>45382</v>
      </c>
      <c r="U2" s="6">
        <f>Time!U$19</f>
        <v>45412</v>
      </c>
      <c r="V2" s="6">
        <f>Time!V$19</f>
        <v>45443</v>
      </c>
      <c r="W2" s="6">
        <f>Time!W$19</f>
        <v>45473</v>
      </c>
      <c r="X2" s="6">
        <f>Time!X$19</f>
        <v>45504</v>
      </c>
      <c r="Y2" s="6">
        <f>Time!Y$19</f>
        <v>45535</v>
      </c>
      <c r="Z2" s="6">
        <f>Time!Z$19</f>
        <v>45565</v>
      </c>
      <c r="AA2" s="6">
        <f>Time!AA$19</f>
        <v>45596</v>
      </c>
      <c r="AB2" s="6">
        <f>Time!AB$19</f>
        <v>45626</v>
      </c>
      <c r="AC2" s="6">
        <f>Time!AC$19</f>
        <v>45657</v>
      </c>
      <c r="AD2" s="6">
        <f>Time!AD$19</f>
        <v>45688</v>
      </c>
      <c r="AE2" s="6">
        <f>Time!AE$19</f>
        <v>45716</v>
      </c>
      <c r="AF2" s="6">
        <f>Time!AF$19</f>
        <v>45747</v>
      </c>
      <c r="AG2" s="6">
        <f>Time!AG$19</f>
        <v>45777</v>
      </c>
      <c r="AH2" s="6">
        <f>Time!AH$19</f>
        <v>45808</v>
      </c>
      <c r="AI2" s="6">
        <f>Time!AI$19</f>
        <v>45838</v>
      </c>
      <c r="AJ2" s="6">
        <f>Time!AJ$19</f>
        <v>45869</v>
      </c>
      <c r="AK2" s="6">
        <f>Time!AK$19</f>
        <v>45900</v>
      </c>
      <c r="AL2" s="6">
        <f>Time!AL$19</f>
        <v>45930</v>
      </c>
      <c r="AM2" s="6">
        <f>Time!AM$19</f>
        <v>45961</v>
      </c>
      <c r="AN2" s="6">
        <f>Time!AN$19</f>
        <v>45991</v>
      </c>
      <c r="AO2" s="6">
        <f>Time!AO$19</f>
        <v>46022</v>
      </c>
      <c r="AP2" s="6">
        <f>Time!AP$19</f>
        <v>46053</v>
      </c>
      <c r="AQ2" s="6">
        <f>Time!AQ$19</f>
        <v>46081</v>
      </c>
      <c r="AR2" s="6">
        <f>Time!AR$19</f>
        <v>46112</v>
      </c>
      <c r="AS2" s="6">
        <f>Time!AS$19</f>
        <v>46142</v>
      </c>
      <c r="AT2" s="6">
        <f>Time!AT$19</f>
        <v>46173</v>
      </c>
      <c r="AU2" s="6">
        <f>Time!AU$19</f>
        <v>46203</v>
      </c>
      <c r="AV2" s="6">
        <f>Time!AV$19</f>
        <v>46234</v>
      </c>
      <c r="AW2" s="6">
        <f>Time!AW$19</f>
        <v>46265</v>
      </c>
      <c r="AX2" s="6">
        <f>Time!AX$19</f>
        <v>46295</v>
      </c>
      <c r="AY2" s="6">
        <f>Time!AY$19</f>
        <v>46326</v>
      </c>
      <c r="AZ2" s="6">
        <f>Time!AZ$19</f>
        <v>46356</v>
      </c>
      <c r="BA2" s="6">
        <f>Time!BA$19</f>
        <v>46387</v>
      </c>
      <c r="BB2" s="6">
        <f>Time!BB$19</f>
        <v>46418</v>
      </c>
      <c r="BC2" s="6">
        <f>Time!BC$19</f>
        <v>46446</v>
      </c>
      <c r="BD2" s="6">
        <f>Time!BD$19</f>
        <v>46477</v>
      </c>
      <c r="BE2" s="6">
        <f>Time!BE$19</f>
        <v>46507</v>
      </c>
      <c r="BF2" s="6">
        <f>Time!BF$19</f>
        <v>46538</v>
      </c>
      <c r="BG2" s="6">
        <f>Time!BG$19</f>
        <v>46568</v>
      </c>
      <c r="BH2" s="6">
        <f>Time!BH$19</f>
        <v>46599</v>
      </c>
      <c r="BI2" s="6">
        <f>Time!BI$19</f>
        <v>46630</v>
      </c>
      <c r="BJ2" s="6">
        <f>Time!BJ$19</f>
        <v>46660</v>
      </c>
      <c r="BK2" s="6">
        <f>Time!BK$19</f>
        <v>46691</v>
      </c>
      <c r="BL2" s="6">
        <f>Time!BL$19</f>
        <v>46721</v>
      </c>
      <c r="BM2" s="6">
        <f>Time!BM$19</f>
        <v>46752</v>
      </c>
      <c r="BN2" s="6">
        <f>Time!BN$19</f>
        <v>46783</v>
      </c>
      <c r="BO2" s="6">
        <f>Time!BO$19</f>
        <v>46812</v>
      </c>
      <c r="BP2" s="6">
        <f>Time!BP$19</f>
        <v>46843</v>
      </c>
      <c r="BQ2" s="6">
        <f>Time!BQ$19</f>
        <v>46873</v>
      </c>
    </row>
    <row r="3" spans="1:69" s="53" customFormat="1">
      <c r="A3" s="57"/>
      <c r="B3" s="57"/>
      <c r="C3" s="80"/>
      <c r="D3" s="183"/>
      <c r="E3" s="15" t="s">
        <v>203</v>
      </c>
      <c r="F3" s="51"/>
      <c r="G3" s="55" t="s">
        <v>97</v>
      </c>
      <c r="H3" s="22"/>
      <c r="I3" s="22"/>
      <c r="J3" s="7" t="str">
        <f>Time!J$24</f>
        <v>Month1</v>
      </c>
      <c r="K3" s="7" t="str">
        <f>Time!K$24</f>
        <v>Month2</v>
      </c>
      <c r="L3" s="7" t="str">
        <f>Time!L$24</f>
        <v>Month3</v>
      </c>
      <c r="M3" s="7" t="str">
        <f>Time!M$24</f>
        <v>Month4</v>
      </c>
      <c r="N3" s="7" t="str">
        <f>Time!N$24</f>
        <v>Month5</v>
      </c>
      <c r="O3" s="7" t="str">
        <f>Time!O$24</f>
        <v>Month6</v>
      </c>
      <c r="P3" s="7" t="str">
        <f>Time!P$24</f>
        <v>Month7</v>
      </c>
      <c r="Q3" s="7" t="str">
        <f>Time!Q$24</f>
        <v>Month8</v>
      </c>
      <c r="R3" s="7" t="str">
        <f>Time!R$24</f>
        <v>Month9</v>
      </c>
      <c r="S3" s="7" t="str">
        <f>Time!S$24</f>
        <v>Month10</v>
      </c>
      <c r="T3" s="7" t="str">
        <f>Time!T$24</f>
        <v>Month11</v>
      </c>
      <c r="U3" s="7" t="str">
        <f>Time!U$24</f>
        <v>Month12</v>
      </c>
      <c r="V3" s="7" t="str">
        <f>Time!V$24</f>
        <v>Month13</v>
      </c>
      <c r="W3" s="7" t="str">
        <f>Time!W$24</f>
        <v>Month14</v>
      </c>
      <c r="X3" s="7" t="str">
        <f>Time!X$24</f>
        <v>Month15</v>
      </c>
      <c r="Y3" s="7" t="str">
        <f>Time!Y$24</f>
        <v>Month16</v>
      </c>
      <c r="Z3" s="7" t="str">
        <f>Time!Z$24</f>
        <v>Month17</v>
      </c>
      <c r="AA3" s="7" t="str">
        <f>Time!AA$24</f>
        <v>Month18</v>
      </c>
      <c r="AB3" s="7" t="str">
        <f>Time!AB$24</f>
        <v>Month19</v>
      </c>
      <c r="AC3" s="7" t="str">
        <f>Time!AC$24</f>
        <v>Month20</v>
      </c>
      <c r="AD3" s="7" t="str">
        <f>Time!AD$24</f>
        <v>Month21</v>
      </c>
      <c r="AE3" s="7" t="str">
        <f>Time!AE$24</f>
        <v>Month22</v>
      </c>
      <c r="AF3" s="7" t="str">
        <f>Time!AF$24</f>
        <v>Month23</v>
      </c>
      <c r="AG3" s="7" t="str">
        <f>Time!AG$24</f>
        <v>Month24</v>
      </c>
      <c r="AH3" s="7" t="str">
        <f>Time!AH$24</f>
        <v>Month25</v>
      </c>
      <c r="AI3" s="7" t="str">
        <f>Time!AI$24</f>
        <v>Month26</v>
      </c>
      <c r="AJ3" s="7" t="str">
        <f>Time!AJ$24</f>
        <v>Month27</v>
      </c>
      <c r="AK3" s="7" t="str">
        <f>Time!AK$24</f>
        <v>Month28</v>
      </c>
      <c r="AL3" s="7" t="str">
        <f>Time!AL$24</f>
        <v>Month29</v>
      </c>
      <c r="AM3" s="7" t="str">
        <f>Time!AM$24</f>
        <v>Month30</v>
      </c>
      <c r="AN3" s="7" t="str">
        <f>Time!AN$24</f>
        <v>Month31</v>
      </c>
      <c r="AO3" s="7" t="str">
        <f>Time!AO$24</f>
        <v>Month32</v>
      </c>
      <c r="AP3" s="7" t="str">
        <f>Time!AP$24</f>
        <v>Month33</v>
      </c>
      <c r="AQ3" s="7" t="str">
        <f>Time!AQ$24</f>
        <v>Month34</v>
      </c>
      <c r="AR3" s="7" t="str">
        <f>Time!AR$24</f>
        <v>Month35</v>
      </c>
      <c r="AS3" s="7" t="str">
        <f>Time!AS$24</f>
        <v>Month36</v>
      </c>
      <c r="AT3" s="7" t="str">
        <f>Time!AT$24</f>
        <v>Month37</v>
      </c>
      <c r="AU3" s="7" t="str">
        <f>Time!AU$24</f>
        <v>Month38</v>
      </c>
      <c r="AV3" s="7" t="str">
        <f>Time!AV$24</f>
        <v>Month39</v>
      </c>
      <c r="AW3" s="7" t="str">
        <f>Time!AW$24</f>
        <v>Month40</v>
      </c>
      <c r="AX3" s="7" t="str">
        <f>Time!AX$24</f>
        <v>Month41</v>
      </c>
      <c r="AY3" s="7" t="str">
        <f>Time!AY$24</f>
        <v>Month42</v>
      </c>
      <c r="AZ3" s="7" t="str">
        <f>Time!AZ$24</f>
        <v>Month43</v>
      </c>
      <c r="BA3" s="7" t="str">
        <f>Time!BA$24</f>
        <v>Month44</v>
      </c>
      <c r="BB3" s="7" t="str">
        <f>Time!BB$24</f>
        <v>Month45</v>
      </c>
      <c r="BC3" s="7" t="str">
        <f>Time!BC$24</f>
        <v>Month46</v>
      </c>
      <c r="BD3" s="7" t="str">
        <f>Time!BD$24</f>
        <v>Month47</v>
      </c>
      <c r="BE3" s="7" t="str">
        <f>Time!BE$24</f>
        <v>Month48</v>
      </c>
      <c r="BF3" s="7" t="str">
        <f>Time!BF$24</f>
        <v>Month49</v>
      </c>
      <c r="BG3" s="7" t="str">
        <f>Time!BG$24</f>
        <v>Month50</v>
      </c>
      <c r="BH3" s="7" t="str">
        <f>Time!BH$24</f>
        <v>Month51</v>
      </c>
      <c r="BI3" s="7" t="str">
        <f>Time!BI$24</f>
        <v>Month52</v>
      </c>
      <c r="BJ3" s="7" t="str">
        <f>Time!BJ$24</f>
        <v>Month53</v>
      </c>
      <c r="BK3" s="7" t="str">
        <f>Time!BK$24</f>
        <v>Month54</v>
      </c>
      <c r="BL3" s="7" t="str">
        <f>Time!BL$24</f>
        <v>Month55</v>
      </c>
      <c r="BM3" s="7" t="str">
        <f>Time!BM$24</f>
        <v>Month56</v>
      </c>
      <c r="BN3" s="7" t="str">
        <f>Time!BN$24</f>
        <v>Month57</v>
      </c>
      <c r="BO3" s="7" t="str">
        <f>Time!BO$24</f>
        <v>Month58</v>
      </c>
      <c r="BP3" s="7" t="str">
        <f>Time!BP$24</f>
        <v>Month59</v>
      </c>
      <c r="BQ3" s="7" t="str">
        <f>Time!BQ$24</f>
        <v>Month60</v>
      </c>
    </row>
    <row r="4" spans="1:69" s="53" customFormat="1">
      <c r="A4" s="57"/>
      <c r="B4" s="57"/>
      <c r="C4" s="80"/>
      <c r="D4" s="183"/>
      <c r="E4" s="28" t="s">
        <v>325</v>
      </c>
      <c r="F4" s="46"/>
      <c r="G4" s="46"/>
      <c r="H4" s="22"/>
      <c r="I4" s="22"/>
      <c r="J4" s="28">
        <f>Time!J$28</f>
        <v>1</v>
      </c>
      <c r="K4" s="28">
        <f>Time!K$28</f>
        <v>2</v>
      </c>
      <c r="L4" s="28">
        <f>Time!L$28</f>
        <v>3</v>
      </c>
      <c r="M4" s="28">
        <f>Time!M$28</f>
        <v>4</v>
      </c>
      <c r="N4" s="28">
        <f>Time!N$28</f>
        <v>5</v>
      </c>
      <c r="O4" s="28">
        <f>Time!O$28</f>
        <v>6</v>
      </c>
      <c r="P4" s="28">
        <f>Time!P$28</f>
        <v>7</v>
      </c>
      <c r="Q4" s="28">
        <f>Time!Q$28</f>
        <v>8</v>
      </c>
      <c r="R4" s="28">
        <f>Time!R$28</f>
        <v>9</v>
      </c>
      <c r="S4" s="28">
        <f>Time!S$28</f>
        <v>10</v>
      </c>
      <c r="T4" s="28">
        <f>Time!T$28</f>
        <v>11</v>
      </c>
      <c r="U4" s="28">
        <f>Time!U$28</f>
        <v>12</v>
      </c>
      <c r="V4" s="28">
        <f>Time!V$28</f>
        <v>13</v>
      </c>
      <c r="W4" s="28">
        <f>Time!W$28</f>
        <v>14</v>
      </c>
      <c r="X4" s="28">
        <f>Time!X$28</f>
        <v>15</v>
      </c>
      <c r="Y4" s="28">
        <f>Time!Y$28</f>
        <v>16</v>
      </c>
      <c r="Z4" s="28">
        <f>Time!Z$28</f>
        <v>17</v>
      </c>
      <c r="AA4" s="28">
        <f>Time!AA$28</f>
        <v>18</v>
      </c>
      <c r="AB4" s="28">
        <f>Time!AB$28</f>
        <v>19</v>
      </c>
      <c r="AC4" s="28">
        <f>Time!AC$28</f>
        <v>20</v>
      </c>
      <c r="AD4" s="28">
        <f>Time!AD$28</f>
        <v>21</v>
      </c>
      <c r="AE4" s="28">
        <f>Time!AE$28</f>
        <v>22</v>
      </c>
      <c r="AF4" s="28">
        <f>Time!AF$28</f>
        <v>23</v>
      </c>
      <c r="AG4" s="28">
        <f>Time!AG$28</f>
        <v>24</v>
      </c>
      <c r="AH4" s="28">
        <f>Time!AH$28</f>
        <v>25</v>
      </c>
      <c r="AI4" s="28">
        <f>Time!AI$28</f>
        <v>26</v>
      </c>
      <c r="AJ4" s="28">
        <f>Time!AJ$28</f>
        <v>27</v>
      </c>
      <c r="AK4" s="28">
        <f>Time!AK$28</f>
        <v>28</v>
      </c>
      <c r="AL4" s="28">
        <f>Time!AL$28</f>
        <v>29</v>
      </c>
      <c r="AM4" s="28">
        <f>Time!AM$28</f>
        <v>30</v>
      </c>
      <c r="AN4" s="28">
        <f>Time!AN$28</f>
        <v>31</v>
      </c>
      <c r="AO4" s="28">
        <f>Time!AO$28</f>
        <v>32</v>
      </c>
      <c r="AP4" s="28">
        <f>Time!AP$28</f>
        <v>33</v>
      </c>
      <c r="AQ4" s="28">
        <f>Time!AQ$28</f>
        <v>34</v>
      </c>
      <c r="AR4" s="28">
        <f>Time!AR$28</f>
        <v>35</v>
      </c>
      <c r="AS4" s="28">
        <f>Time!AS$28</f>
        <v>36</v>
      </c>
      <c r="AT4" s="28">
        <f>Time!AT$28</f>
        <v>37</v>
      </c>
      <c r="AU4" s="28">
        <f>Time!AU$28</f>
        <v>38</v>
      </c>
      <c r="AV4" s="28">
        <f>Time!AV$28</f>
        <v>39</v>
      </c>
      <c r="AW4" s="28">
        <f>Time!AW$28</f>
        <v>40</v>
      </c>
      <c r="AX4" s="28">
        <f>Time!AX$28</f>
        <v>41</v>
      </c>
      <c r="AY4" s="28">
        <f>Time!AY$28</f>
        <v>42</v>
      </c>
      <c r="AZ4" s="28">
        <f>Time!AZ$28</f>
        <v>43</v>
      </c>
      <c r="BA4" s="28">
        <f>Time!BA$28</f>
        <v>44</v>
      </c>
      <c r="BB4" s="28">
        <f>Time!BB$28</f>
        <v>45</v>
      </c>
      <c r="BC4" s="28">
        <f>Time!BC$28</f>
        <v>46</v>
      </c>
      <c r="BD4" s="28">
        <f>Time!BD$28</f>
        <v>47</v>
      </c>
      <c r="BE4" s="28">
        <f>Time!BE$28</f>
        <v>48</v>
      </c>
      <c r="BF4" s="28">
        <f>Time!BF$28</f>
        <v>49</v>
      </c>
      <c r="BG4" s="28">
        <f>Time!BG$28</f>
        <v>50</v>
      </c>
      <c r="BH4" s="28">
        <f>Time!BH$28</f>
        <v>51</v>
      </c>
      <c r="BI4" s="28">
        <f>Time!BI$28</f>
        <v>52</v>
      </c>
      <c r="BJ4" s="28">
        <f>Time!BJ$28</f>
        <v>53</v>
      </c>
      <c r="BK4" s="28">
        <f>Time!BK$28</f>
        <v>54</v>
      </c>
      <c r="BL4" s="28">
        <f>Time!BL$28</f>
        <v>55</v>
      </c>
      <c r="BM4" s="28">
        <f>Time!BM$28</f>
        <v>56</v>
      </c>
      <c r="BN4" s="28">
        <f>Time!BN$28</f>
        <v>57</v>
      </c>
      <c r="BO4" s="28">
        <f>Time!BO$28</f>
        <v>58</v>
      </c>
      <c r="BP4" s="28">
        <f>Time!BP$28</f>
        <v>59</v>
      </c>
      <c r="BQ4" s="28">
        <f>Time!BQ$28</f>
        <v>60</v>
      </c>
    </row>
    <row r="5" spans="1:69" s="53" customFormat="1">
      <c r="A5" s="57"/>
      <c r="B5" s="57"/>
      <c r="C5" s="80"/>
      <c r="D5" s="183"/>
      <c r="E5" s="15" t="s">
        <v>305</v>
      </c>
      <c r="F5" s="27" t="s">
        <v>248</v>
      </c>
      <c r="G5" s="27" t="s">
        <v>224</v>
      </c>
      <c r="H5" s="27" t="s">
        <v>202</v>
      </c>
      <c r="I5" s="22"/>
      <c r="J5" s="15"/>
      <c r="K5" s="15"/>
      <c r="L5" s="15"/>
      <c r="M5" s="15"/>
      <c r="N5" s="15"/>
      <c r="O5" s="15"/>
    </row>
    <row r="8" spans="1:69">
      <c r="A8" s="27" t="s">
        <v>232</v>
      </c>
    </row>
    <row r="10" spans="1:69" outlineLevel="1">
      <c r="A10" s="27" t="s">
        <v>101</v>
      </c>
    </row>
    <row r="11" spans="1:69" outlineLevel="1">
      <c r="E11" s="39" t="s">
        <v>77</v>
      </c>
      <c r="G11" s="39" t="s">
        <v>252</v>
      </c>
      <c r="H11" s="46">
        <f>SUM( J11:BQ11 )</f>
        <v>0</v>
      </c>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row>
    <row r="13" spans="1:69" outlineLevel="1">
      <c r="A13" s="27" t="s">
        <v>275</v>
      </c>
    </row>
    <row r="14" spans="1:69" outlineLevel="1"/>
    <row r="15" spans="1:69" outlineLevel="2">
      <c r="A15" s="27" t="s">
        <v>53</v>
      </c>
    </row>
    <row r="16" spans="1:69" s="267" customFormat="1" outlineLevel="2">
      <c r="A16" s="185"/>
      <c r="B16" s="185"/>
      <c r="C16" s="254"/>
      <c r="D16" s="235"/>
      <c r="E16" s="120" t="s">
        <v>7</v>
      </c>
      <c r="F16" s="120"/>
      <c r="G16" s="120" t="s">
        <v>210</v>
      </c>
      <c r="H16" s="120"/>
      <c r="I16" s="120"/>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c r="BA16" s="38"/>
      <c r="BB16" s="38"/>
      <c r="BC16" s="38"/>
      <c r="BD16" s="38"/>
      <c r="BE16" s="38"/>
      <c r="BF16" s="38"/>
      <c r="BG16" s="38"/>
      <c r="BH16" s="38"/>
      <c r="BI16" s="38"/>
      <c r="BJ16" s="38"/>
      <c r="BK16" s="38"/>
      <c r="BL16" s="38"/>
      <c r="BM16" s="38"/>
      <c r="BN16" s="38"/>
      <c r="BO16" s="38"/>
      <c r="BP16" s="38"/>
      <c r="BQ16" s="38"/>
    </row>
    <row r="19" spans="2:2">
      <c r="B19" s="27" t="s">
        <v>265</v>
      </c>
    </row>
  </sheetData>
  <conditionalFormatting sqref="F2:F3">
    <cfRule type="cellIs" dxfId="280" priority="1" stopIfTrue="1" operator="notEqual">
      <formula>0</formula>
    </cfRule>
    <cfRule type="cellIs" dxfId="279" priority="2" stopIfTrue="1" operator="equal">
      <formula>""</formula>
    </cfRule>
  </conditionalFormatting>
  <conditionalFormatting sqref="J3:BQ3">
    <cfRule type="cellIs" dxfId="278" priority="3" operator="equal">
      <formula>"PPA ext."</formula>
    </cfRule>
    <cfRule type="cellIs" dxfId="277" priority="4" operator="equal">
      <formula>"Delay"</formula>
    </cfRule>
    <cfRule type="cellIs" dxfId="276" priority="5" operator="equal">
      <formula>"Fin Close"</formula>
    </cfRule>
    <cfRule type="cellIs" dxfId="275" priority="6" stopIfTrue="1" operator="equal">
      <formula>"Construction"</formula>
    </cfRule>
    <cfRule type="cellIs" dxfId="274"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99"/>
    <outlinePr summaryBelow="0" summaryRight="0"/>
  </sheetPr>
  <dimension ref="A1:O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7" customWidth="1"/>
    <col min="3" max="3" width="1.453125" style="61" customWidth="1"/>
    <col min="4" max="4" width="1.453125" style="164" customWidth="1"/>
    <col min="5" max="5" width="71.453125" style="46" customWidth="1"/>
    <col min="6" max="6" width="16.36328125" style="46" customWidth="1"/>
    <col min="7" max="8" width="15.08984375" style="46" customWidth="1"/>
    <col min="9" max="9" width="3.453125" style="46" customWidth="1"/>
    <col min="10" max="15" width="15.08984375" style="46" customWidth="1"/>
    <col min="16" max="16" width="15.08984375" style="46" hidden="1" customWidth="1"/>
    <col min="17" max="16384" width="15.08984375" style="46" hidden="1"/>
  </cols>
  <sheetData>
    <row r="1" spans="1:15" s="68" customFormat="1" ht="25.15">
      <c r="A1" s="45" t="str">
        <f ca="1" xml:space="preserve"> RIGHT(CELL("filename", A1), LEN(CELL("filename", A1)) - SEARCH("]", CELL("filename", A1)))</f>
        <v>InpT</v>
      </c>
      <c r="B1" s="81"/>
      <c r="C1" s="79"/>
      <c r="D1" s="175"/>
      <c r="F1" s="52" t="str">
        <f>HYPERLINK("#Contents!A1","Go to contents")</f>
        <v>Go to contents</v>
      </c>
      <c r="H1" s="56"/>
      <c r="J1" s="56"/>
    </row>
    <row r="2" spans="1:15" s="53" customFormat="1">
      <c r="A2" s="57"/>
      <c r="B2" s="57"/>
      <c r="C2" s="80"/>
      <c r="D2" s="183"/>
      <c r="E2" s="161" t="s">
        <v>324</v>
      </c>
      <c r="F2" s="51">
        <f ca="1" xml:space="preserve"> 'Model Checks and Alerts'!F11</f>
        <v>0</v>
      </c>
      <c r="G2" s="55" t="s">
        <v>143</v>
      </c>
      <c r="H2" s="22"/>
      <c r="I2" s="22"/>
      <c r="J2" s="6"/>
      <c r="K2" s="6"/>
      <c r="L2" s="6"/>
      <c r="M2" s="6"/>
      <c r="N2" s="6"/>
      <c r="O2" s="6"/>
    </row>
    <row r="3" spans="1:15" s="53" customFormat="1">
      <c r="A3" s="57"/>
      <c r="B3" s="57"/>
      <c r="C3" s="80"/>
      <c r="D3" s="183"/>
      <c r="E3" s="15" t="s">
        <v>203</v>
      </c>
      <c r="F3" s="51"/>
      <c r="G3" s="55" t="s">
        <v>97</v>
      </c>
      <c r="H3" s="22"/>
      <c r="I3" s="22"/>
      <c r="J3" s="7"/>
      <c r="K3" s="7"/>
      <c r="L3" s="7"/>
      <c r="M3" s="7"/>
      <c r="N3" s="7"/>
      <c r="O3" s="7"/>
    </row>
    <row r="4" spans="1:15" s="53" customFormat="1">
      <c r="A4" s="57"/>
      <c r="B4" s="57"/>
      <c r="C4" s="80"/>
      <c r="D4" s="183"/>
      <c r="E4" s="28" t="s">
        <v>325</v>
      </c>
      <c r="F4" s="46"/>
      <c r="G4" s="46"/>
      <c r="H4" s="22"/>
      <c r="I4" s="22"/>
      <c r="J4" s="28"/>
      <c r="K4" s="28"/>
      <c r="L4" s="28"/>
      <c r="M4" s="28"/>
      <c r="N4" s="28"/>
      <c r="O4" s="28"/>
    </row>
    <row r="5" spans="1:15" s="53" customFormat="1">
      <c r="A5" s="57"/>
      <c r="B5" s="57"/>
      <c r="C5" s="80"/>
      <c r="D5" s="183"/>
      <c r="E5" s="15" t="s">
        <v>305</v>
      </c>
      <c r="F5" s="27"/>
      <c r="G5" s="27" t="s">
        <v>224</v>
      </c>
      <c r="H5" s="27"/>
      <c r="I5" s="22"/>
      <c r="J5" s="15"/>
      <c r="K5" s="15"/>
      <c r="L5" s="15"/>
      <c r="M5" s="15"/>
      <c r="N5" s="15"/>
      <c r="O5" s="15"/>
    </row>
  </sheetData>
  <conditionalFormatting sqref="F2:F3">
    <cfRule type="cellIs" dxfId="273" priority="1" stopIfTrue="1" operator="notEqual">
      <formula>0</formula>
    </cfRule>
    <cfRule type="cellIs" dxfId="272" priority="2" stopIfTrue="1" operator="equal">
      <formula>""</formula>
    </cfRule>
  </conditionalFormatting>
  <conditionalFormatting sqref="J3:O3">
    <cfRule type="cellIs" dxfId="271" priority="3" operator="equal">
      <formula>"PPA ext."</formula>
    </cfRule>
    <cfRule type="cellIs" dxfId="270" priority="4" operator="equal">
      <formula>"Delay"</formula>
    </cfRule>
    <cfRule type="cellIs" dxfId="269" priority="5" operator="equal">
      <formula>"Fin Close"</formula>
    </cfRule>
    <cfRule type="cellIs" dxfId="268" priority="6" stopIfTrue="1" operator="equal">
      <formula>"Construction"</formula>
    </cfRule>
    <cfRule type="cellIs" dxfId="267" priority="7" stopIfTrue="1" operator="equal">
      <formula>"Operations"</formula>
    </cfRule>
  </conditionalFormatting>
  <printOptions headings="1"/>
  <pageMargins left="0.75" right="0.75" top="1" bottom="1" header="0.5" footer="0.5"/>
  <pageSetup paperSize="9" scale="55" orientation="landscape" blackAndWhite="1"/>
  <headerFooter>
    <oddHeader>&amp;LPROJECT [XXX]&amp;CSheet:&amp;A&amp;RSTRICTLY CONFIDENTIAL</oddHeader>
    <oddFooter>&amp;L&amp;F ( Printed on &amp;D at &amp;T )&amp;RPage &amp;P of &amp;N</oddFooter>
  </headerFooter>
  <customProperties>
    <customPr name="MMSheetType"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Q3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2"/>
  <cols>
    <col min="1" max="2" width="1.453125" style="27" customWidth="1"/>
    <col min="3" max="3" width="1.453125" style="61" customWidth="1"/>
    <col min="4" max="4" width="1.453125" style="88" customWidth="1"/>
    <col min="5" max="5" width="70.8164062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542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542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Time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t="shared" ref="J2:BQ2" si="0" xml:space="preserve"> J$19</f>
        <v>45077</v>
      </c>
      <c r="K2" s="6">
        <f t="shared" si="0"/>
        <v>45107</v>
      </c>
      <c r="L2" s="6">
        <f t="shared" si="0"/>
        <v>45138</v>
      </c>
      <c r="M2" s="6">
        <f t="shared" si="0"/>
        <v>45169</v>
      </c>
      <c r="N2" s="6">
        <f t="shared" si="0"/>
        <v>45199</v>
      </c>
      <c r="O2" s="6">
        <f t="shared" si="0"/>
        <v>45230</v>
      </c>
      <c r="P2" s="6">
        <f t="shared" si="0"/>
        <v>45260</v>
      </c>
      <c r="Q2" s="6">
        <f t="shared" si="0"/>
        <v>45291</v>
      </c>
      <c r="R2" s="6">
        <f t="shared" si="0"/>
        <v>45322</v>
      </c>
      <c r="S2" s="6">
        <f t="shared" si="0"/>
        <v>45351</v>
      </c>
      <c r="T2" s="6">
        <f t="shared" si="0"/>
        <v>45382</v>
      </c>
      <c r="U2" s="6">
        <f t="shared" si="0"/>
        <v>45412</v>
      </c>
      <c r="V2" s="6">
        <f t="shared" si="0"/>
        <v>45443</v>
      </c>
      <c r="W2" s="6">
        <f t="shared" si="0"/>
        <v>45473</v>
      </c>
      <c r="X2" s="6">
        <f t="shared" si="0"/>
        <v>45504</v>
      </c>
      <c r="Y2" s="6">
        <f t="shared" si="0"/>
        <v>45535</v>
      </c>
      <c r="Z2" s="6">
        <f t="shared" si="0"/>
        <v>45565</v>
      </c>
      <c r="AA2" s="6">
        <f t="shared" si="0"/>
        <v>45596</v>
      </c>
      <c r="AB2" s="6">
        <f t="shared" si="0"/>
        <v>45626</v>
      </c>
      <c r="AC2" s="6">
        <f t="shared" si="0"/>
        <v>45657</v>
      </c>
      <c r="AD2" s="6">
        <f t="shared" si="0"/>
        <v>45688</v>
      </c>
      <c r="AE2" s="6">
        <f t="shared" si="0"/>
        <v>45716</v>
      </c>
      <c r="AF2" s="6">
        <f t="shared" si="0"/>
        <v>45747</v>
      </c>
      <c r="AG2" s="6">
        <f t="shared" si="0"/>
        <v>45777</v>
      </c>
      <c r="AH2" s="6">
        <f t="shared" si="0"/>
        <v>45808</v>
      </c>
      <c r="AI2" s="6">
        <f t="shared" si="0"/>
        <v>45838</v>
      </c>
      <c r="AJ2" s="6">
        <f t="shared" si="0"/>
        <v>45869</v>
      </c>
      <c r="AK2" s="6">
        <f t="shared" si="0"/>
        <v>45900</v>
      </c>
      <c r="AL2" s="6">
        <f t="shared" si="0"/>
        <v>45930</v>
      </c>
      <c r="AM2" s="6">
        <f t="shared" si="0"/>
        <v>45961</v>
      </c>
      <c r="AN2" s="6">
        <f t="shared" si="0"/>
        <v>45991</v>
      </c>
      <c r="AO2" s="6">
        <f t="shared" si="0"/>
        <v>46022</v>
      </c>
      <c r="AP2" s="6">
        <f t="shared" si="0"/>
        <v>46053</v>
      </c>
      <c r="AQ2" s="6">
        <f t="shared" si="0"/>
        <v>46081</v>
      </c>
      <c r="AR2" s="6">
        <f t="shared" si="0"/>
        <v>46112</v>
      </c>
      <c r="AS2" s="6">
        <f t="shared" si="0"/>
        <v>46142</v>
      </c>
      <c r="AT2" s="6">
        <f t="shared" si="0"/>
        <v>46173</v>
      </c>
      <c r="AU2" s="6">
        <f t="shared" si="0"/>
        <v>46203</v>
      </c>
      <c r="AV2" s="6">
        <f t="shared" si="0"/>
        <v>46234</v>
      </c>
      <c r="AW2" s="6">
        <f t="shared" si="0"/>
        <v>46265</v>
      </c>
      <c r="AX2" s="6">
        <f t="shared" si="0"/>
        <v>46295</v>
      </c>
      <c r="AY2" s="6">
        <f t="shared" si="0"/>
        <v>46326</v>
      </c>
      <c r="AZ2" s="6">
        <f t="shared" si="0"/>
        <v>46356</v>
      </c>
      <c r="BA2" s="6">
        <f t="shared" si="0"/>
        <v>46387</v>
      </c>
      <c r="BB2" s="6">
        <f t="shared" si="0"/>
        <v>46418</v>
      </c>
      <c r="BC2" s="6">
        <f t="shared" si="0"/>
        <v>46446</v>
      </c>
      <c r="BD2" s="6">
        <f t="shared" si="0"/>
        <v>46477</v>
      </c>
      <c r="BE2" s="6">
        <f t="shared" si="0"/>
        <v>46507</v>
      </c>
      <c r="BF2" s="6">
        <f t="shared" si="0"/>
        <v>46538</v>
      </c>
      <c r="BG2" s="6">
        <f t="shared" si="0"/>
        <v>46568</v>
      </c>
      <c r="BH2" s="6">
        <f t="shared" si="0"/>
        <v>46599</v>
      </c>
      <c r="BI2" s="6">
        <f t="shared" si="0"/>
        <v>46630</v>
      </c>
      <c r="BJ2" s="6">
        <f t="shared" si="0"/>
        <v>46660</v>
      </c>
      <c r="BK2" s="6">
        <f t="shared" si="0"/>
        <v>46691</v>
      </c>
      <c r="BL2" s="6">
        <f t="shared" si="0"/>
        <v>46721</v>
      </c>
      <c r="BM2" s="6">
        <f t="shared" si="0"/>
        <v>46752</v>
      </c>
      <c r="BN2" s="6">
        <f t="shared" si="0"/>
        <v>46783</v>
      </c>
      <c r="BO2" s="6">
        <f t="shared" si="0"/>
        <v>46812</v>
      </c>
      <c r="BP2" s="6">
        <f t="shared" si="0"/>
        <v>46843</v>
      </c>
      <c r="BQ2" s="6">
        <f t="shared" si="0"/>
        <v>46873</v>
      </c>
    </row>
    <row r="3" spans="1:69" s="34" customFormat="1">
      <c r="A3" s="57"/>
      <c r="B3" s="57"/>
      <c r="C3" s="80"/>
      <c r="D3" s="82"/>
      <c r="E3" s="39" t="s">
        <v>203</v>
      </c>
      <c r="F3" s="51"/>
      <c r="G3" s="55" t="s">
        <v>97</v>
      </c>
      <c r="H3" s="22"/>
      <c r="I3" s="22"/>
      <c r="J3" s="7" t="str">
        <f t="shared" ref="J3:BQ3" si="1" xml:space="preserve"> J$24</f>
        <v>Month1</v>
      </c>
      <c r="K3" s="7" t="str">
        <f t="shared" si="1"/>
        <v>Month2</v>
      </c>
      <c r="L3" s="7" t="str">
        <f t="shared" si="1"/>
        <v>Month3</v>
      </c>
      <c r="M3" s="7" t="str">
        <f t="shared" si="1"/>
        <v>Month4</v>
      </c>
      <c r="N3" s="7" t="str">
        <f t="shared" si="1"/>
        <v>Month5</v>
      </c>
      <c r="O3" s="7" t="str">
        <f t="shared" si="1"/>
        <v>Month6</v>
      </c>
      <c r="P3" s="7" t="str">
        <f t="shared" si="1"/>
        <v>Month7</v>
      </c>
      <c r="Q3" s="7" t="str">
        <f t="shared" si="1"/>
        <v>Month8</v>
      </c>
      <c r="R3" s="7" t="str">
        <f t="shared" si="1"/>
        <v>Month9</v>
      </c>
      <c r="S3" s="7" t="str">
        <f t="shared" si="1"/>
        <v>Month10</v>
      </c>
      <c r="T3" s="7" t="str">
        <f t="shared" si="1"/>
        <v>Month11</v>
      </c>
      <c r="U3" s="7" t="str">
        <f t="shared" si="1"/>
        <v>Month12</v>
      </c>
      <c r="V3" s="7" t="str">
        <f t="shared" si="1"/>
        <v>Month13</v>
      </c>
      <c r="W3" s="7" t="str">
        <f t="shared" si="1"/>
        <v>Month14</v>
      </c>
      <c r="X3" s="7" t="str">
        <f t="shared" si="1"/>
        <v>Month15</v>
      </c>
      <c r="Y3" s="7" t="str">
        <f t="shared" si="1"/>
        <v>Month16</v>
      </c>
      <c r="Z3" s="7" t="str">
        <f t="shared" si="1"/>
        <v>Month17</v>
      </c>
      <c r="AA3" s="7" t="str">
        <f t="shared" si="1"/>
        <v>Month18</v>
      </c>
      <c r="AB3" s="7" t="str">
        <f t="shared" si="1"/>
        <v>Month19</v>
      </c>
      <c r="AC3" s="7" t="str">
        <f t="shared" si="1"/>
        <v>Month20</v>
      </c>
      <c r="AD3" s="7" t="str">
        <f t="shared" si="1"/>
        <v>Month21</v>
      </c>
      <c r="AE3" s="7" t="str">
        <f t="shared" si="1"/>
        <v>Month22</v>
      </c>
      <c r="AF3" s="7" t="str">
        <f t="shared" si="1"/>
        <v>Month23</v>
      </c>
      <c r="AG3" s="7" t="str">
        <f t="shared" si="1"/>
        <v>Month24</v>
      </c>
      <c r="AH3" s="7" t="str">
        <f t="shared" si="1"/>
        <v>Month25</v>
      </c>
      <c r="AI3" s="7" t="str">
        <f t="shared" si="1"/>
        <v>Month26</v>
      </c>
      <c r="AJ3" s="7" t="str">
        <f t="shared" si="1"/>
        <v>Month27</v>
      </c>
      <c r="AK3" s="7" t="str">
        <f t="shared" si="1"/>
        <v>Month28</v>
      </c>
      <c r="AL3" s="7" t="str">
        <f t="shared" si="1"/>
        <v>Month29</v>
      </c>
      <c r="AM3" s="7" t="str">
        <f t="shared" si="1"/>
        <v>Month30</v>
      </c>
      <c r="AN3" s="7" t="str">
        <f t="shared" si="1"/>
        <v>Month31</v>
      </c>
      <c r="AO3" s="7" t="str">
        <f t="shared" si="1"/>
        <v>Month32</v>
      </c>
      <c r="AP3" s="7" t="str">
        <f t="shared" si="1"/>
        <v>Month33</v>
      </c>
      <c r="AQ3" s="7" t="str">
        <f t="shared" si="1"/>
        <v>Month34</v>
      </c>
      <c r="AR3" s="7" t="str">
        <f t="shared" si="1"/>
        <v>Month35</v>
      </c>
      <c r="AS3" s="7" t="str">
        <f t="shared" si="1"/>
        <v>Month36</v>
      </c>
      <c r="AT3" s="7" t="str">
        <f t="shared" si="1"/>
        <v>Month37</v>
      </c>
      <c r="AU3" s="7" t="str">
        <f t="shared" si="1"/>
        <v>Month38</v>
      </c>
      <c r="AV3" s="7" t="str">
        <f t="shared" si="1"/>
        <v>Month39</v>
      </c>
      <c r="AW3" s="7" t="str">
        <f t="shared" si="1"/>
        <v>Month40</v>
      </c>
      <c r="AX3" s="7" t="str">
        <f t="shared" si="1"/>
        <v>Month41</v>
      </c>
      <c r="AY3" s="7" t="str">
        <f t="shared" si="1"/>
        <v>Month42</v>
      </c>
      <c r="AZ3" s="7" t="str">
        <f t="shared" si="1"/>
        <v>Month43</v>
      </c>
      <c r="BA3" s="7" t="str">
        <f t="shared" si="1"/>
        <v>Month44</v>
      </c>
      <c r="BB3" s="7" t="str">
        <f t="shared" si="1"/>
        <v>Month45</v>
      </c>
      <c r="BC3" s="7" t="str">
        <f t="shared" si="1"/>
        <v>Month46</v>
      </c>
      <c r="BD3" s="7" t="str">
        <f t="shared" si="1"/>
        <v>Month47</v>
      </c>
      <c r="BE3" s="7" t="str">
        <f t="shared" si="1"/>
        <v>Month48</v>
      </c>
      <c r="BF3" s="7" t="str">
        <f t="shared" si="1"/>
        <v>Month49</v>
      </c>
      <c r="BG3" s="7" t="str">
        <f t="shared" si="1"/>
        <v>Month50</v>
      </c>
      <c r="BH3" s="7" t="str">
        <f t="shared" si="1"/>
        <v>Month51</v>
      </c>
      <c r="BI3" s="7" t="str">
        <f t="shared" si="1"/>
        <v>Month52</v>
      </c>
      <c r="BJ3" s="7" t="str">
        <f t="shared" si="1"/>
        <v>Month53</v>
      </c>
      <c r="BK3" s="7" t="str">
        <f t="shared" si="1"/>
        <v>Month54</v>
      </c>
      <c r="BL3" s="7" t="str">
        <f t="shared" si="1"/>
        <v>Month55</v>
      </c>
      <c r="BM3" s="7" t="str">
        <f t="shared" si="1"/>
        <v>Month56</v>
      </c>
      <c r="BN3" s="7" t="str">
        <f t="shared" si="1"/>
        <v>Month57</v>
      </c>
      <c r="BO3" s="7" t="str">
        <f t="shared" si="1"/>
        <v>Month58</v>
      </c>
      <c r="BP3" s="7" t="str">
        <f t="shared" si="1"/>
        <v>Month59</v>
      </c>
      <c r="BQ3" s="7" t="str">
        <f t="shared" si="1"/>
        <v>Month60</v>
      </c>
    </row>
    <row r="4" spans="1:69" s="28" customFormat="1">
      <c r="A4" s="57"/>
      <c r="B4" s="57"/>
      <c r="C4" s="80"/>
      <c r="D4" s="82"/>
      <c r="E4" s="22" t="s">
        <v>325</v>
      </c>
      <c r="F4" s="27"/>
      <c r="G4" s="22"/>
      <c r="H4" s="22"/>
      <c r="I4" s="22"/>
      <c r="J4" s="28">
        <f t="shared" ref="J4:BQ4" si="2" xml:space="preserve"> J$28</f>
        <v>1</v>
      </c>
      <c r="K4" s="28">
        <f t="shared" si="2"/>
        <v>2</v>
      </c>
      <c r="L4" s="28">
        <f t="shared" si="2"/>
        <v>3</v>
      </c>
      <c r="M4" s="28">
        <f t="shared" si="2"/>
        <v>4</v>
      </c>
      <c r="N4" s="28">
        <f t="shared" si="2"/>
        <v>5</v>
      </c>
      <c r="O4" s="28">
        <f t="shared" si="2"/>
        <v>6</v>
      </c>
      <c r="P4" s="28">
        <f t="shared" si="2"/>
        <v>7</v>
      </c>
      <c r="Q4" s="28">
        <f t="shared" si="2"/>
        <v>8</v>
      </c>
      <c r="R4" s="28">
        <f t="shared" si="2"/>
        <v>9</v>
      </c>
      <c r="S4" s="28">
        <f t="shared" si="2"/>
        <v>10</v>
      </c>
      <c r="T4" s="28">
        <f t="shared" si="2"/>
        <v>11</v>
      </c>
      <c r="U4" s="28">
        <f t="shared" si="2"/>
        <v>12</v>
      </c>
      <c r="V4" s="28">
        <f t="shared" si="2"/>
        <v>13</v>
      </c>
      <c r="W4" s="28">
        <f t="shared" si="2"/>
        <v>14</v>
      </c>
      <c r="X4" s="28">
        <f t="shared" si="2"/>
        <v>15</v>
      </c>
      <c r="Y4" s="28">
        <f t="shared" si="2"/>
        <v>16</v>
      </c>
      <c r="Z4" s="28">
        <f t="shared" si="2"/>
        <v>17</v>
      </c>
      <c r="AA4" s="28">
        <f t="shared" si="2"/>
        <v>18</v>
      </c>
      <c r="AB4" s="28">
        <f t="shared" si="2"/>
        <v>19</v>
      </c>
      <c r="AC4" s="28">
        <f t="shared" si="2"/>
        <v>20</v>
      </c>
      <c r="AD4" s="28">
        <f t="shared" si="2"/>
        <v>21</v>
      </c>
      <c r="AE4" s="28">
        <f t="shared" si="2"/>
        <v>22</v>
      </c>
      <c r="AF4" s="28">
        <f t="shared" si="2"/>
        <v>23</v>
      </c>
      <c r="AG4" s="28">
        <f t="shared" si="2"/>
        <v>24</v>
      </c>
      <c r="AH4" s="28">
        <f t="shared" si="2"/>
        <v>25</v>
      </c>
      <c r="AI4" s="28">
        <f t="shared" si="2"/>
        <v>26</v>
      </c>
      <c r="AJ4" s="28">
        <f t="shared" si="2"/>
        <v>27</v>
      </c>
      <c r="AK4" s="28">
        <f t="shared" si="2"/>
        <v>28</v>
      </c>
      <c r="AL4" s="28">
        <f t="shared" si="2"/>
        <v>29</v>
      </c>
      <c r="AM4" s="28">
        <f t="shared" si="2"/>
        <v>30</v>
      </c>
      <c r="AN4" s="28">
        <f t="shared" si="2"/>
        <v>31</v>
      </c>
      <c r="AO4" s="28">
        <f t="shared" si="2"/>
        <v>32</v>
      </c>
      <c r="AP4" s="28">
        <f t="shared" si="2"/>
        <v>33</v>
      </c>
      <c r="AQ4" s="28">
        <f t="shared" si="2"/>
        <v>34</v>
      </c>
      <c r="AR4" s="28">
        <f t="shared" si="2"/>
        <v>35</v>
      </c>
      <c r="AS4" s="28">
        <f t="shared" si="2"/>
        <v>36</v>
      </c>
      <c r="AT4" s="28">
        <f t="shared" si="2"/>
        <v>37</v>
      </c>
      <c r="AU4" s="28">
        <f t="shared" si="2"/>
        <v>38</v>
      </c>
      <c r="AV4" s="28">
        <f t="shared" si="2"/>
        <v>39</v>
      </c>
      <c r="AW4" s="28">
        <f t="shared" si="2"/>
        <v>40</v>
      </c>
      <c r="AX4" s="28">
        <f t="shared" si="2"/>
        <v>41</v>
      </c>
      <c r="AY4" s="28">
        <f t="shared" si="2"/>
        <v>42</v>
      </c>
      <c r="AZ4" s="28">
        <f t="shared" si="2"/>
        <v>43</v>
      </c>
      <c r="BA4" s="28">
        <f t="shared" si="2"/>
        <v>44</v>
      </c>
      <c r="BB4" s="28">
        <f t="shared" si="2"/>
        <v>45</v>
      </c>
      <c r="BC4" s="28">
        <f t="shared" si="2"/>
        <v>46</v>
      </c>
      <c r="BD4" s="28">
        <f t="shared" si="2"/>
        <v>47</v>
      </c>
      <c r="BE4" s="28">
        <f t="shared" si="2"/>
        <v>48</v>
      </c>
      <c r="BF4" s="28">
        <f t="shared" si="2"/>
        <v>49</v>
      </c>
      <c r="BG4" s="28">
        <f t="shared" si="2"/>
        <v>50</v>
      </c>
      <c r="BH4" s="28">
        <f t="shared" si="2"/>
        <v>51</v>
      </c>
      <c r="BI4" s="28">
        <f t="shared" si="2"/>
        <v>52</v>
      </c>
      <c r="BJ4" s="28">
        <f t="shared" si="2"/>
        <v>53</v>
      </c>
      <c r="BK4" s="28">
        <f t="shared" si="2"/>
        <v>54</v>
      </c>
      <c r="BL4" s="28">
        <f t="shared" si="2"/>
        <v>55</v>
      </c>
      <c r="BM4" s="28">
        <f t="shared" si="2"/>
        <v>56</v>
      </c>
      <c r="BN4" s="28">
        <f t="shared" si="2"/>
        <v>57</v>
      </c>
      <c r="BO4" s="28">
        <f t="shared" si="2"/>
        <v>58</v>
      </c>
      <c r="BP4" s="28">
        <f t="shared" si="2"/>
        <v>59</v>
      </c>
      <c r="BQ4" s="28">
        <f t="shared" si="2"/>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31</v>
      </c>
    </row>
    <row r="9" spans="1:69" outlineLevel="1">
      <c r="A9" s="18"/>
      <c r="B9" s="18"/>
      <c r="C9" s="30"/>
      <c r="D9" s="31"/>
      <c r="E9" s="19" t="str">
        <f xml:space="preserve">  InpC!E$100</f>
        <v>Start date</v>
      </c>
      <c r="F9" s="19">
        <f xml:space="preserve">  InpC!F$100</f>
        <v>45047</v>
      </c>
      <c r="G9" s="19" t="str">
        <f xml:space="preserve">  InpC!G$100</f>
        <v>date</v>
      </c>
      <c r="M9" s="8"/>
    </row>
    <row r="10" spans="1:69" outlineLevel="1">
      <c r="A10" s="18"/>
      <c r="B10" s="18"/>
      <c r="C10" s="30"/>
      <c r="D10" s="31"/>
      <c r="E10" s="4" t="str">
        <f xml:space="preserve">  InpC!E$98</f>
        <v>Months per period (Primary)</v>
      </c>
      <c r="F10" s="4">
        <f xml:space="preserve">  InpC!F$98</f>
        <v>1</v>
      </c>
      <c r="G10" s="4" t="str">
        <f xml:space="preserve">  InpC!G$98</f>
        <v>Months</v>
      </c>
      <c r="M10" s="2"/>
    </row>
    <row r="11" spans="1:69" outlineLevel="1">
      <c r="E11" s="5" t="str">
        <f t="shared" ref="E11:BQ11" si="3" xml:space="preserve">  E$28</f>
        <v>Period number</v>
      </c>
      <c r="F11" s="5">
        <f t="shared" si="3"/>
        <v>0</v>
      </c>
      <c r="G11" s="5" t="str">
        <f t="shared" si="3"/>
        <v>Counter</v>
      </c>
      <c r="H11" s="5">
        <f t="shared" si="3"/>
        <v>0</v>
      </c>
      <c r="I11" s="5">
        <f t="shared" si="3"/>
        <v>0</v>
      </c>
      <c r="J11" s="5">
        <f t="shared" si="3"/>
        <v>1</v>
      </c>
      <c r="K11" s="5">
        <f t="shared" si="3"/>
        <v>2</v>
      </c>
      <c r="L11" s="5">
        <f t="shared" si="3"/>
        <v>3</v>
      </c>
      <c r="M11" s="5">
        <f t="shared" si="3"/>
        <v>4</v>
      </c>
      <c r="N11" s="5">
        <f t="shared" si="3"/>
        <v>5</v>
      </c>
      <c r="O11" s="5">
        <f t="shared" si="3"/>
        <v>6</v>
      </c>
      <c r="P11" s="5">
        <f t="shared" si="3"/>
        <v>7</v>
      </c>
      <c r="Q11" s="5">
        <f t="shared" si="3"/>
        <v>8</v>
      </c>
      <c r="R11" s="5">
        <f t="shared" si="3"/>
        <v>9</v>
      </c>
      <c r="S11" s="5">
        <f t="shared" si="3"/>
        <v>10</v>
      </c>
      <c r="T11" s="5">
        <f t="shared" si="3"/>
        <v>11</v>
      </c>
      <c r="U11" s="5">
        <f t="shared" si="3"/>
        <v>12</v>
      </c>
      <c r="V11" s="5">
        <f t="shared" si="3"/>
        <v>13</v>
      </c>
      <c r="W11" s="5">
        <f t="shared" si="3"/>
        <v>14</v>
      </c>
      <c r="X11" s="5">
        <f t="shared" si="3"/>
        <v>15</v>
      </c>
      <c r="Y11" s="5">
        <f t="shared" si="3"/>
        <v>16</v>
      </c>
      <c r="Z11" s="5">
        <f t="shared" si="3"/>
        <v>17</v>
      </c>
      <c r="AA11" s="5">
        <f t="shared" si="3"/>
        <v>18</v>
      </c>
      <c r="AB11" s="5">
        <f t="shared" si="3"/>
        <v>19</v>
      </c>
      <c r="AC11" s="5">
        <f t="shared" si="3"/>
        <v>20</v>
      </c>
      <c r="AD11" s="5">
        <f t="shared" si="3"/>
        <v>21</v>
      </c>
      <c r="AE11" s="5">
        <f t="shared" si="3"/>
        <v>22</v>
      </c>
      <c r="AF11" s="5">
        <f t="shared" si="3"/>
        <v>23</v>
      </c>
      <c r="AG11" s="5">
        <f t="shared" si="3"/>
        <v>24</v>
      </c>
      <c r="AH11" s="5">
        <f t="shared" si="3"/>
        <v>25</v>
      </c>
      <c r="AI11" s="5">
        <f t="shared" si="3"/>
        <v>26</v>
      </c>
      <c r="AJ11" s="5">
        <f t="shared" si="3"/>
        <v>27</v>
      </c>
      <c r="AK11" s="5">
        <f t="shared" si="3"/>
        <v>28</v>
      </c>
      <c r="AL11" s="5">
        <f t="shared" si="3"/>
        <v>29</v>
      </c>
      <c r="AM11" s="5">
        <f t="shared" si="3"/>
        <v>30</v>
      </c>
      <c r="AN11" s="5">
        <f t="shared" si="3"/>
        <v>31</v>
      </c>
      <c r="AO11" s="5">
        <f t="shared" si="3"/>
        <v>32</v>
      </c>
      <c r="AP11" s="5">
        <f t="shared" si="3"/>
        <v>33</v>
      </c>
      <c r="AQ11" s="5">
        <f t="shared" si="3"/>
        <v>34</v>
      </c>
      <c r="AR11" s="5">
        <f t="shared" si="3"/>
        <v>35</v>
      </c>
      <c r="AS11" s="5">
        <f t="shared" si="3"/>
        <v>36</v>
      </c>
      <c r="AT11" s="5">
        <f t="shared" si="3"/>
        <v>37</v>
      </c>
      <c r="AU11" s="5">
        <f t="shared" si="3"/>
        <v>38</v>
      </c>
      <c r="AV11" s="5">
        <f t="shared" si="3"/>
        <v>39</v>
      </c>
      <c r="AW11" s="5">
        <f t="shared" si="3"/>
        <v>40</v>
      </c>
      <c r="AX11" s="5">
        <f t="shared" si="3"/>
        <v>41</v>
      </c>
      <c r="AY11" s="5">
        <f t="shared" si="3"/>
        <v>42</v>
      </c>
      <c r="AZ11" s="5">
        <f t="shared" si="3"/>
        <v>43</v>
      </c>
      <c r="BA11" s="5">
        <f t="shared" si="3"/>
        <v>44</v>
      </c>
      <c r="BB11" s="5">
        <f t="shared" si="3"/>
        <v>45</v>
      </c>
      <c r="BC11" s="5">
        <f t="shared" si="3"/>
        <v>46</v>
      </c>
      <c r="BD11" s="5">
        <f t="shared" si="3"/>
        <v>47</v>
      </c>
      <c r="BE11" s="5">
        <f t="shared" si="3"/>
        <v>48</v>
      </c>
      <c r="BF11" s="5">
        <f t="shared" si="3"/>
        <v>49</v>
      </c>
      <c r="BG11" s="5">
        <f t="shared" si="3"/>
        <v>50</v>
      </c>
      <c r="BH11" s="5">
        <f t="shared" si="3"/>
        <v>51</v>
      </c>
      <c r="BI11" s="5">
        <f t="shared" si="3"/>
        <v>52</v>
      </c>
      <c r="BJ11" s="5">
        <f t="shared" si="3"/>
        <v>53</v>
      </c>
      <c r="BK11" s="5">
        <f t="shared" si="3"/>
        <v>54</v>
      </c>
      <c r="BL11" s="5">
        <f t="shared" si="3"/>
        <v>55</v>
      </c>
      <c r="BM11" s="5">
        <f t="shared" si="3"/>
        <v>56</v>
      </c>
      <c r="BN11" s="5">
        <f t="shared" si="3"/>
        <v>57</v>
      </c>
      <c r="BO11" s="5">
        <f t="shared" si="3"/>
        <v>58</v>
      </c>
      <c r="BP11" s="5">
        <f t="shared" si="3"/>
        <v>59</v>
      </c>
      <c r="BQ11" s="5">
        <f t="shared" si="3"/>
        <v>60</v>
      </c>
    </row>
    <row r="12" spans="1:69" outlineLevel="1">
      <c r="A12" s="36"/>
      <c r="B12" s="36"/>
      <c r="C12" s="65"/>
      <c r="D12" s="64"/>
      <c r="E12" s="21" t="s">
        <v>31</v>
      </c>
      <c r="F12" s="21"/>
      <c r="G12" s="21" t="s">
        <v>210</v>
      </c>
      <c r="H12" s="21"/>
      <c r="I12" s="21"/>
      <c r="J12" s="13">
        <f t="shared" ref="J12:BQ12" si="4" xml:space="preserve">  IF( J11 = 1, $F9, EDATE( I12, $F10 ) )</f>
        <v>45047</v>
      </c>
      <c r="K12" s="13">
        <f t="shared" si="4"/>
        <v>45078</v>
      </c>
      <c r="L12" s="13">
        <f t="shared" si="4"/>
        <v>45108</v>
      </c>
      <c r="M12" s="13">
        <f t="shared" si="4"/>
        <v>45139</v>
      </c>
      <c r="N12" s="13">
        <f t="shared" si="4"/>
        <v>45170</v>
      </c>
      <c r="O12" s="13">
        <f t="shared" si="4"/>
        <v>45200</v>
      </c>
      <c r="P12" s="13">
        <f t="shared" si="4"/>
        <v>45231</v>
      </c>
      <c r="Q12" s="13">
        <f t="shared" si="4"/>
        <v>45261</v>
      </c>
      <c r="R12" s="13">
        <f t="shared" si="4"/>
        <v>45292</v>
      </c>
      <c r="S12" s="13">
        <f t="shared" si="4"/>
        <v>45323</v>
      </c>
      <c r="T12" s="13">
        <f t="shared" si="4"/>
        <v>45352</v>
      </c>
      <c r="U12" s="13">
        <f t="shared" si="4"/>
        <v>45383</v>
      </c>
      <c r="V12" s="13">
        <f t="shared" si="4"/>
        <v>45413</v>
      </c>
      <c r="W12" s="13">
        <f t="shared" si="4"/>
        <v>45444</v>
      </c>
      <c r="X12" s="13">
        <f t="shared" si="4"/>
        <v>45474</v>
      </c>
      <c r="Y12" s="13">
        <f t="shared" si="4"/>
        <v>45505</v>
      </c>
      <c r="Z12" s="13">
        <f t="shared" si="4"/>
        <v>45536</v>
      </c>
      <c r="AA12" s="13">
        <f t="shared" si="4"/>
        <v>45566</v>
      </c>
      <c r="AB12" s="13">
        <f t="shared" si="4"/>
        <v>45597</v>
      </c>
      <c r="AC12" s="13">
        <f t="shared" si="4"/>
        <v>45627</v>
      </c>
      <c r="AD12" s="13">
        <f t="shared" si="4"/>
        <v>45658</v>
      </c>
      <c r="AE12" s="13">
        <f t="shared" si="4"/>
        <v>45689</v>
      </c>
      <c r="AF12" s="13">
        <f t="shared" si="4"/>
        <v>45717</v>
      </c>
      <c r="AG12" s="13">
        <f t="shared" si="4"/>
        <v>45748</v>
      </c>
      <c r="AH12" s="13">
        <f t="shared" si="4"/>
        <v>45778</v>
      </c>
      <c r="AI12" s="13">
        <f t="shared" si="4"/>
        <v>45809</v>
      </c>
      <c r="AJ12" s="13">
        <f t="shared" si="4"/>
        <v>45839</v>
      </c>
      <c r="AK12" s="13">
        <f t="shared" si="4"/>
        <v>45870</v>
      </c>
      <c r="AL12" s="13">
        <f t="shared" si="4"/>
        <v>45901</v>
      </c>
      <c r="AM12" s="13">
        <f t="shared" si="4"/>
        <v>45931</v>
      </c>
      <c r="AN12" s="13">
        <f t="shared" si="4"/>
        <v>45962</v>
      </c>
      <c r="AO12" s="13">
        <f t="shared" si="4"/>
        <v>45992</v>
      </c>
      <c r="AP12" s="13">
        <f t="shared" si="4"/>
        <v>46023</v>
      </c>
      <c r="AQ12" s="13">
        <f t="shared" si="4"/>
        <v>46054</v>
      </c>
      <c r="AR12" s="13">
        <f t="shared" si="4"/>
        <v>46082</v>
      </c>
      <c r="AS12" s="13">
        <f t="shared" si="4"/>
        <v>46113</v>
      </c>
      <c r="AT12" s="13">
        <f t="shared" si="4"/>
        <v>46143</v>
      </c>
      <c r="AU12" s="13">
        <f t="shared" si="4"/>
        <v>46174</v>
      </c>
      <c r="AV12" s="13">
        <f t="shared" si="4"/>
        <v>46204</v>
      </c>
      <c r="AW12" s="13">
        <f t="shared" si="4"/>
        <v>46235</v>
      </c>
      <c r="AX12" s="13">
        <f t="shared" si="4"/>
        <v>46266</v>
      </c>
      <c r="AY12" s="13">
        <f t="shared" si="4"/>
        <v>46296</v>
      </c>
      <c r="AZ12" s="13">
        <f t="shared" si="4"/>
        <v>46327</v>
      </c>
      <c r="BA12" s="13">
        <f t="shared" si="4"/>
        <v>46357</v>
      </c>
      <c r="BB12" s="13">
        <f t="shared" si="4"/>
        <v>46388</v>
      </c>
      <c r="BC12" s="13">
        <f t="shared" si="4"/>
        <v>46419</v>
      </c>
      <c r="BD12" s="13">
        <f t="shared" si="4"/>
        <v>46447</v>
      </c>
      <c r="BE12" s="13">
        <f t="shared" si="4"/>
        <v>46478</v>
      </c>
      <c r="BF12" s="13">
        <f t="shared" si="4"/>
        <v>46508</v>
      </c>
      <c r="BG12" s="13">
        <f t="shared" si="4"/>
        <v>46539</v>
      </c>
      <c r="BH12" s="13">
        <f t="shared" si="4"/>
        <v>46569</v>
      </c>
      <c r="BI12" s="13">
        <f t="shared" si="4"/>
        <v>46600</v>
      </c>
      <c r="BJ12" s="13">
        <f t="shared" si="4"/>
        <v>46631</v>
      </c>
      <c r="BK12" s="13">
        <f t="shared" si="4"/>
        <v>46661</v>
      </c>
      <c r="BL12" s="13">
        <f t="shared" si="4"/>
        <v>46692</v>
      </c>
      <c r="BM12" s="13">
        <f t="shared" si="4"/>
        <v>46722</v>
      </c>
      <c r="BN12" s="13">
        <f t="shared" si="4"/>
        <v>46753</v>
      </c>
      <c r="BO12" s="13">
        <f t="shared" si="4"/>
        <v>46784</v>
      </c>
      <c r="BP12" s="13">
        <f t="shared" si="4"/>
        <v>46813</v>
      </c>
      <c r="BQ12" s="13">
        <f t="shared" si="4"/>
        <v>46844</v>
      </c>
    </row>
    <row r="15" spans="1:69">
      <c r="A15" s="27" t="s">
        <v>164</v>
      </c>
    </row>
    <row r="16" spans="1:69" outlineLevel="1">
      <c r="B16" s="27" t="s">
        <v>324</v>
      </c>
    </row>
    <row r="17" spans="1:69" outlineLevel="2">
      <c r="A17" s="18"/>
      <c r="B17" s="18"/>
      <c r="C17" s="30"/>
      <c r="D17" s="31"/>
      <c r="E17" s="4" t="str">
        <f xml:space="preserve">  InpC!E$98</f>
        <v>Months per period (Primary)</v>
      </c>
      <c r="F17" s="4">
        <f xml:space="preserve">  InpC!F$98</f>
        <v>1</v>
      </c>
      <c r="G17" s="4" t="str">
        <f xml:space="preserve">  InpC!G$98</f>
        <v>Months</v>
      </c>
      <c r="M17" s="2"/>
    </row>
    <row r="18" spans="1:69" outlineLevel="2">
      <c r="E18" s="8" t="str">
        <f t="shared" ref="E18:BQ18" si="5" xml:space="preserve">  E$12</f>
        <v>Model period start</v>
      </c>
      <c r="F18" s="8">
        <f t="shared" si="5"/>
        <v>0</v>
      </c>
      <c r="G18" s="8" t="str">
        <f t="shared" si="5"/>
        <v>date</v>
      </c>
      <c r="H18" s="8">
        <f t="shared" si="5"/>
        <v>0</v>
      </c>
      <c r="I18" s="8">
        <f t="shared" si="5"/>
        <v>0</v>
      </c>
      <c r="J18" s="8">
        <f t="shared" si="5"/>
        <v>45047</v>
      </c>
      <c r="K18" s="8">
        <f t="shared" si="5"/>
        <v>45078</v>
      </c>
      <c r="L18" s="8">
        <f t="shared" si="5"/>
        <v>45108</v>
      </c>
      <c r="M18" s="8">
        <f t="shared" si="5"/>
        <v>45139</v>
      </c>
      <c r="N18" s="8">
        <f t="shared" si="5"/>
        <v>45170</v>
      </c>
      <c r="O18" s="8">
        <f t="shared" si="5"/>
        <v>45200</v>
      </c>
      <c r="P18" s="8">
        <f t="shared" si="5"/>
        <v>45231</v>
      </c>
      <c r="Q18" s="8">
        <f t="shared" si="5"/>
        <v>45261</v>
      </c>
      <c r="R18" s="8">
        <f t="shared" si="5"/>
        <v>45292</v>
      </c>
      <c r="S18" s="8">
        <f t="shared" si="5"/>
        <v>45323</v>
      </c>
      <c r="T18" s="8">
        <f t="shared" si="5"/>
        <v>45352</v>
      </c>
      <c r="U18" s="8">
        <f t="shared" si="5"/>
        <v>45383</v>
      </c>
      <c r="V18" s="8">
        <f t="shared" si="5"/>
        <v>45413</v>
      </c>
      <c r="W18" s="8">
        <f t="shared" si="5"/>
        <v>45444</v>
      </c>
      <c r="X18" s="8">
        <f t="shared" si="5"/>
        <v>45474</v>
      </c>
      <c r="Y18" s="8">
        <f t="shared" si="5"/>
        <v>45505</v>
      </c>
      <c r="Z18" s="8">
        <f t="shared" si="5"/>
        <v>45536</v>
      </c>
      <c r="AA18" s="8">
        <f t="shared" si="5"/>
        <v>45566</v>
      </c>
      <c r="AB18" s="8">
        <f t="shared" si="5"/>
        <v>45597</v>
      </c>
      <c r="AC18" s="8">
        <f t="shared" si="5"/>
        <v>45627</v>
      </c>
      <c r="AD18" s="8">
        <f t="shared" si="5"/>
        <v>45658</v>
      </c>
      <c r="AE18" s="8">
        <f t="shared" si="5"/>
        <v>45689</v>
      </c>
      <c r="AF18" s="8">
        <f t="shared" si="5"/>
        <v>45717</v>
      </c>
      <c r="AG18" s="8">
        <f t="shared" si="5"/>
        <v>45748</v>
      </c>
      <c r="AH18" s="8">
        <f t="shared" si="5"/>
        <v>45778</v>
      </c>
      <c r="AI18" s="8">
        <f t="shared" si="5"/>
        <v>45809</v>
      </c>
      <c r="AJ18" s="8">
        <f t="shared" si="5"/>
        <v>45839</v>
      </c>
      <c r="AK18" s="8">
        <f t="shared" si="5"/>
        <v>45870</v>
      </c>
      <c r="AL18" s="8">
        <f t="shared" si="5"/>
        <v>45901</v>
      </c>
      <c r="AM18" s="8">
        <f t="shared" si="5"/>
        <v>45931</v>
      </c>
      <c r="AN18" s="8">
        <f t="shared" si="5"/>
        <v>45962</v>
      </c>
      <c r="AO18" s="8">
        <f t="shared" si="5"/>
        <v>45992</v>
      </c>
      <c r="AP18" s="8">
        <f t="shared" si="5"/>
        <v>46023</v>
      </c>
      <c r="AQ18" s="8">
        <f t="shared" si="5"/>
        <v>46054</v>
      </c>
      <c r="AR18" s="8">
        <f t="shared" si="5"/>
        <v>46082</v>
      </c>
      <c r="AS18" s="8">
        <f t="shared" si="5"/>
        <v>46113</v>
      </c>
      <c r="AT18" s="8">
        <f t="shared" si="5"/>
        <v>46143</v>
      </c>
      <c r="AU18" s="8">
        <f t="shared" si="5"/>
        <v>46174</v>
      </c>
      <c r="AV18" s="8">
        <f t="shared" si="5"/>
        <v>46204</v>
      </c>
      <c r="AW18" s="8">
        <f t="shared" si="5"/>
        <v>46235</v>
      </c>
      <c r="AX18" s="8">
        <f t="shared" si="5"/>
        <v>46266</v>
      </c>
      <c r="AY18" s="8">
        <f t="shared" si="5"/>
        <v>46296</v>
      </c>
      <c r="AZ18" s="8">
        <f t="shared" si="5"/>
        <v>46327</v>
      </c>
      <c r="BA18" s="8">
        <f t="shared" si="5"/>
        <v>46357</v>
      </c>
      <c r="BB18" s="8">
        <f t="shared" si="5"/>
        <v>46388</v>
      </c>
      <c r="BC18" s="8">
        <f t="shared" si="5"/>
        <v>46419</v>
      </c>
      <c r="BD18" s="8">
        <f t="shared" si="5"/>
        <v>46447</v>
      </c>
      <c r="BE18" s="8">
        <f t="shared" si="5"/>
        <v>46478</v>
      </c>
      <c r="BF18" s="8">
        <f t="shared" si="5"/>
        <v>46508</v>
      </c>
      <c r="BG18" s="8">
        <f t="shared" si="5"/>
        <v>46539</v>
      </c>
      <c r="BH18" s="8">
        <f t="shared" si="5"/>
        <v>46569</v>
      </c>
      <c r="BI18" s="8">
        <f t="shared" si="5"/>
        <v>46600</v>
      </c>
      <c r="BJ18" s="8">
        <f t="shared" si="5"/>
        <v>46631</v>
      </c>
      <c r="BK18" s="8">
        <f t="shared" si="5"/>
        <v>46661</v>
      </c>
      <c r="BL18" s="8">
        <f t="shared" si="5"/>
        <v>46692</v>
      </c>
      <c r="BM18" s="8">
        <f t="shared" si="5"/>
        <v>46722</v>
      </c>
      <c r="BN18" s="8">
        <f t="shared" si="5"/>
        <v>46753</v>
      </c>
      <c r="BO18" s="8">
        <f t="shared" si="5"/>
        <v>46784</v>
      </c>
      <c r="BP18" s="8">
        <f t="shared" si="5"/>
        <v>46813</v>
      </c>
      <c r="BQ18" s="8">
        <f t="shared" si="5"/>
        <v>46844</v>
      </c>
    </row>
    <row r="19" spans="1:69" outlineLevel="2">
      <c r="A19" s="36"/>
      <c r="B19" s="36"/>
      <c r="C19" s="65"/>
      <c r="D19" s="64"/>
      <c r="E19" s="21" t="s">
        <v>324</v>
      </c>
      <c r="F19" s="21"/>
      <c r="G19" s="21" t="s">
        <v>210</v>
      </c>
      <c r="H19" s="21"/>
      <c r="I19" s="21"/>
      <c r="J19" s="13">
        <f t="shared" ref="J19:BQ19" si="6" xml:space="preserve">  EDATE( J18, $F17 ) - 1</f>
        <v>45077</v>
      </c>
      <c r="K19" s="13">
        <f t="shared" si="6"/>
        <v>45107</v>
      </c>
      <c r="L19" s="13">
        <f t="shared" si="6"/>
        <v>45138</v>
      </c>
      <c r="M19" s="13">
        <f t="shared" si="6"/>
        <v>45169</v>
      </c>
      <c r="N19" s="13">
        <f t="shared" si="6"/>
        <v>45199</v>
      </c>
      <c r="O19" s="13">
        <f t="shared" si="6"/>
        <v>45230</v>
      </c>
      <c r="P19" s="13">
        <f t="shared" si="6"/>
        <v>45260</v>
      </c>
      <c r="Q19" s="13">
        <f t="shared" si="6"/>
        <v>45291</v>
      </c>
      <c r="R19" s="13">
        <f t="shared" si="6"/>
        <v>45322</v>
      </c>
      <c r="S19" s="13">
        <f t="shared" si="6"/>
        <v>45351</v>
      </c>
      <c r="T19" s="13">
        <f t="shared" si="6"/>
        <v>45382</v>
      </c>
      <c r="U19" s="13">
        <f t="shared" si="6"/>
        <v>45412</v>
      </c>
      <c r="V19" s="13">
        <f t="shared" si="6"/>
        <v>45443</v>
      </c>
      <c r="W19" s="13">
        <f t="shared" si="6"/>
        <v>45473</v>
      </c>
      <c r="X19" s="13">
        <f t="shared" si="6"/>
        <v>45504</v>
      </c>
      <c r="Y19" s="13">
        <f t="shared" si="6"/>
        <v>45535</v>
      </c>
      <c r="Z19" s="13">
        <f t="shared" si="6"/>
        <v>45565</v>
      </c>
      <c r="AA19" s="13">
        <f t="shared" si="6"/>
        <v>45596</v>
      </c>
      <c r="AB19" s="13">
        <f t="shared" si="6"/>
        <v>45626</v>
      </c>
      <c r="AC19" s="13">
        <f t="shared" si="6"/>
        <v>45657</v>
      </c>
      <c r="AD19" s="13">
        <f t="shared" si="6"/>
        <v>45688</v>
      </c>
      <c r="AE19" s="13">
        <f t="shared" si="6"/>
        <v>45716</v>
      </c>
      <c r="AF19" s="13">
        <f t="shared" si="6"/>
        <v>45747</v>
      </c>
      <c r="AG19" s="13">
        <f t="shared" si="6"/>
        <v>45777</v>
      </c>
      <c r="AH19" s="13">
        <f t="shared" si="6"/>
        <v>45808</v>
      </c>
      <c r="AI19" s="13">
        <f t="shared" si="6"/>
        <v>45838</v>
      </c>
      <c r="AJ19" s="13">
        <f t="shared" si="6"/>
        <v>45869</v>
      </c>
      <c r="AK19" s="13">
        <f t="shared" si="6"/>
        <v>45900</v>
      </c>
      <c r="AL19" s="13">
        <f t="shared" si="6"/>
        <v>45930</v>
      </c>
      <c r="AM19" s="13">
        <f t="shared" si="6"/>
        <v>45961</v>
      </c>
      <c r="AN19" s="13">
        <f t="shared" si="6"/>
        <v>45991</v>
      </c>
      <c r="AO19" s="13">
        <f t="shared" si="6"/>
        <v>46022</v>
      </c>
      <c r="AP19" s="13">
        <f t="shared" si="6"/>
        <v>46053</v>
      </c>
      <c r="AQ19" s="13">
        <f t="shared" si="6"/>
        <v>46081</v>
      </c>
      <c r="AR19" s="13">
        <f t="shared" si="6"/>
        <v>46112</v>
      </c>
      <c r="AS19" s="13">
        <f t="shared" si="6"/>
        <v>46142</v>
      </c>
      <c r="AT19" s="13">
        <f t="shared" si="6"/>
        <v>46173</v>
      </c>
      <c r="AU19" s="13">
        <f t="shared" si="6"/>
        <v>46203</v>
      </c>
      <c r="AV19" s="13">
        <f t="shared" si="6"/>
        <v>46234</v>
      </c>
      <c r="AW19" s="13">
        <f t="shared" si="6"/>
        <v>46265</v>
      </c>
      <c r="AX19" s="13">
        <f t="shared" si="6"/>
        <v>46295</v>
      </c>
      <c r="AY19" s="13">
        <f t="shared" si="6"/>
        <v>46326</v>
      </c>
      <c r="AZ19" s="13">
        <f t="shared" si="6"/>
        <v>46356</v>
      </c>
      <c r="BA19" s="13">
        <f t="shared" si="6"/>
        <v>46387</v>
      </c>
      <c r="BB19" s="13">
        <f t="shared" si="6"/>
        <v>46418</v>
      </c>
      <c r="BC19" s="13">
        <f t="shared" si="6"/>
        <v>46446</v>
      </c>
      <c r="BD19" s="13">
        <f t="shared" si="6"/>
        <v>46477</v>
      </c>
      <c r="BE19" s="13">
        <f t="shared" si="6"/>
        <v>46507</v>
      </c>
      <c r="BF19" s="13">
        <f t="shared" si="6"/>
        <v>46538</v>
      </c>
      <c r="BG19" s="13">
        <f t="shared" si="6"/>
        <v>46568</v>
      </c>
      <c r="BH19" s="13">
        <f t="shared" si="6"/>
        <v>46599</v>
      </c>
      <c r="BI19" s="13">
        <f t="shared" si="6"/>
        <v>46630</v>
      </c>
      <c r="BJ19" s="13">
        <f t="shared" si="6"/>
        <v>46660</v>
      </c>
      <c r="BK19" s="13">
        <f t="shared" si="6"/>
        <v>46691</v>
      </c>
      <c r="BL19" s="13">
        <f t="shared" si="6"/>
        <v>46721</v>
      </c>
      <c r="BM19" s="13">
        <f t="shared" si="6"/>
        <v>46752</v>
      </c>
      <c r="BN19" s="13">
        <f t="shared" si="6"/>
        <v>46783</v>
      </c>
      <c r="BO19" s="13">
        <f t="shared" si="6"/>
        <v>46812</v>
      </c>
      <c r="BP19" s="13">
        <f t="shared" si="6"/>
        <v>46843</v>
      </c>
      <c r="BQ19" s="13">
        <f t="shared" si="6"/>
        <v>46873</v>
      </c>
    </row>
    <row r="20" spans="1:69" outlineLevel="1"/>
    <row r="21" spans="1:69" outlineLevel="1"/>
    <row r="22" spans="1:69" outlineLevel="1">
      <c r="B22" s="27" t="s">
        <v>203</v>
      </c>
    </row>
    <row r="23" spans="1:69" outlineLevel="2">
      <c r="E23" s="5" t="str">
        <f t="shared" ref="E23:BQ23" si="7" xml:space="preserve">  E$28</f>
        <v>Period number</v>
      </c>
      <c r="F23" s="5">
        <f t="shared" si="7"/>
        <v>0</v>
      </c>
      <c r="G23" s="5" t="str">
        <f t="shared" si="7"/>
        <v>Counter</v>
      </c>
      <c r="H23" s="5">
        <f t="shared" si="7"/>
        <v>0</v>
      </c>
      <c r="I23" s="5">
        <f t="shared" si="7"/>
        <v>0</v>
      </c>
      <c r="J23" s="5">
        <f t="shared" si="7"/>
        <v>1</v>
      </c>
      <c r="K23" s="5">
        <f t="shared" si="7"/>
        <v>2</v>
      </c>
      <c r="L23" s="5">
        <f t="shared" si="7"/>
        <v>3</v>
      </c>
      <c r="M23" s="5">
        <f t="shared" si="7"/>
        <v>4</v>
      </c>
      <c r="N23" s="5">
        <f t="shared" si="7"/>
        <v>5</v>
      </c>
      <c r="O23" s="5">
        <f t="shared" si="7"/>
        <v>6</v>
      </c>
      <c r="P23" s="5">
        <f t="shared" si="7"/>
        <v>7</v>
      </c>
      <c r="Q23" s="5">
        <f t="shared" si="7"/>
        <v>8</v>
      </c>
      <c r="R23" s="5">
        <f t="shared" si="7"/>
        <v>9</v>
      </c>
      <c r="S23" s="5">
        <f t="shared" si="7"/>
        <v>10</v>
      </c>
      <c r="T23" s="5">
        <f t="shared" si="7"/>
        <v>11</v>
      </c>
      <c r="U23" s="5">
        <f t="shared" si="7"/>
        <v>12</v>
      </c>
      <c r="V23" s="5">
        <f t="shared" si="7"/>
        <v>13</v>
      </c>
      <c r="W23" s="5">
        <f t="shared" si="7"/>
        <v>14</v>
      </c>
      <c r="X23" s="5">
        <f t="shared" si="7"/>
        <v>15</v>
      </c>
      <c r="Y23" s="5">
        <f t="shared" si="7"/>
        <v>16</v>
      </c>
      <c r="Z23" s="5">
        <f t="shared" si="7"/>
        <v>17</v>
      </c>
      <c r="AA23" s="5">
        <f t="shared" si="7"/>
        <v>18</v>
      </c>
      <c r="AB23" s="5">
        <f t="shared" si="7"/>
        <v>19</v>
      </c>
      <c r="AC23" s="5">
        <f t="shared" si="7"/>
        <v>20</v>
      </c>
      <c r="AD23" s="5">
        <f t="shared" si="7"/>
        <v>21</v>
      </c>
      <c r="AE23" s="5">
        <f t="shared" si="7"/>
        <v>22</v>
      </c>
      <c r="AF23" s="5">
        <f t="shared" si="7"/>
        <v>23</v>
      </c>
      <c r="AG23" s="5">
        <f t="shared" si="7"/>
        <v>24</v>
      </c>
      <c r="AH23" s="5">
        <f t="shared" si="7"/>
        <v>25</v>
      </c>
      <c r="AI23" s="5">
        <f t="shared" si="7"/>
        <v>26</v>
      </c>
      <c r="AJ23" s="5">
        <f t="shared" si="7"/>
        <v>27</v>
      </c>
      <c r="AK23" s="5">
        <f t="shared" si="7"/>
        <v>28</v>
      </c>
      <c r="AL23" s="5">
        <f t="shared" si="7"/>
        <v>29</v>
      </c>
      <c r="AM23" s="5">
        <f t="shared" si="7"/>
        <v>30</v>
      </c>
      <c r="AN23" s="5">
        <f t="shared" si="7"/>
        <v>31</v>
      </c>
      <c r="AO23" s="5">
        <f t="shared" si="7"/>
        <v>32</v>
      </c>
      <c r="AP23" s="5">
        <f t="shared" si="7"/>
        <v>33</v>
      </c>
      <c r="AQ23" s="5">
        <f t="shared" si="7"/>
        <v>34</v>
      </c>
      <c r="AR23" s="5">
        <f t="shared" si="7"/>
        <v>35</v>
      </c>
      <c r="AS23" s="5">
        <f t="shared" si="7"/>
        <v>36</v>
      </c>
      <c r="AT23" s="5">
        <f t="shared" si="7"/>
        <v>37</v>
      </c>
      <c r="AU23" s="5">
        <f t="shared" si="7"/>
        <v>38</v>
      </c>
      <c r="AV23" s="5">
        <f t="shared" si="7"/>
        <v>39</v>
      </c>
      <c r="AW23" s="5">
        <f t="shared" si="7"/>
        <v>40</v>
      </c>
      <c r="AX23" s="5">
        <f t="shared" si="7"/>
        <v>41</v>
      </c>
      <c r="AY23" s="5">
        <f t="shared" si="7"/>
        <v>42</v>
      </c>
      <c r="AZ23" s="5">
        <f t="shared" si="7"/>
        <v>43</v>
      </c>
      <c r="BA23" s="5">
        <f t="shared" si="7"/>
        <v>44</v>
      </c>
      <c r="BB23" s="5">
        <f t="shared" si="7"/>
        <v>45</v>
      </c>
      <c r="BC23" s="5">
        <f t="shared" si="7"/>
        <v>46</v>
      </c>
      <c r="BD23" s="5">
        <f t="shared" si="7"/>
        <v>47</v>
      </c>
      <c r="BE23" s="5">
        <f t="shared" si="7"/>
        <v>48</v>
      </c>
      <c r="BF23" s="5">
        <f t="shared" si="7"/>
        <v>49</v>
      </c>
      <c r="BG23" s="5">
        <f t="shared" si="7"/>
        <v>50</v>
      </c>
      <c r="BH23" s="5">
        <f t="shared" si="7"/>
        <v>51</v>
      </c>
      <c r="BI23" s="5">
        <f t="shared" si="7"/>
        <v>52</v>
      </c>
      <c r="BJ23" s="5">
        <f t="shared" si="7"/>
        <v>53</v>
      </c>
      <c r="BK23" s="5">
        <f t="shared" si="7"/>
        <v>54</v>
      </c>
      <c r="BL23" s="5">
        <f t="shared" si="7"/>
        <v>55</v>
      </c>
      <c r="BM23" s="5">
        <f t="shared" si="7"/>
        <v>56</v>
      </c>
      <c r="BN23" s="5">
        <f t="shared" si="7"/>
        <v>57</v>
      </c>
      <c r="BO23" s="5">
        <f t="shared" si="7"/>
        <v>58</v>
      </c>
      <c r="BP23" s="5">
        <f t="shared" si="7"/>
        <v>59</v>
      </c>
      <c r="BQ23" s="5">
        <f t="shared" si="7"/>
        <v>60</v>
      </c>
    </row>
    <row r="24" spans="1:69" outlineLevel="2">
      <c r="A24" s="36"/>
      <c r="B24" s="36"/>
      <c r="C24" s="65"/>
      <c r="D24" s="64"/>
      <c r="E24" s="21" t="s">
        <v>203</v>
      </c>
      <c r="F24" s="21"/>
      <c r="G24" s="21" t="s">
        <v>252</v>
      </c>
      <c r="H24" s="3">
        <f xml:space="preserve"> SUM( J24:BQ24 )</f>
        <v>0</v>
      </c>
      <c r="I24" s="21"/>
      <c r="J24" s="3" t="str">
        <f t="shared" ref="J24:BQ24" si="8" xml:space="preserve">  "Month" &amp; J23</f>
        <v>Month1</v>
      </c>
      <c r="K24" s="3" t="str">
        <f t="shared" si="8"/>
        <v>Month2</v>
      </c>
      <c r="L24" s="3" t="str">
        <f t="shared" si="8"/>
        <v>Month3</v>
      </c>
      <c r="M24" s="3" t="str">
        <f t="shared" si="8"/>
        <v>Month4</v>
      </c>
      <c r="N24" s="3" t="str">
        <f t="shared" si="8"/>
        <v>Month5</v>
      </c>
      <c r="O24" s="3" t="str">
        <f t="shared" si="8"/>
        <v>Month6</v>
      </c>
      <c r="P24" s="3" t="str">
        <f t="shared" si="8"/>
        <v>Month7</v>
      </c>
      <c r="Q24" s="3" t="str">
        <f t="shared" si="8"/>
        <v>Month8</v>
      </c>
      <c r="R24" s="3" t="str">
        <f t="shared" si="8"/>
        <v>Month9</v>
      </c>
      <c r="S24" s="3" t="str">
        <f t="shared" si="8"/>
        <v>Month10</v>
      </c>
      <c r="T24" s="3" t="str">
        <f t="shared" si="8"/>
        <v>Month11</v>
      </c>
      <c r="U24" s="3" t="str">
        <f t="shared" si="8"/>
        <v>Month12</v>
      </c>
      <c r="V24" s="3" t="str">
        <f t="shared" si="8"/>
        <v>Month13</v>
      </c>
      <c r="W24" s="3" t="str">
        <f t="shared" si="8"/>
        <v>Month14</v>
      </c>
      <c r="X24" s="3" t="str">
        <f t="shared" si="8"/>
        <v>Month15</v>
      </c>
      <c r="Y24" s="3" t="str">
        <f t="shared" si="8"/>
        <v>Month16</v>
      </c>
      <c r="Z24" s="3" t="str">
        <f t="shared" si="8"/>
        <v>Month17</v>
      </c>
      <c r="AA24" s="3" t="str">
        <f t="shared" si="8"/>
        <v>Month18</v>
      </c>
      <c r="AB24" s="3" t="str">
        <f t="shared" si="8"/>
        <v>Month19</v>
      </c>
      <c r="AC24" s="3" t="str">
        <f t="shared" si="8"/>
        <v>Month20</v>
      </c>
      <c r="AD24" s="3" t="str">
        <f t="shared" si="8"/>
        <v>Month21</v>
      </c>
      <c r="AE24" s="3" t="str">
        <f t="shared" si="8"/>
        <v>Month22</v>
      </c>
      <c r="AF24" s="3" t="str">
        <f t="shared" si="8"/>
        <v>Month23</v>
      </c>
      <c r="AG24" s="3" t="str">
        <f t="shared" si="8"/>
        <v>Month24</v>
      </c>
      <c r="AH24" s="3" t="str">
        <f t="shared" si="8"/>
        <v>Month25</v>
      </c>
      <c r="AI24" s="3" t="str">
        <f t="shared" si="8"/>
        <v>Month26</v>
      </c>
      <c r="AJ24" s="3" t="str">
        <f t="shared" si="8"/>
        <v>Month27</v>
      </c>
      <c r="AK24" s="3" t="str">
        <f t="shared" si="8"/>
        <v>Month28</v>
      </c>
      <c r="AL24" s="3" t="str">
        <f t="shared" si="8"/>
        <v>Month29</v>
      </c>
      <c r="AM24" s="3" t="str">
        <f t="shared" si="8"/>
        <v>Month30</v>
      </c>
      <c r="AN24" s="3" t="str">
        <f t="shared" si="8"/>
        <v>Month31</v>
      </c>
      <c r="AO24" s="3" t="str">
        <f t="shared" si="8"/>
        <v>Month32</v>
      </c>
      <c r="AP24" s="3" t="str">
        <f t="shared" si="8"/>
        <v>Month33</v>
      </c>
      <c r="AQ24" s="3" t="str">
        <f t="shared" si="8"/>
        <v>Month34</v>
      </c>
      <c r="AR24" s="3" t="str">
        <f t="shared" si="8"/>
        <v>Month35</v>
      </c>
      <c r="AS24" s="3" t="str">
        <f t="shared" si="8"/>
        <v>Month36</v>
      </c>
      <c r="AT24" s="3" t="str">
        <f t="shared" si="8"/>
        <v>Month37</v>
      </c>
      <c r="AU24" s="3" t="str">
        <f t="shared" si="8"/>
        <v>Month38</v>
      </c>
      <c r="AV24" s="3" t="str">
        <f t="shared" si="8"/>
        <v>Month39</v>
      </c>
      <c r="AW24" s="3" t="str">
        <f t="shared" si="8"/>
        <v>Month40</v>
      </c>
      <c r="AX24" s="3" t="str">
        <f t="shared" si="8"/>
        <v>Month41</v>
      </c>
      <c r="AY24" s="3" t="str">
        <f t="shared" si="8"/>
        <v>Month42</v>
      </c>
      <c r="AZ24" s="3" t="str">
        <f t="shared" si="8"/>
        <v>Month43</v>
      </c>
      <c r="BA24" s="3" t="str">
        <f t="shared" si="8"/>
        <v>Month44</v>
      </c>
      <c r="BB24" s="3" t="str">
        <f t="shared" si="8"/>
        <v>Month45</v>
      </c>
      <c r="BC24" s="3" t="str">
        <f t="shared" si="8"/>
        <v>Month46</v>
      </c>
      <c r="BD24" s="3" t="str">
        <f t="shared" si="8"/>
        <v>Month47</v>
      </c>
      <c r="BE24" s="3" t="str">
        <f t="shared" si="8"/>
        <v>Month48</v>
      </c>
      <c r="BF24" s="3" t="str">
        <f t="shared" si="8"/>
        <v>Month49</v>
      </c>
      <c r="BG24" s="3" t="str">
        <f t="shared" si="8"/>
        <v>Month50</v>
      </c>
      <c r="BH24" s="3" t="str">
        <f t="shared" si="8"/>
        <v>Month51</v>
      </c>
      <c r="BI24" s="3" t="str">
        <f t="shared" si="8"/>
        <v>Month52</v>
      </c>
      <c r="BJ24" s="3" t="str">
        <f t="shared" si="8"/>
        <v>Month53</v>
      </c>
      <c r="BK24" s="3" t="str">
        <f t="shared" si="8"/>
        <v>Month54</v>
      </c>
      <c r="BL24" s="3" t="str">
        <f t="shared" si="8"/>
        <v>Month55</v>
      </c>
      <c r="BM24" s="3" t="str">
        <f t="shared" si="8"/>
        <v>Month56</v>
      </c>
      <c r="BN24" s="3" t="str">
        <f t="shared" si="8"/>
        <v>Month57</v>
      </c>
      <c r="BO24" s="3" t="str">
        <f t="shared" si="8"/>
        <v>Month58</v>
      </c>
      <c r="BP24" s="3" t="str">
        <f t="shared" si="8"/>
        <v>Month59</v>
      </c>
      <c r="BQ24" s="3" t="str">
        <f t="shared" si="8"/>
        <v>Month60</v>
      </c>
    </row>
    <row r="25" spans="1:69" outlineLevel="1"/>
    <row r="26" spans="1:69" outlineLevel="1"/>
    <row r="27" spans="1:69" outlineLevel="1">
      <c r="B27" s="27" t="s">
        <v>305</v>
      </c>
    </row>
    <row r="28" spans="1:69" outlineLevel="1">
      <c r="A28" s="36"/>
      <c r="B28" s="36"/>
      <c r="C28" s="65"/>
      <c r="D28" s="64"/>
      <c r="E28" s="21" t="s">
        <v>305</v>
      </c>
      <c r="F28" s="21"/>
      <c r="G28" s="21" t="s">
        <v>279</v>
      </c>
      <c r="H28" s="21"/>
      <c r="I28" s="21"/>
      <c r="J28" s="14">
        <f t="shared" ref="J28:BQ28" si="9" xml:space="preserve">  I28 + 1</f>
        <v>1</v>
      </c>
      <c r="K28" s="14">
        <f t="shared" si="9"/>
        <v>2</v>
      </c>
      <c r="L28" s="14">
        <f t="shared" si="9"/>
        <v>3</v>
      </c>
      <c r="M28" s="14">
        <f t="shared" si="9"/>
        <v>4</v>
      </c>
      <c r="N28" s="14">
        <f t="shared" si="9"/>
        <v>5</v>
      </c>
      <c r="O28" s="14">
        <f t="shared" si="9"/>
        <v>6</v>
      </c>
      <c r="P28" s="14">
        <f t="shared" si="9"/>
        <v>7</v>
      </c>
      <c r="Q28" s="14">
        <f t="shared" si="9"/>
        <v>8</v>
      </c>
      <c r="R28" s="14">
        <f t="shared" si="9"/>
        <v>9</v>
      </c>
      <c r="S28" s="14">
        <f t="shared" si="9"/>
        <v>10</v>
      </c>
      <c r="T28" s="14">
        <f t="shared" si="9"/>
        <v>11</v>
      </c>
      <c r="U28" s="14">
        <f t="shared" si="9"/>
        <v>12</v>
      </c>
      <c r="V28" s="14">
        <f t="shared" si="9"/>
        <v>13</v>
      </c>
      <c r="W28" s="14">
        <f t="shared" si="9"/>
        <v>14</v>
      </c>
      <c r="X28" s="14">
        <f t="shared" si="9"/>
        <v>15</v>
      </c>
      <c r="Y28" s="14">
        <f t="shared" si="9"/>
        <v>16</v>
      </c>
      <c r="Z28" s="14">
        <f t="shared" si="9"/>
        <v>17</v>
      </c>
      <c r="AA28" s="14">
        <f t="shared" si="9"/>
        <v>18</v>
      </c>
      <c r="AB28" s="14">
        <f t="shared" si="9"/>
        <v>19</v>
      </c>
      <c r="AC28" s="14">
        <f t="shared" si="9"/>
        <v>20</v>
      </c>
      <c r="AD28" s="14">
        <f t="shared" si="9"/>
        <v>21</v>
      </c>
      <c r="AE28" s="14">
        <f t="shared" si="9"/>
        <v>22</v>
      </c>
      <c r="AF28" s="14">
        <f t="shared" si="9"/>
        <v>23</v>
      </c>
      <c r="AG28" s="14">
        <f t="shared" si="9"/>
        <v>24</v>
      </c>
      <c r="AH28" s="14">
        <f t="shared" si="9"/>
        <v>25</v>
      </c>
      <c r="AI28" s="14">
        <f t="shared" si="9"/>
        <v>26</v>
      </c>
      <c r="AJ28" s="14">
        <f t="shared" si="9"/>
        <v>27</v>
      </c>
      <c r="AK28" s="14">
        <f t="shared" si="9"/>
        <v>28</v>
      </c>
      <c r="AL28" s="14">
        <f t="shared" si="9"/>
        <v>29</v>
      </c>
      <c r="AM28" s="14">
        <f t="shared" si="9"/>
        <v>30</v>
      </c>
      <c r="AN28" s="14">
        <f t="shared" si="9"/>
        <v>31</v>
      </c>
      <c r="AO28" s="14">
        <f t="shared" si="9"/>
        <v>32</v>
      </c>
      <c r="AP28" s="14">
        <f t="shared" si="9"/>
        <v>33</v>
      </c>
      <c r="AQ28" s="14">
        <f t="shared" si="9"/>
        <v>34</v>
      </c>
      <c r="AR28" s="14">
        <f t="shared" si="9"/>
        <v>35</v>
      </c>
      <c r="AS28" s="14">
        <f t="shared" si="9"/>
        <v>36</v>
      </c>
      <c r="AT28" s="14">
        <f t="shared" si="9"/>
        <v>37</v>
      </c>
      <c r="AU28" s="14">
        <f t="shared" si="9"/>
        <v>38</v>
      </c>
      <c r="AV28" s="14">
        <f t="shared" si="9"/>
        <v>39</v>
      </c>
      <c r="AW28" s="14">
        <f t="shared" si="9"/>
        <v>40</v>
      </c>
      <c r="AX28" s="14">
        <f t="shared" si="9"/>
        <v>41</v>
      </c>
      <c r="AY28" s="14">
        <f t="shared" si="9"/>
        <v>42</v>
      </c>
      <c r="AZ28" s="14">
        <f t="shared" si="9"/>
        <v>43</v>
      </c>
      <c r="BA28" s="14">
        <f t="shared" si="9"/>
        <v>44</v>
      </c>
      <c r="BB28" s="14">
        <f t="shared" si="9"/>
        <v>45</v>
      </c>
      <c r="BC28" s="14">
        <f t="shared" si="9"/>
        <v>46</v>
      </c>
      <c r="BD28" s="14">
        <f t="shared" si="9"/>
        <v>47</v>
      </c>
      <c r="BE28" s="14">
        <f t="shared" si="9"/>
        <v>48</v>
      </c>
      <c r="BF28" s="14">
        <f t="shared" si="9"/>
        <v>49</v>
      </c>
      <c r="BG28" s="14">
        <f t="shared" si="9"/>
        <v>50</v>
      </c>
      <c r="BH28" s="14">
        <f t="shared" si="9"/>
        <v>51</v>
      </c>
      <c r="BI28" s="14">
        <f t="shared" si="9"/>
        <v>52</v>
      </c>
      <c r="BJ28" s="14">
        <f t="shared" si="9"/>
        <v>53</v>
      </c>
      <c r="BK28" s="14">
        <f t="shared" si="9"/>
        <v>54</v>
      </c>
      <c r="BL28" s="14">
        <f t="shared" si="9"/>
        <v>55</v>
      </c>
      <c r="BM28" s="14">
        <f t="shared" si="9"/>
        <v>56</v>
      </c>
      <c r="BN28" s="14">
        <f t="shared" si="9"/>
        <v>57</v>
      </c>
      <c r="BO28" s="14">
        <f t="shared" si="9"/>
        <v>58</v>
      </c>
      <c r="BP28" s="14">
        <f t="shared" si="9"/>
        <v>59</v>
      </c>
      <c r="BQ28" s="14">
        <f t="shared" si="9"/>
        <v>60</v>
      </c>
    </row>
    <row r="29" spans="1:69" outlineLevel="1"/>
    <row r="30" spans="1:69" outlineLevel="1"/>
    <row r="31" spans="1:69" outlineLevel="1">
      <c r="B31" s="27" t="s">
        <v>32</v>
      </c>
    </row>
    <row r="32" spans="1:69" outlineLevel="2">
      <c r="E32" s="8" t="str">
        <f t="shared" ref="E32:BQ32" si="10" xml:space="preserve">  E$19</f>
        <v>Model period end</v>
      </c>
      <c r="F32" s="8">
        <f t="shared" si="10"/>
        <v>0</v>
      </c>
      <c r="G32" s="8" t="str">
        <f t="shared" si="10"/>
        <v>date</v>
      </c>
      <c r="H32" s="8">
        <f t="shared" si="10"/>
        <v>0</v>
      </c>
      <c r="I32" s="8">
        <f t="shared" si="10"/>
        <v>0</v>
      </c>
      <c r="J32" s="8">
        <f t="shared" si="10"/>
        <v>45077</v>
      </c>
      <c r="K32" s="8">
        <f t="shared" si="10"/>
        <v>45107</v>
      </c>
      <c r="L32" s="8">
        <f t="shared" si="10"/>
        <v>45138</v>
      </c>
      <c r="M32" s="8">
        <f t="shared" si="10"/>
        <v>45169</v>
      </c>
      <c r="N32" s="8">
        <f t="shared" si="10"/>
        <v>45199</v>
      </c>
      <c r="O32" s="8">
        <f t="shared" si="10"/>
        <v>45230</v>
      </c>
      <c r="P32" s="8">
        <f t="shared" si="10"/>
        <v>45260</v>
      </c>
      <c r="Q32" s="8">
        <f t="shared" si="10"/>
        <v>45291</v>
      </c>
      <c r="R32" s="8">
        <f t="shared" si="10"/>
        <v>45322</v>
      </c>
      <c r="S32" s="8">
        <f t="shared" si="10"/>
        <v>45351</v>
      </c>
      <c r="T32" s="8">
        <f t="shared" si="10"/>
        <v>45382</v>
      </c>
      <c r="U32" s="8">
        <f t="shared" si="10"/>
        <v>45412</v>
      </c>
      <c r="V32" s="8">
        <f t="shared" si="10"/>
        <v>45443</v>
      </c>
      <c r="W32" s="8">
        <f t="shared" si="10"/>
        <v>45473</v>
      </c>
      <c r="X32" s="8">
        <f t="shared" si="10"/>
        <v>45504</v>
      </c>
      <c r="Y32" s="8">
        <f t="shared" si="10"/>
        <v>45535</v>
      </c>
      <c r="Z32" s="8">
        <f t="shared" si="10"/>
        <v>45565</v>
      </c>
      <c r="AA32" s="8">
        <f t="shared" si="10"/>
        <v>45596</v>
      </c>
      <c r="AB32" s="8">
        <f t="shared" si="10"/>
        <v>45626</v>
      </c>
      <c r="AC32" s="8">
        <f t="shared" si="10"/>
        <v>45657</v>
      </c>
      <c r="AD32" s="8">
        <f t="shared" si="10"/>
        <v>45688</v>
      </c>
      <c r="AE32" s="8">
        <f t="shared" si="10"/>
        <v>45716</v>
      </c>
      <c r="AF32" s="8">
        <f t="shared" si="10"/>
        <v>45747</v>
      </c>
      <c r="AG32" s="8">
        <f t="shared" si="10"/>
        <v>45777</v>
      </c>
      <c r="AH32" s="8">
        <f t="shared" si="10"/>
        <v>45808</v>
      </c>
      <c r="AI32" s="8">
        <f t="shared" si="10"/>
        <v>45838</v>
      </c>
      <c r="AJ32" s="8">
        <f t="shared" si="10"/>
        <v>45869</v>
      </c>
      <c r="AK32" s="8">
        <f t="shared" si="10"/>
        <v>45900</v>
      </c>
      <c r="AL32" s="8">
        <f t="shared" si="10"/>
        <v>45930</v>
      </c>
      <c r="AM32" s="8">
        <f t="shared" si="10"/>
        <v>45961</v>
      </c>
      <c r="AN32" s="8">
        <f t="shared" si="10"/>
        <v>45991</v>
      </c>
      <c r="AO32" s="8">
        <f t="shared" si="10"/>
        <v>46022</v>
      </c>
      <c r="AP32" s="8">
        <f t="shared" si="10"/>
        <v>46053</v>
      </c>
      <c r="AQ32" s="8">
        <f t="shared" si="10"/>
        <v>46081</v>
      </c>
      <c r="AR32" s="8">
        <f t="shared" si="10"/>
        <v>46112</v>
      </c>
      <c r="AS32" s="8">
        <f t="shared" si="10"/>
        <v>46142</v>
      </c>
      <c r="AT32" s="8">
        <f t="shared" si="10"/>
        <v>46173</v>
      </c>
      <c r="AU32" s="8">
        <f t="shared" si="10"/>
        <v>46203</v>
      </c>
      <c r="AV32" s="8">
        <f t="shared" si="10"/>
        <v>46234</v>
      </c>
      <c r="AW32" s="8">
        <f t="shared" si="10"/>
        <v>46265</v>
      </c>
      <c r="AX32" s="8">
        <f t="shared" si="10"/>
        <v>46295</v>
      </c>
      <c r="AY32" s="8">
        <f t="shared" si="10"/>
        <v>46326</v>
      </c>
      <c r="AZ32" s="8">
        <f t="shared" si="10"/>
        <v>46356</v>
      </c>
      <c r="BA32" s="8">
        <f t="shared" si="10"/>
        <v>46387</v>
      </c>
      <c r="BB32" s="8">
        <f t="shared" si="10"/>
        <v>46418</v>
      </c>
      <c r="BC32" s="8">
        <f t="shared" si="10"/>
        <v>46446</v>
      </c>
      <c r="BD32" s="8">
        <f t="shared" si="10"/>
        <v>46477</v>
      </c>
      <c r="BE32" s="8">
        <f t="shared" si="10"/>
        <v>46507</v>
      </c>
      <c r="BF32" s="8">
        <f t="shared" si="10"/>
        <v>46538</v>
      </c>
      <c r="BG32" s="8">
        <f t="shared" si="10"/>
        <v>46568</v>
      </c>
      <c r="BH32" s="8">
        <f t="shared" si="10"/>
        <v>46599</v>
      </c>
      <c r="BI32" s="8">
        <f t="shared" si="10"/>
        <v>46630</v>
      </c>
      <c r="BJ32" s="8">
        <f t="shared" si="10"/>
        <v>46660</v>
      </c>
      <c r="BK32" s="8">
        <f t="shared" si="10"/>
        <v>46691</v>
      </c>
      <c r="BL32" s="8">
        <f t="shared" si="10"/>
        <v>46721</v>
      </c>
      <c r="BM32" s="8">
        <f t="shared" si="10"/>
        <v>46752</v>
      </c>
      <c r="BN32" s="8">
        <f t="shared" si="10"/>
        <v>46783</v>
      </c>
      <c r="BO32" s="8">
        <f t="shared" si="10"/>
        <v>46812</v>
      </c>
      <c r="BP32" s="8">
        <f t="shared" si="10"/>
        <v>46843</v>
      </c>
      <c r="BQ32" s="8">
        <f t="shared" si="10"/>
        <v>46873</v>
      </c>
    </row>
    <row r="33" spans="1:69" outlineLevel="2">
      <c r="E33" s="5" t="str">
        <f t="shared" ref="E33:BQ33" si="11" xml:space="preserve">  E$28</f>
        <v>Period number</v>
      </c>
      <c r="F33" s="5">
        <f t="shared" si="11"/>
        <v>0</v>
      </c>
      <c r="G33" s="5" t="str">
        <f t="shared" si="11"/>
        <v>Counter</v>
      </c>
      <c r="H33" s="5">
        <f t="shared" si="11"/>
        <v>0</v>
      </c>
      <c r="I33" s="5">
        <f t="shared" si="11"/>
        <v>0</v>
      </c>
      <c r="J33" s="5">
        <f t="shared" si="11"/>
        <v>1</v>
      </c>
      <c r="K33" s="5">
        <f t="shared" si="11"/>
        <v>2</v>
      </c>
      <c r="L33" s="5">
        <f t="shared" si="11"/>
        <v>3</v>
      </c>
      <c r="M33" s="5">
        <f t="shared" si="11"/>
        <v>4</v>
      </c>
      <c r="N33" s="5">
        <f t="shared" si="11"/>
        <v>5</v>
      </c>
      <c r="O33" s="5">
        <f t="shared" si="11"/>
        <v>6</v>
      </c>
      <c r="P33" s="5">
        <f t="shared" si="11"/>
        <v>7</v>
      </c>
      <c r="Q33" s="5">
        <f t="shared" si="11"/>
        <v>8</v>
      </c>
      <c r="R33" s="5">
        <f t="shared" si="11"/>
        <v>9</v>
      </c>
      <c r="S33" s="5">
        <f t="shared" si="11"/>
        <v>10</v>
      </c>
      <c r="T33" s="5">
        <f t="shared" si="11"/>
        <v>11</v>
      </c>
      <c r="U33" s="5">
        <f t="shared" si="11"/>
        <v>12</v>
      </c>
      <c r="V33" s="5">
        <f t="shared" si="11"/>
        <v>13</v>
      </c>
      <c r="W33" s="5">
        <f t="shared" si="11"/>
        <v>14</v>
      </c>
      <c r="X33" s="5">
        <f t="shared" si="11"/>
        <v>15</v>
      </c>
      <c r="Y33" s="5">
        <f t="shared" si="11"/>
        <v>16</v>
      </c>
      <c r="Z33" s="5">
        <f t="shared" si="11"/>
        <v>17</v>
      </c>
      <c r="AA33" s="5">
        <f t="shared" si="11"/>
        <v>18</v>
      </c>
      <c r="AB33" s="5">
        <f t="shared" si="11"/>
        <v>19</v>
      </c>
      <c r="AC33" s="5">
        <f t="shared" si="11"/>
        <v>20</v>
      </c>
      <c r="AD33" s="5">
        <f t="shared" si="11"/>
        <v>21</v>
      </c>
      <c r="AE33" s="5">
        <f t="shared" si="11"/>
        <v>22</v>
      </c>
      <c r="AF33" s="5">
        <f t="shared" si="11"/>
        <v>23</v>
      </c>
      <c r="AG33" s="5">
        <f t="shared" si="11"/>
        <v>24</v>
      </c>
      <c r="AH33" s="5">
        <f t="shared" si="11"/>
        <v>25</v>
      </c>
      <c r="AI33" s="5">
        <f t="shared" si="11"/>
        <v>26</v>
      </c>
      <c r="AJ33" s="5">
        <f t="shared" si="11"/>
        <v>27</v>
      </c>
      <c r="AK33" s="5">
        <f t="shared" si="11"/>
        <v>28</v>
      </c>
      <c r="AL33" s="5">
        <f t="shared" si="11"/>
        <v>29</v>
      </c>
      <c r="AM33" s="5">
        <f t="shared" si="11"/>
        <v>30</v>
      </c>
      <c r="AN33" s="5">
        <f t="shared" si="11"/>
        <v>31</v>
      </c>
      <c r="AO33" s="5">
        <f t="shared" si="11"/>
        <v>32</v>
      </c>
      <c r="AP33" s="5">
        <f t="shared" si="11"/>
        <v>33</v>
      </c>
      <c r="AQ33" s="5">
        <f t="shared" si="11"/>
        <v>34</v>
      </c>
      <c r="AR33" s="5">
        <f t="shared" si="11"/>
        <v>35</v>
      </c>
      <c r="AS33" s="5">
        <f t="shared" si="11"/>
        <v>36</v>
      </c>
      <c r="AT33" s="5">
        <f t="shared" si="11"/>
        <v>37</v>
      </c>
      <c r="AU33" s="5">
        <f t="shared" si="11"/>
        <v>38</v>
      </c>
      <c r="AV33" s="5">
        <f t="shared" si="11"/>
        <v>39</v>
      </c>
      <c r="AW33" s="5">
        <f t="shared" si="11"/>
        <v>40</v>
      </c>
      <c r="AX33" s="5">
        <f t="shared" si="11"/>
        <v>41</v>
      </c>
      <c r="AY33" s="5">
        <f t="shared" si="11"/>
        <v>42</v>
      </c>
      <c r="AZ33" s="5">
        <f t="shared" si="11"/>
        <v>43</v>
      </c>
      <c r="BA33" s="5">
        <f t="shared" si="11"/>
        <v>44</v>
      </c>
      <c r="BB33" s="5">
        <f t="shared" si="11"/>
        <v>45</v>
      </c>
      <c r="BC33" s="5">
        <f t="shared" si="11"/>
        <v>46</v>
      </c>
      <c r="BD33" s="5">
        <f t="shared" si="11"/>
        <v>47</v>
      </c>
      <c r="BE33" s="5">
        <f t="shared" si="11"/>
        <v>48</v>
      </c>
      <c r="BF33" s="5">
        <f t="shared" si="11"/>
        <v>49</v>
      </c>
      <c r="BG33" s="5">
        <f t="shared" si="11"/>
        <v>50</v>
      </c>
      <c r="BH33" s="5">
        <f t="shared" si="11"/>
        <v>51</v>
      </c>
      <c r="BI33" s="5">
        <f t="shared" si="11"/>
        <v>52</v>
      </c>
      <c r="BJ33" s="5">
        <f t="shared" si="11"/>
        <v>53</v>
      </c>
      <c r="BK33" s="5">
        <f t="shared" si="11"/>
        <v>54</v>
      </c>
      <c r="BL33" s="5">
        <f t="shared" si="11"/>
        <v>55</v>
      </c>
      <c r="BM33" s="5">
        <f t="shared" si="11"/>
        <v>56</v>
      </c>
      <c r="BN33" s="5">
        <f t="shared" si="11"/>
        <v>57</v>
      </c>
      <c r="BO33" s="5">
        <f t="shared" si="11"/>
        <v>58</v>
      </c>
      <c r="BP33" s="5">
        <f t="shared" si="11"/>
        <v>59</v>
      </c>
      <c r="BQ33" s="5">
        <f t="shared" si="11"/>
        <v>60</v>
      </c>
    </row>
    <row r="34" spans="1:69" outlineLevel="2">
      <c r="E34" s="5" t="str">
        <f t="shared" ref="E34:BQ34" si="12" xml:space="preserve">  E$296</f>
        <v>Month to Year : period end flag</v>
      </c>
      <c r="F34" s="5">
        <f t="shared" si="12"/>
        <v>0</v>
      </c>
      <c r="G34" s="5" t="str">
        <f t="shared" si="12"/>
        <v>counter</v>
      </c>
      <c r="H34" s="5">
        <f t="shared" si="12"/>
        <v>0</v>
      </c>
      <c r="I34" s="5">
        <f t="shared" si="12"/>
        <v>0</v>
      </c>
      <c r="J34" s="5">
        <f t="shared" si="12"/>
        <v>0</v>
      </c>
      <c r="K34" s="5">
        <f t="shared" si="12"/>
        <v>0</v>
      </c>
      <c r="L34" s="5">
        <f t="shared" si="12"/>
        <v>0</v>
      </c>
      <c r="M34" s="5">
        <f t="shared" si="12"/>
        <v>0</v>
      </c>
      <c r="N34" s="5">
        <f t="shared" si="12"/>
        <v>0</v>
      </c>
      <c r="O34" s="5">
        <f t="shared" si="12"/>
        <v>0</v>
      </c>
      <c r="P34" s="5">
        <f t="shared" si="12"/>
        <v>0</v>
      </c>
      <c r="Q34" s="5">
        <f t="shared" si="12"/>
        <v>0</v>
      </c>
      <c r="R34" s="5">
        <f t="shared" si="12"/>
        <v>0</v>
      </c>
      <c r="S34" s="5">
        <f t="shared" si="12"/>
        <v>0</v>
      </c>
      <c r="T34" s="5">
        <f t="shared" si="12"/>
        <v>0</v>
      </c>
      <c r="U34" s="5">
        <f t="shared" si="12"/>
        <v>1</v>
      </c>
      <c r="V34" s="5">
        <f t="shared" si="12"/>
        <v>0</v>
      </c>
      <c r="W34" s="5">
        <f t="shared" si="12"/>
        <v>0</v>
      </c>
      <c r="X34" s="5">
        <f t="shared" si="12"/>
        <v>0</v>
      </c>
      <c r="Y34" s="5">
        <f t="shared" si="12"/>
        <v>0</v>
      </c>
      <c r="Z34" s="5">
        <f t="shared" si="12"/>
        <v>0</v>
      </c>
      <c r="AA34" s="5">
        <f t="shared" si="12"/>
        <v>0</v>
      </c>
      <c r="AB34" s="5">
        <f t="shared" si="12"/>
        <v>0</v>
      </c>
      <c r="AC34" s="5">
        <f t="shared" si="12"/>
        <v>0</v>
      </c>
      <c r="AD34" s="5">
        <f t="shared" si="12"/>
        <v>0</v>
      </c>
      <c r="AE34" s="5">
        <f t="shared" si="12"/>
        <v>0</v>
      </c>
      <c r="AF34" s="5">
        <f t="shared" si="12"/>
        <v>0</v>
      </c>
      <c r="AG34" s="5">
        <f t="shared" si="12"/>
        <v>2</v>
      </c>
      <c r="AH34" s="5">
        <f t="shared" si="12"/>
        <v>0</v>
      </c>
      <c r="AI34" s="5">
        <f t="shared" si="12"/>
        <v>0</v>
      </c>
      <c r="AJ34" s="5">
        <f t="shared" si="12"/>
        <v>0</v>
      </c>
      <c r="AK34" s="5">
        <f t="shared" si="12"/>
        <v>0</v>
      </c>
      <c r="AL34" s="5">
        <f t="shared" si="12"/>
        <v>0</v>
      </c>
      <c r="AM34" s="5">
        <f t="shared" si="12"/>
        <v>0</v>
      </c>
      <c r="AN34" s="5">
        <f t="shared" si="12"/>
        <v>0</v>
      </c>
      <c r="AO34" s="5">
        <f t="shared" si="12"/>
        <v>0</v>
      </c>
      <c r="AP34" s="5">
        <f t="shared" si="12"/>
        <v>0</v>
      </c>
      <c r="AQ34" s="5">
        <f t="shared" si="12"/>
        <v>0</v>
      </c>
      <c r="AR34" s="5">
        <f t="shared" si="12"/>
        <v>0</v>
      </c>
      <c r="AS34" s="5">
        <f t="shared" si="12"/>
        <v>3</v>
      </c>
      <c r="AT34" s="5">
        <f t="shared" si="12"/>
        <v>0</v>
      </c>
      <c r="AU34" s="5">
        <f t="shared" si="12"/>
        <v>0</v>
      </c>
      <c r="AV34" s="5">
        <f t="shared" si="12"/>
        <v>0</v>
      </c>
      <c r="AW34" s="5">
        <f t="shared" si="12"/>
        <v>0</v>
      </c>
      <c r="AX34" s="5">
        <f t="shared" si="12"/>
        <v>0</v>
      </c>
      <c r="AY34" s="5">
        <f t="shared" si="12"/>
        <v>0</v>
      </c>
      <c r="AZ34" s="5">
        <f t="shared" si="12"/>
        <v>0</v>
      </c>
      <c r="BA34" s="5">
        <f t="shared" si="12"/>
        <v>0</v>
      </c>
      <c r="BB34" s="5">
        <f t="shared" si="12"/>
        <v>0</v>
      </c>
      <c r="BC34" s="5">
        <f t="shared" si="12"/>
        <v>0</v>
      </c>
      <c r="BD34" s="5">
        <f t="shared" si="12"/>
        <v>0</v>
      </c>
      <c r="BE34" s="5">
        <f t="shared" si="12"/>
        <v>4</v>
      </c>
      <c r="BF34" s="5">
        <f t="shared" si="12"/>
        <v>0</v>
      </c>
      <c r="BG34" s="5">
        <f t="shared" si="12"/>
        <v>0</v>
      </c>
      <c r="BH34" s="5">
        <f t="shared" si="12"/>
        <v>0</v>
      </c>
      <c r="BI34" s="5">
        <f t="shared" si="12"/>
        <v>0</v>
      </c>
      <c r="BJ34" s="5">
        <f t="shared" si="12"/>
        <v>0</v>
      </c>
      <c r="BK34" s="5">
        <f t="shared" si="12"/>
        <v>0</v>
      </c>
      <c r="BL34" s="5">
        <f t="shared" si="12"/>
        <v>0</v>
      </c>
      <c r="BM34" s="5">
        <f t="shared" si="12"/>
        <v>0</v>
      </c>
      <c r="BN34" s="5">
        <f t="shared" si="12"/>
        <v>0</v>
      </c>
      <c r="BO34" s="5">
        <f t="shared" si="12"/>
        <v>0</v>
      </c>
      <c r="BP34" s="5">
        <f t="shared" si="12"/>
        <v>0</v>
      </c>
      <c r="BQ34" s="5">
        <f t="shared" si="12"/>
        <v>5</v>
      </c>
    </row>
    <row r="35" spans="1:69" outlineLevel="2">
      <c r="A35" s="36"/>
      <c r="B35" s="36"/>
      <c r="C35" s="65"/>
      <c r="D35" s="64"/>
      <c r="E35" s="21" t="s">
        <v>32</v>
      </c>
      <c r="F35" s="21"/>
      <c r="G35" s="21" t="s">
        <v>210</v>
      </c>
      <c r="H35" s="21"/>
      <c r="I35" s="21"/>
      <c r="J35" s="13">
        <f t="shared" ref="J35:BQ35" si="13" xml:space="preserve">  INDEX( $J32:$BQ32, MATCH( J33, $J34:$BQ34, 0 ) )</f>
        <v>45412</v>
      </c>
      <c r="K35" s="13">
        <f t="shared" si="13"/>
        <v>45777</v>
      </c>
      <c r="L35" s="13">
        <f t="shared" si="13"/>
        <v>46142</v>
      </c>
      <c r="M35" s="13">
        <f t="shared" si="13"/>
        <v>46507</v>
      </c>
      <c r="N35" s="13">
        <f t="shared" si="13"/>
        <v>46873</v>
      </c>
      <c r="O35" s="13" t="e">
        <f t="shared" si="13"/>
        <v>#N/A</v>
      </c>
      <c r="P35" s="13" t="e">
        <f t="shared" si="13"/>
        <v>#N/A</v>
      </c>
      <c r="Q35" s="13" t="e">
        <f t="shared" si="13"/>
        <v>#N/A</v>
      </c>
      <c r="R35" s="13" t="e">
        <f t="shared" si="13"/>
        <v>#N/A</v>
      </c>
      <c r="S35" s="13" t="e">
        <f t="shared" si="13"/>
        <v>#N/A</v>
      </c>
      <c r="T35" s="13" t="e">
        <f t="shared" si="13"/>
        <v>#N/A</v>
      </c>
      <c r="U35" s="13" t="e">
        <f t="shared" si="13"/>
        <v>#N/A</v>
      </c>
      <c r="V35" s="13" t="e">
        <f t="shared" si="13"/>
        <v>#N/A</v>
      </c>
      <c r="W35" s="13" t="e">
        <f t="shared" si="13"/>
        <v>#N/A</v>
      </c>
      <c r="X35" s="13" t="e">
        <f t="shared" si="13"/>
        <v>#N/A</v>
      </c>
      <c r="Y35" s="13" t="e">
        <f t="shared" si="13"/>
        <v>#N/A</v>
      </c>
      <c r="Z35" s="13" t="e">
        <f t="shared" si="13"/>
        <v>#N/A</v>
      </c>
      <c r="AA35" s="13" t="e">
        <f t="shared" si="13"/>
        <v>#N/A</v>
      </c>
      <c r="AB35" s="13" t="e">
        <f t="shared" si="13"/>
        <v>#N/A</v>
      </c>
      <c r="AC35" s="13" t="e">
        <f t="shared" si="13"/>
        <v>#N/A</v>
      </c>
      <c r="AD35" s="13" t="e">
        <f t="shared" si="13"/>
        <v>#N/A</v>
      </c>
      <c r="AE35" s="13" t="e">
        <f t="shared" si="13"/>
        <v>#N/A</v>
      </c>
      <c r="AF35" s="13" t="e">
        <f t="shared" si="13"/>
        <v>#N/A</v>
      </c>
      <c r="AG35" s="13" t="e">
        <f t="shared" si="13"/>
        <v>#N/A</v>
      </c>
      <c r="AH35" s="13" t="e">
        <f t="shared" si="13"/>
        <v>#N/A</v>
      </c>
      <c r="AI35" s="13" t="e">
        <f t="shared" si="13"/>
        <v>#N/A</v>
      </c>
      <c r="AJ35" s="13" t="e">
        <f t="shared" si="13"/>
        <v>#N/A</v>
      </c>
      <c r="AK35" s="13" t="e">
        <f t="shared" si="13"/>
        <v>#N/A</v>
      </c>
      <c r="AL35" s="13" t="e">
        <f t="shared" si="13"/>
        <v>#N/A</v>
      </c>
      <c r="AM35" s="13" t="e">
        <f t="shared" si="13"/>
        <v>#N/A</v>
      </c>
      <c r="AN35" s="13" t="e">
        <f t="shared" si="13"/>
        <v>#N/A</v>
      </c>
      <c r="AO35" s="13" t="e">
        <f t="shared" si="13"/>
        <v>#N/A</v>
      </c>
      <c r="AP35" s="13" t="e">
        <f t="shared" si="13"/>
        <v>#N/A</v>
      </c>
      <c r="AQ35" s="13" t="e">
        <f t="shared" si="13"/>
        <v>#N/A</v>
      </c>
      <c r="AR35" s="13" t="e">
        <f t="shared" si="13"/>
        <v>#N/A</v>
      </c>
      <c r="AS35" s="13" t="e">
        <f t="shared" si="13"/>
        <v>#N/A</v>
      </c>
      <c r="AT35" s="13" t="e">
        <f t="shared" si="13"/>
        <v>#N/A</v>
      </c>
      <c r="AU35" s="13" t="e">
        <f t="shared" si="13"/>
        <v>#N/A</v>
      </c>
      <c r="AV35" s="13" t="e">
        <f t="shared" si="13"/>
        <v>#N/A</v>
      </c>
      <c r="AW35" s="13" t="e">
        <f t="shared" si="13"/>
        <v>#N/A</v>
      </c>
      <c r="AX35" s="13" t="e">
        <f t="shared" si="13"/>
        <v>#N/A</v>
      </c>
      <c r="AY35" s="13" t="e">
        <f t="shared" si="13"/>
        <v>#N/A</v>
      </c>
      <c r="AZ35" s="13" t="e">
        <f t="shared" si="13"/>
        <v>#N/A</v>
      </c>
      <c r="BA35" s="13" t="e">
        <f t="shared" si="13"/>
        <v>#N/A</v>
      </c>
      <c r="BB35" s="13" t="e">
        <f t="shared" si="13"/>
        <v>#N/A</v>
      </c>
      <c r="BC35" s="13" t="e">
        <f t="shared" si="13"/>
        <v>#N/A</v>
      </c>
      <c r="BD35" s="13" t="e">
        <f t="shared" si="13"/>
        <v>#N/A</v>
      </c>
      <c r="BE35" s="13" t="e">
        <f t="shared" si="13"/>
        <v>#N/A</v>
      </c>
      <c r="BF35" s="13" t="e">
        <f t="shared" si="13"/>
        <v>#N/A</v>
      </c>
      <c r="BG35" s="13" t="e">
        <f t="shared" si="13"/>
        <v>#N/A</v>
      </c>
      <c r="BH35" s="13" t="e">
        <f t="shared" si="13"/>
        <v>#N/A</v>
      </c>
      <c r="BI35" s="13" t="e">
        <f t="shared" si="13"/>
        <v>#N/A</v>
      </c>
      <c r="BJ35" s="13" t="e">
        <f t="shared" si="13"/>
        <v>#N/A</v>
      </c>
      <c r="BK35" s="13" t="e">
        <f t="shared" si="13"/>
        <v>#N/A</v>
      </c>
      <c r="BL35" s="13" t="e">
        <f t="shared" si="13"/>
        <v>#N/A</v>
      </c>
      <c r="BM35" s="13" t="e">
        <f t="shared" si="13"/>
        <v>#N/A</v>
      </c>
      <c r="BN35" s="13" t="e">
        <f t="shared" si="13"/>
        <v>#N/A</v>
      </c>
      <c r="BO35" s="13" t="e">
        <f t="shared" si="13"/>
        <v>#N/A</v>
      </c>
      <c r="BP35" s="13" t="e">
        <f t="shared" si="13"/>
        <v>#N/A</v>
      </c>
      <c r="BQ35" s="13" t="e">
        <f t="shared" si="13"/>
        <v>#N/A</v>
      </c>
    </row>
    <row r="36" spans="1:69" outlineLevel="1"/>
    <row r="37" spans="1:69" outlineLevel="1"/>
    <row r="38" spans="1:69" outlineLevel="1">
      <c r="B38" s="27" t="s">
        <v>8</v>
      </c>
    </row>
    <row r="39" spans="1:69" outlineLevel="2">
      <c r="E39" s="2" t="str">
        <f t="shared" ref="E39:BQ39" si="14" xml:space="preserve">  E$24</f>
        <v>Timeline label</v>
      </c>
      <c r="F39" s="2">
        <f t="shared" si="14"/>
        <v>0</v>
      </c>
      <c r="G39" s="2" t="str">
        <f t="shared" si="14"/>
        <v>GBP</v>
      </c>
      <c r="H39" s="2">
        <f t="shared" si="14"/>
        <v>0</v>
      </c>
      <c r="I39" s="2">
        <f t="shared" si="14"/>
        <v>0</v>
      </c>
      <c r="J39" s="2" t="str">
        <f t="shared" si="14"/>
        <v>Month1</v>
      </c>
      <c r="K39" s="2" t="str">
        <f t="shared" si="14"/>
        <v>Month2</v>
      </c>
      <c r="L39" s="2" t="str">
        <f t="shared" si="14"/>
        <v>Month3</v>
      </c>
      <c r="M39" s="2" t="str">
        <f t="shared" si="14"/>
        <v>Month4</v>
      </c>
      <c r="N39" s="2" t="str">
        <f t="shared" si="14"/>
        <v>Month5</v>
      </c>
      <c r="O39" s="2" t="str">
        <f t="shared" si="14"/>
        <v>Month6</v>
      </c>
      <c r="P39" s="2" t="str">
        <f t="shared" si="14"/>
        <v>Month7</v>
      </c>
      <c r="Q39" s="2" t="str">
        <f t="shared" si="14"/>
        <v>Month8</v>
      </c>
      <c r="R39" s="2" t="str">
        <f t="shared" si="14"/>
        <v>Month9</v>
      </c>
      <c r="S39" s="2" t="str">
        <f t="shared" si="14"/>
        <v>Month10</v>
      </c>
      <c r="T39" s="2" t="str">
        <f t="shared" si="14"/>
        <v>Month11</v>
      </c>
      <c r="U39" s="2" t="str">
        <f t="shared" si="14"/>
        <v>Month12</v>
      </c>
      <c r="V39" s="2" t="str">
        <f t="shared" si="14"/>
        <v>Month13</v>
      </c>
      <c r="W39" s="2" t="str">
        <f t="shared" si="14"/>
        <v>Month14</v>
      </c>
      <c r="X39" s="2" t="str">
        <f t="shared" si="14"/>
        <v>Month15</v>
      </c>
      <c r="Y39" s="2" t="str">
        <f t="shared" si="14"/>
        <v>Month16</v>
      </c>
      <c r="Z39" s="2" t="str">
        <f t="shared" si="14"/>
        <v>Month17</v>
      </c>
      <c r="AA39" s="2" t="str">
        <f t="shared" si="14"/>
        <v>Month18</v>
      </c>
      <c r="AB39" s="2" t="str">
        <f t="shared" si="14"/>
        <v>Month19</v>
      </c>
      <c r="AC39" s="2" t="str">
        <f t="shared" si="14"/>
        <v>Month20</v>
      </c>
      <c r="AD39" s="2" t="str">
        <f t="shared" si="14"/>
        <v>Month21</v>
      </c>
      <c r="AE39" s="2" t="str">
        <f t="shared" si="14"/>
        <v>Month22</v>
      </c>
      <c r="AF39" s="2" t="str">
        <f t="shared" si="14"/>
        <v>Month23</v>
      </c>
      <c r="AG39" s="2" t="str">
        <f t="shared" si="14"/>
        <v>Month24</v>
      </c>
      <c r="AH39" s="2" t="str">
        <f t="shared" si="14"/>
        <v>Month25</v>
      </c>
      <c r="AI39" s="2" t="str">
        <f t="shared" si="14"/>
        <v>Month26</v>
      </c>
      <c r="AJ39" s="2" t="str">
        <f t="shared" si="14"/>
        <v>Month27</v>
      </c>
      <c r="AK39" s="2" t="str">
        <f t="shared" si="14"/>
        <v>Month28</v>
      </c>
      <c r="AL39" s="2" t="str">
        <f t="shared" si="14"/>
        <v>Month29</v>
      </c>
      <c r="AM39" s="2" t="str">
        <f t="shared" si="14"/>
        <v>Month30</v>
      </c>
      <c r="AN39" s="2" t="str">
        <f t="shared" si="14"/>
        <v>Month31</v>
      </c>
      <c r="AO39" s="2" t="str">
        <f t="shared" si="14"/>
        <v>Month32</v>
      </c>
      <c r="AP39" s="2" t="str">
        <f t="shared" si="14"/>
        <v>Month33</v>
      </c>
      <c r="AQ39" s="2" t="str">
        <f t="shared" si="14"/>
        <v>Month34</v>
      </c>
      <c r="AR39" s="2" t="str">
        <f t="shared" si="14"/>
        <v>Month35</v>
      </c>
      <c r="AS39" s="2" t="str">
        <f t="shared" si="14"/>
        <v>Month36</v>
      </c>
      <c r="AT39" s="2" t="str">
        <f t="shared" si="14"/>
        <v>Month37</v>
      </c>
      <c r="AU39" s="2" t="str">
        <f t="shared" si="14"/>
        <v>Month38</v>
      </c>
      <c r="AV39" s="2" t="str">
        <f t="shared" si="14"/>
        <v>Month39</v>
      </c>
      <c r="AW39" s="2" t="str">
        <f t="shared" si="14"/>
        <v>Month40</v>
      </c>
      <c r="AX39" s="2" t="str">
        <f t="shared" si="14"/>
        <v>Month41</v>
      </c>
      <c r="AY39" s="2" t="str">
        <f t="shared" si="14"/>
        <v>Month42</v>
      </c>
      <c r="AZ39" s="2" t="str">
        <f t="shared" si="14"/>
        <v>Month43</v>
      </c>
      <c r="BA39" s="2" t="str">
        <f t="shared" si="14"/>
        <v>Month44</v>
      </c>
      <c r="BB39" s="2" t="str">
        <f t="shared" si="14"/>
        <v>Month45</v>
      </c>
      <c r="BC39" s="2" t="str">
        <f t="shared" si="14"/>
        <v>Month46</v>
      </c>
      <c r="BD39" s="2" t="str">
        <f t="shared" si="14"/>
        <v>Month47</v>
      </c>
      <c r="BE39" s="2" t="str">
        <f t="shared" si="14"/>
        <v>Month48</v>
      </c>
      <c r="BF39" s="2" t="str">
        <f t="shared" si="14"/>
        <v>Month49</v>
      </c>
      <c r="BG39" s="2" t="str">
        <f t="shared" si="14"/>
        <v>Month50</v>
      </c>
      <c r="BH39" s="2" t="str">
        <f t="shared" si="14"/>
        <v>Month51</v>
      </c>
      <c r="BI39" s="2" t="str">
        <f t="shared" si="14"/>
        <v>Month52</v>
      </c>
      <c r="BJ39" s="2" t="str">
        <f t="shared" si="14"/>
        <v>Month53</v>
      </c>
      <c r="BK39" s="2" t="str">
        <f t="shared" si="14"/>
        <v>Month54</v>
      </c>
      <c r="BL39" s="2" t="str">
        <f t="shared" si="14"/>
        <v>Month55</v>
      </c>
      <c r="BM39" s="2" t="str">
        <f t="shared" si="14"/>
        <v>Month56</v>
      </c>
      <c r="BN39" s="2" t="str">
        <f t="shared" si="14"/>
        <v>Month57</v>
      </c>
      <c r="BO39" s="2" t="str">
        <f t="shared" si="14"/>
        <v>Month58</v>
      </c>
      <c r="BP39" s="2" t="str">
        <f t="shared" si="14"/>
        <v>Month59</v>
      </c>
      <c r="BQ39" s="2" t="str">
        <f t="shared" si="14"/>
        <v>Month60</v>
      </c>
    </row>
    <row r="40" spans="1:69" outlineLevel="2">
      <c r="E40" s="5" t="str">
        <f t="shared" ref="E40:BQ40" si="15" xml:space="preserve">  E$28</f>
        <v>Period number</v>
      </c>
      <c r="F40" s="5">
        <f t="shared" si="15"/>
        <v>0</v>
      </c>
      <c r="G40" s="5" t="str">
        <f t="shared" si="15"/>
        <v>Counter</v>
      </c>
      <c r="H40" s="5">
        <f t="shared" si="15"/>
        <v>0</v>
      </c>
      <c r="I40" s="5">
        <f t="shared" si="15"/>
        <v>0</v>
      </c>
      <c r="J40" s="5">
        <f t="shared" si="15"/>
        <v>1</v>
      </c>
      <c r="K40" s="5">
        <f t="shared" si="15"/>
        <v>2</v>
      </c>
      <c r="L40" s="5">
        <f t="shared" si="15"/>
        <v>3</v>
      </c>
      <c r="M40" s="5">
        <f t="shared" si="15"/>
        <v>4</v>
      </c>
      <c r="N40" s="5">
        <f t="shared" si="15"/>
        <v>5</v>
      </c>
      <c r="O40" s="5">
        <f t="shared" si="15"/>
        <v>6</v>
      </c>
      <c r="P40" s="5">
        <f t="shared" si="15"/>
        <v>7</v>
      </c>
      <c r="Q40" s="5">
        <f t="shared" si="15"/>
        <v>8</v>
      </c>
      <c r="R40" s="5">
        <f t="shared" si="15"/>
        <v>9</v>
      </c>
      <c r="S40" s="5">
        <f t="shared" si="15"/>
        <v>10</v>
      </c>
      <c r="T40" s="5">
        <f t="shared" si="15"/>
        <v>11</v>
      </c>
      <c r="U40" s="5">
        <f t="shared" si="15"/>
        <v>12</v>
      </c>
      <c r="V40" s="5">
        <f t="shared" si="15"/>
        <v>13</v>
      </c>
      <c r="W40" s="5">
        <f t="shared" si="15"/>
        <v>14</v>
      </c>
      <c r="X40" s="5">
        <f t="shared" si="15"/>
        <v>15</v>
      </c>
      <c r="Y40" s="5">
        <f t="shared" si="15"/>
        <v>16</v>
      </c>
      <c r="Z40" s="5">
        <f t="shared" si="15"/>
        <v>17</v>
      </c>
      <c r="AA40" s="5">
        <f t="shared" si="15"/>
        <v>18</v>
      </c>
      <c r="AB40" s="5">
        <f t="shared" si="15"/>
        <v>19</v>
      </c>
      <c r="AC40" s="5">
        <f t="shared" si="15"/>
        <v>20</v>
      </c>
      <c r="AD40" s="5">
        <f t="shared" si="15"/>
        <v>21</v>
      </c>
      <c r="AE40" s="5">
        <f t="shared" si="15"/>
        <v>22</v>
      </c>
      <c r="AF40" s="5">
        <f t="shared" si="15"/>
        <v>23</v>
      </c>
      <c r="AG40" s="5">
        <f t="shared" si="15"/>
        <v>24</v>
      </c>
      <c r="AH40" s="5">
        <f t="shared" si="15"/>
        <v>25</v>
      </c>
      <c r="AI40" s="5">
        <f t="shared" si="15"/>
        <v>26</v>
      </c>
      <c r="AJ40" s="5">
        <f t="shared" si="15"/>
        <v>27</v>
      </c>
      <c r="AK40" s="5">
        <f t="shared" si="15"/>
        <v>28</v>
      </c>
      <c r="AL40" s="5">
        <f t="shared" si="15"/>
        <v>29</v>
      </c>
      <c r="AM40" s="5">
        <f t="shared" si="15"/>
        <v>30</v>
      </c>
      <c r="AN40" s="5">
        <f t="shared" si="15"/>
        <v>31</v>
      </c>
      <c r="AO40" s="5">
        <f t="shared" si="15"/>
        <v>32</v>
      </c>
      <c r="AP40" s="5">
        <f t="shared" si="15"/>
        <v>33</v>
      </c>
      <c r="AQ40" s="5">
        <f t="shared" si="15"/>
        <v>34</v>
      </c>
      <c r="AR40" s="5">
        <f t="shared" si="15"/>
        <v>35</v>
      </c>
      <c r="AS40" s="5">
        <f t="shared" si="15"/>
        <v>36</v>
      </c>
      <c r="AT40" s="5">
        <f t="shared" si="15"/>
        <v>37</v>
      </c>
      <c r="AU40" s="5">
        <f t="shared" si="15"/>
        <v>38</v>
      </c>
      <c r="AV40" s="5">
        <f t="shared" si="15"/>
        <v>39</v>
      </c>
      <c r="AW40" s="5">
        <f t="shared" si="15"/>
        <v>40</v>
      </c>
      <c r="AX40" s="5">
        <f t="shared" si="15"/>
        <v>41</v>
      </c>
      <c r="AY40" s="5">
        <f t="shared" si="15"/>
        <v>42</v>
      </c>
      <c r="AZ40" s="5">
        <f t="shared" si="15"/>
        <v>43</v>
      </c>
      <c r="BA40" s="5">
        <f t="shared" si="15"/>
        <v>44</v>
      </c>
      <c r="BB40" s="5">
        <f t="shared" si="15"/>
        <v>45</v>
      </c>
      <c r="BC40" s="5">
        <f t="shared" si="15"/>
        <v>46</v>
      </c>
      <c r="BD40" s="5">
        <f t="shared" si="15"/>
        <v>47</v>
      </c>
      <c r="BE40" s="5">
        <f t="shared" si="15"/>
        <v>48</v>
      </c>
      <c r="BF40" s="5">
        <f t="shared" si="15"/>
        <v>49</v>
      </c>
      <c r="BG40" s="5">
        <f t="shared" si="15"/>
        <v>50</v>
      </c>
      <c r="BH40" s="5">
        <f t="shared" si="15"/>
        <v>51</v>
      </c>
      <c r="BI40" s="5">
        <f t="shared" si="15"/>
        <v>52</v>
      </c>
      <c r="BJ40" s="5">
        <f t="shared" si="15"/>
        <v>53</v>
      </c>
      <c r="BK40" s="5">
        <f t="shared" si="15"/>
        <v>54</v>
      </c>
      <c r="BL40" s="5">
        <f t="shared" si="15"/>
        <v>55</v>
      </c>
      <c r="BM40" s="5">
        <f t="shared" si="15"/>
        <v>56</v>
      </c>
      <c r="BN40" s="5">
        <f t="shared" si="15"/>
        <v>57</v>
      </c>
      <c r="BO40" s="5">
        <f t="shared" si="15"/>
        <v>58</v>
      </c>
      <c r="BP40" s="5">
        <f t="shared" si="15"/>
        <v>59</v>
      </c>
      <c r="BQ40" s="5">
        <f t="shared" si="15"/>
        <v>60</v>
      </c>
    </row>
    <row r="41" spans="1:69" outlineLevel="2">
      <c r="E41" s="5" t="str">
        <f t="shared" ref="E41:BQ41" si="16" xml:space="preserve">  E$296</f>
        <v>Month to Year : period end flag</v>
      </c>
      <c r="F41" s="5">
        <f t="shared" si="16"/>
        <v>0</v>
      </c>
      <c r="G41" s="5" t="str">
        <f t="shared" si="16"/>
        <v>counter</v>
      </c>
      <c r="H41" s="5">
        <f t="shared" si="16"/>
        <v>0</v>
      </c>
      <c r="I41" s="5">
        <f t="shared" si="16"/>
        <v>0</v>
      </c>
      <c r="J41" s="5">
        <f t="shared" si="16"/>
        <v>0</v>
      </c>
      <c r="K41" s="5">
        <f t="shared" si="16"/>
        <v>0</v>
      </c>
      <c r="L41" s="5">
        <f t="shared" si="16"/>
        <v>0</v>
      </c>
      <c r="M41" s="5">
        <f t="shared" si="16"/>
        <v>0</v>
      </c>
      <c r="N41" s="5">
        <f t="shared" si="16"/>
        <v>0</v>
      </c>
      <c r="O41" s="5">
        <f t="shared" si="16"/>
        <v>0</v>
      </c>
      <c r="P41" s="5">
        <f t="shared" si="16"/>
        <v>0</v>
      </c>
      <c r="Q41" s="5">
        <f t="shared" si="16"/>
        <v>0</v>
      </c>
      <c r="R41" s="5">
        <f t="shared" si="16"/>
        <v>0</v>
      </c>
      <c r="S41" s="5">
        <f t="shared" si="16"/>
        <v>0</v>
      </c>
      <c r="T41" s="5">
        <f t="shared" si="16"/>
        <v>0</v>
      </c>
      <c r="U41" s="5">
        <f t="shared" si="16"/>
        <v>1</v>
      </c>
      <c r="V41" s="5">
        <f t="shared" si="16"/>
        <v>0</v>
      </c>
      <c r="W41" s="5">
        <f t="shared" si="16"/>
        <v>0</v>
      </c>
      <c r="X41" s="5">
        <f t="shared" si="16"/>
        <v>0</v>
      </c>
      <c r="Y41" s="5">
        <f t="shared" si="16"/>
        <v>0</v>
      </c>
      <c r="Z41" s="5">
        <f t="shared" si="16"/>
        <v>0</v>
      </c>
      <c r="AA41" s="5">
        <f t="shared" si="16"/>
        <v>0</v>
      </c>
      <c r="AB41" s="5">
        <f t="shared" si="16"/>
        <v>0</v>
      </c>
      <c r="AC41" s="5">
        <f t="shared" si="16"/>
        <v>0</v>
      </c>
      <c r="AD41" s="5">
        <f t="shared" si="16"/>
        <v>0</v>
      </c>
      <c r="AE41" s="5">
        <f t="shared" si="16"/>
        <v>0</v>
      </c>
      <c r="AF41" s="5">
        <f t="shared" si="16"/>
        <v>0</v>
      </c>
      <c r="AG41" s="5">
        <f t="shared" si="16"/>
        <v>2</v>
      </c>
      <c r="AH41" s="5">
        <f t="shared" si="16"/>
        <v>0</v>
      </c>
      <c r="AI41" s="5">
        <f t="shared" si="16"/>
        <v>0</v>
      </c>
      <c r="AJ41" s="5">
        <f t="shared" si="16"/>
        <v>0</v>
      </c>
      <c r="AK41" s="5">
        <f t="shared" si="16"/>
        <v>0</v>
      </c>
      <c r="AL41" s="5">
        <f t="shared" si="16"/>
        <v>0</v>
      </c>
      <c r="AM41" s="5">
        <f t="shared" si="16"/>
        <v>0</v>
      </c>
      <c r="AN41" s="5">
        <f t="shared" si="16"/>
        <v>0</v>
      </c>
      <c r="AO41" s="5">
        <f t="shared" si="16"/>
        <v>0</v>
      </c>
      <c r="AP41" s="5">
        <f t="shared" si="16"/>
        <v>0</v>
      </c>
      <c r="AQ41" s="5">
        <f t="shared" si="16"/>
        <v>0</v>
      </c>
      <c r="AR41" s="5">
        <f t="shared" si="16"/>
        <v>0</v>
      </c>
      <c r="AS41" s="5">
        <f t="shared" si="16"/>
        <v>3</v>
      </c>
      <c r="AT41" s="5">
        <f t="shared" si="16"/>
        <v>0</v>
      </c>
      <c r="AU41" s="5">
        <f t="shared" si="16"/>
        <v>0</v>
      </c>
      <c r="AV41" s="5">
        <f t="shared" si="16"/>
        <v>0</v>
      </c>
      <c r="AW41" s="5">
        <f t="shared" si="16"/>
        <v>0</v>
      </c>
      <c r="AX41" s="5">
        <f t="shared" si="16"/>
        <v>0</v>
      </c>
      <c r="AY41" s="5">
        <f t="shared" si="16"/>
        <v>0</v>
      </c>
      <c r="AZ41" s="5">
        <f t="shared" si="16"/>
        <v>0</v>
      </c>
      <c r="BA41" s="5">
        <f t="shared" si="16"/>
        <v>0</v>
      </c>
      <c r="BB41" s="5">
        <f t="shared" si="16"/>
        <v>0</v>
      </c>
      <c r="BC41" s="5">
        <f t="shared" si="16"/>
        <v>0</v>
      </c>
      <c r="BD41" s="5">
        <f t="shared" si="16"/>
        <v>0</v>
      </c>
      <c r="BE41" s="5">
        <f t="shared" si="16"/>
        <v>4</v>
      </c>
      <c r="BF41" s="5">
        <f t="shared" si="16"/>
        <v>0</v>
      </c>
      <c r="BG41" s="5">
        <f t="shared" si="16"/>
        <v>0</v>
      </c>
      <c r="BH41" s="5">
        <f t="shared" si="16"/>
        <v>0</v>
      </c>
      <c r="BI41" s="5">
        <f t="shared" si="16"/>
        <v>0</v>
      </c>
      <c r="BJ41" s="5">
        <f t="shared" si="16"/>
        <v>0</v>
      </c>
      <c r="BK41" s="5">
        <f t="shared" si="16"/>
        <v>0</v>
      </c>
      <c r="BL41" s="5">
        <f t="shared" si="16"/>
        <v>0</v>
      </c>
      <c r="BM41" s="5">
        <f t="shared" si="16"/>
        <v>0</v>
      </c>
      <c r="BN41" s="5">
        <f t="shared" si="16"/>
        <v>0</v>
      </c>
      <c r="BO41" s="5">
        <f t="shared" si="16"/>
        <v>0</v>
      </c>
      <c r="BP41" s="5">
        <f t="shared" si="16"/>
        <v>0</v>
      </c>
      <c r="BQ41" s="5">
        <f t="shared" si="16"/>
        <v>5</v>
      </c>
    </row>
    <row r="42" spans="1:69" outlineLevel="2">
      <c r="A42" s="36"/>
      <c r="B42" s="36"/>
      <c r="C42" s="65"/>
      <c r="D42" s="64"/>
      <c r="E42" s="21" t="s">
        <v>8</v>
      </c>
      <c r="F42" s="21"/>
      <c r="G42" s="21" t="s">
        <v>252</v>
      </c>
      <c r="H42" s="3" t="e">
        <f xml:space="preserve"> SUM( J42:BQ42 )</f>
        <v>#N/A</v>
      </c>
      <c r="I42" s="21"/>
      <c r="J42" s="3" t="str">
        <f t="shared" ref="J42:BQ42" si="17" xml:space="preserve">  INDEX( $J39:$BQ39, MATCH( J40, $J41:$BQ41, 0 ) )</f>
        <v>Month12</v>
      </c>
      <c r="K42" s="3" t="str">
        <f t="shared" si="17"/>
        <v>Month24</v>
      </c>
      <c r="L42" s="3" t="str">
        <f t="shared" si="17"/>
        <v>Month36</v>
      </c>
      <c r="M42" s="3" t="str">
        <f t="shared" si="17"/>
        <v>Month48</v>
      </c>
      <c r="N42" s="3" t="str">
        <f t="shared" si="17"/>
        <v>Month60</v>
      </c>
      <c r="O42" s="3" t="e">
        <f t="shared" si="17"/>
        <v>#N/A</v>
      </c>
      <c r="P42" s="3" t="e">
        <f t="shared" si="17"/>
        <v>#N/A</v>
      </c>
      <c r="Q42" s="3" t="e">
        <f t="shared" si="17"/>
        <v>#N/A</v>
      </c>
      <c r="R42" s="3" t="e">
        <f t="shared" si="17"/>
        <v>#N/A</v>
      </c>
      <c r="S42" s="3" t="e">
        <f t="shared" si="17"/>
        <v>#N/A</v>
      </c>
      <c r="T42" s="3" t="e">
        <f t="shared" si="17"/>
        <v>#N/A</v>
      </c>
      <c r="U42" s="3" t="e">
        <f t="shared" si="17"/>
        <v>#N/A</v>
      </c>
      <c r="V42" s="3" t="e">
        <f t="shared" si="17"/>
        <v>#N/A</v>
      </c>
      <c r="W42" s="3" t="e">
        <f t="shared" si="17"/>
        <v>#N/A</v>
      </c>
      <c r="X42" s="3" t="e">
        <f t="shared" si="17"/>
        <v>#N/A</v>
      </c>
      <c r="Y42" s="3" t="e">
        <f t="shared" si="17"/>
        <v>#N/A</v>
      </c>
      <c r="Z42" s="3" t="e">
        <f t="shared" si="17"/>
        <v>#N/A</v>
      </c>
      <c r="AA42" s="3" t="e">
        <f t="shared" si="17"/>
        <v>#N/A</v>
      </c>
      <c r="AB42" s="3" t="e">
        <f t="shared" si="17"/>
        <v>#N/A</v>
      </c>
      <c r="AC42" s="3" t="e">
        <f t="shared" si="17"/>
        <v>#N/A</v>
      </c>
      <c r="AD42" s="3" t="e">
        <f t="shared" si="17"/>
        <v>#N/A</v>
      </c>
      <c r="AE42" s="3" t="e">
        <f t="shared" si="17"/>
        <v>#N/A</v>
      </c>
      <c r="AF42" s="3" t="e">
        <f t="shared" si="17"/>
        <v>#N/A</v>
      </c>
      <c r="AG42" s="3" t="e">
        <f t="shared" si="17"/>
        <v>#N/A</v>
      </c>
      <c r="AH42" s="3" t="e">
        <f t="shared" si="17"/>
        <v>#N/A</v>
      </c>
      <c r="AI42" s="3" t="e">
        <f t="shared" si="17"/>
        <v>#N/A</v>
      </c>
      <c r="AJ42" s="3" t="e">
        <f t="shared" si="17"/>
        <v>#N/A</v>
      </c>
      <c r="AK42" s="3" t="e">
        <f t="shared" si="17"/>
        <v>#N/A</v>
      </c>
      <c r="AL42" s="3" t="e">
        <f t="shared" si="17"/>
        <v>#N/A</v>
      </c>
      <c r="AM42" s="3" t="e">
        <f t="shared" si="17"/>
        <v>#N/A</v>
      </c>
      <c r="AN42" s="3" t="e">
        <f t="shared" si="17"/>
        <v>#N/A</v>
      </c>
      <c r="AO42" s="3" t="e">
        <f t="shared" si="17"/>
        <v>#N/A</v>
      </c>
      <c r="AP42" s="3" t="e">
        <f t="shared" si="17"/>
        <v>#N/A</v>
      </c>
      <c r="AQ42" s="3" t="e">
        <f t="shared" si="17"/>
        <v>#N/A</v>
      </c>
      <c r="AR42" s="3" t="e">
        <f t="shared" si="17"/>
        <v>#N/A</v>
      </c>
      <c r="AS42" s="3" t="e">
        <f t="shared" si="17"/>
        <v>#N/A</v>
      </c>
      <c r="AT42" s="3" t="e">
        <f t="shared" si="17"/>
        <v>#N/A</v>
      </c>
      <c r="AU42" s="3" t="e">
        <f t="shared" si="17"/>
        <v>#N/A</v>
      </c>
      <c r="AV42" s="3" t="e">
        <f t="shared" si="17"/>
        <v>#N/A</v>
      </c>
      <c r="AW42" s="3" t="e">
        <f t="shared" si="17"/>
        <v>#N/A</v>
      </c>
      <c r="AX42" s="3" t="e">
        <f t="shared" si="17"/>
        <v>#N/A</v>
      </c>
      <c r="AY42" s="3" t="e">
        <f t="shared" si="17"/>
        <v>#N/A</v>
      </c>
      <c r="AZ42" s="3" t="e">
        <f t="shared" si="17"/>
        <v>#N/A</v>
      </c>
      <c r="BA42" s="3" t="e">
        <f t="shared" si="17"/>
        <v>#N/A</v>
      </c>
      <c r="BB42" s="3" t="e">
        <f t="shared" si="17"/>
        <v>#N/A</v>
      </c>
      <c r="BC42" s="3" t="e">
        <f t="shared" si="17"/>
        <v>#N/A</v>
      </c>
      <c r="BD42" s="3" t="e">
        <f t="shared" si="17"/>
        <v>#N/A</v>
      </c>
      <c r="BE42" s="3" t="e">
        <f t="shared" si="17"/>
        <v>#N/A</v>
      </c>
      <c r="BF42" s="3" t="e">
        <f t="shared" si="17"/>
        <v>#N/A</v>
      </c>
      <c r="BG42" s="3" t="e">
        <f t="shared" si="17"/>
        <v>#N/A</v>
      </c>
      <c r="BH42" s="3" t="e">
        <f t="shared" si="17"/>
        <v>#N/A</v>
      </c>
      <c r="BI42" s="3" t="e">
        <f t="shared" si="17"/>
        <v>#N/A</v>
      </c>
      <c r="BJ42" s="3" t="e">
        <f t="shared" si="17"/>
        <v>#N/A</v>
      </c>
      <c r="BK42" s="3" t="e">
        <f t="shared" si="17"/>
        <v>#N/A</v>
      </c>
      <c r="BL42" s="3" t="e">
        <f t="shared" si="17"/>
        <v>#N/A</v>
      </c>
      <c r="BM42" s="3" t="e">
        <f t="shared" si="17"/>
        <v>#N/A</v>
      </c>
      <c r="BN42" s="3" t="e">
        <f t="shared" si="17"/>
        <v>#N/A</v>
      </c>
      <c r="BO42" s="3" t="e">
        <f t="shared" si="17"/>
        <v>#N/A</v>
      </c>
      <c r="BP42" s="3" t="e">
        <f t="shared" si="17"/>
        <v>#N/A</v>
      </c>
      <c r="BQ42" s="3" t="e">
        <f t="shared" si="17"/>
        <v>#N/A</v>
      </c>
    </row>
    <row r="43" spans="1:69" outlineLevel="1"/>
    <row r="44" spans="1:69" outlineLevel="1"/>
    <row r="45" spans="1:69" outlineLevel="1">
      <c r="B45" s="27" t="s">
        <v>233</v>
      </c>
    </row>
    <row r="46" spans="1:69" outlineLevel="2">
      <c r="E46" s="5" t="str">
        <f t="shared" ref="E46:BQ46" si="18" xml:space="preserve">  E$28</f>
        <v>Period number</v>
      </c>
      <c r="F46" s="5">
        <f t="shared" si="18"/>
        <v>0</v>
      </c>
      <c r="G46" s="5" t="str">
        <f t="shared" si="18"/>
        <v>Counter</v>
      </c>
      <c r="H46" s="5">
        <f t="shared" si="18"/>
        <v>0</v>
      </c>
      <c r="I46" s="5">
        <f t="shared" si="18"/>
        <v>0</v>
      </c>
      <c r="J46" s="5">
        <f t="shared" si="18"/>
        <v>1</v>
      </c>
      <c r="K46" s="5">
        <f t="shared" si="18"/>
        <v>2</v>
      </c>
      <c r="L46" s="5">
        <f t="shared" si="18"/>
        <v>3</v>
      </c>
      <c r="M46" s="5">
        <f t="shared" si="18"/>
        <v>4</v>
      </c>
      <c r="N46" s="5">
        <f t="shared" si="18"/>
        <v>5</v>
      </c>
      <c r="O46" s="5">
        <f t="shared" si="18"/>
        <v>6</v>
      </c>
      <c r="P46" s="5">
        <f t="shared" si="18"/>
        <v>7</v>
      </c>
      <c r="Q46" s="5">
        <f t="shared" si="18"/>
        <v>8</v>
      </c>
      <c r="R46" s="5">
        <f t="shared" si="18"/>
        <v>9</v>
      </c>
      <c r="S46" s="5">
        <f t="shared" si="18"/>
        <v>10</v>
      </c>
      <c r="T46" s="5">
        <f t="shared" si="18"/>
        <v>11</v>
      </c>
      <c r="U46" s="5">
        <f t="shared" si="18"/>
        <v>12</v>
      </c>
      <c r="V46" s="5">
        <f t="shared" si="18"/>
        <v>13</v>
      </c>
      <c r="W46" s="5">
        <f t="shared" si="18"/>
        <v>14</v>
      </c>
      <c r="X46" s="5">
        <f t="shared" si="18"/>
        <v>15</v>
      </c>
      <c r="Y46" s="5">
        <f t="shared" si="18"/>
        <v>16</v>
      </c>
      <c r="Z46" s="5">
        <f t="shared" si="18"/>
        <v>17</v>
      </c>
      <c r="AA46" s="5">
        <f t="shared" si="18"/>
        <v>18</v>
      </c>
      <c r="AB46" s="5">
        <f t="shared" si="18"/>
        <v>19</v>
      </c>
      <c r="AC46" s="5">
        <f t="shared" si="18"/>
        <v>20</v>
      </c>
      <c r="AD46" s="5">
        <f t="shared" si="18"/>
        <v>21</v>
      </c>
      <c r="AE46" s="5">
        <f t="shared" si="18"/>
        <v>22</v>
      </c>
      <c r="AF46" s="5">
        <f t="shared" si="18"/>
        <v>23</v>
      </c>
      <c r="AG46" s="5">
        <f t="shared" si="18"/>
        <v>24</v>
      </c>
      <c r="AH46" s="5">
        <f t="shared" si="18"/>
        <v>25</v>
      </c>
      <c r="AI46" s="5">
        <f t="shared" si="18"/>
        <v>26</v>
      </c>
      <c r="AJ46" s="5">
        <f t="shared" si="18"/>
        <v>27</v>
      </c>
      <c r="AK46" s="5">
        <f t="shared" si="18"/>
        <v>28</v>
      </c>
      <c r="AL46" s="5">
        <f t="shared" si="18"/>
        <v>29</v>
      </c>
      <c r="AM46" s="5">
        <f t="shared" si="18"/>
        <v>30</v>
      </c>
      <c r="AN46" s="5">
        <f t="shared" si="18"/>
        <v>31</v>
      </c>
      <c r="AO46" s="5">
        <f t="shared" si="18"/>
        <v>32</v>
      </c>
      <c r="AP46" s="5">
        <f t="shared" si="18"/>
        <v>33</v>
      </c>
      <c r="AQ46" s="5">
        <f t="shared" si="18"/>
        <v>34</v>
      </c>
      <c r="AR46" s="5">
        <f t="shared" si="18"/>
        <v>35</v>
      </c>
      <c r="AS46" s="5">
        <f t="shared" si="18"/>
        <v>36</v>
      </c>
      <c r="AT46" s="5">
        <f t="shared" si="18"/>
        <v>37</v>
      </c>
      <c r="AU46" s="5">
        <f t="shared" si="18"/>
        <v>38</v>
      </c>
      <c r="AV46" s="5">
        <f t="shared" si="18"/>
        <v>39</v>
      </c>
      <c r="AW46" s="5">
        <f t="shared" si="18"/>
        <v>40</v>
      </c>
      <c r="AX46" s="5">
        <f t="shared" si="18"/>
        <v>41</v>
      </c>
      <c r="AY46" s="5">
        <f t="shared" si="18"/>
        <v>42</v>
      </c>
      <c r="AZ46" s="5">
        <f t="shared" si="18"/>
        <v>43</v>
      </c>
      <c r="BA46" s="5">
        <f t="shared" si="18"/>
        <v>44</v>
      </c>
      <c r="BB46" s="5">
        <f t="shared" si="18"/>
        <v>45</v>
      </c>
      <c r="BC46" s="5">
        <f t="shared" si="18"/>
        <v>46</v>
      </c>
      <c r="BD46" s="5">
        <f t="shared" si="18"/>
        <v>47</v>
      </c>
      <c r="BE46" s="5">
        <f t="shared" si="18"/>
        <v>48</v>
      </c>
      <c r="BF46" s="5">
        <f t="shared" si="18"/>
        <v>49</v>
      </c>
      <c r="BG46" s="5">
        <f t="shared" si="18"/>
        <v>50</v>
      </c>
      <c r="BH46" s="5">
        <f t="shared" si="18"/>
        <v>51</v>
      </c>
      <c r="BI46" s="5">
        <f t="shared" si="18"/>
        <v>52</v>
      </c>
      <c r="BJ46" s="5">
        <f t="shared" si="18"/>
        <v>53</v>
      </c>
      <c r="BK46" s="5">
        <f t="shared" si="18"/>
        <v>54</v>
      </c>
      <c r="BL46" s="5">
        <f t="shared" si="18"/>
        <v>55</v>
      </c>
      <c r="BM46" s="5">
        <f t="shared" si="18"/>
        <v>56</v>
      </c>
      <c r="BN46" s="5">
        <f t="shared" si="18"/>
        <v>57</v>
      </c>
      <c r="BO46" s="5">
        <f t="shared" si="18"/>
        <v>58</v>
      </c>
      <c r="BP46" s="5">
        <f t="shared" si="18"/>
        <v>59</v>
      </c>
      <c r="BQ46" s="5">
        <f t="shared" si="18"/>
        <v>60</v>
      </c>
    </row>
    <row r="47" spans="1:69" outlineLevel="2">
      <c r="E47" s="5" t="str">
        <f t="shared" ref="E47:BQ47" si="19" xml:space="preserve">  E$296</f>
        <v>Month to Year : period end flag</v>
      </c>
      <c r="F47" s="5">
        <f t="shared" si="19"/>
        <v>0</v>
      </c>
      <c r="G47" s="5" t="str">
        <f t="shared" si="19"/>
        <v>counter</v>
      </c>
      <c r="H47" s="5">
        <f t="shared" si="19"/>
        <v>0</v>
      </c>
      <c r="I47" s="5">
        <f t="shared" si="19"/>
        <v>0</v>
      </c>
      <c r="J47" s="5">
        <f t="shared" si="19"/>
        <v>0</v>
      </c>
      <c r="K47" s="5">
        <f t="shared" si="19"/>
        <v>0</v>
      </c>
      <c r="L47" s="5">
        <f t="shared" si="19"/>
        <v>0</v>
      </c>
      <c r="M47" s="5">
        <f t="shared" si="19"/>
        <v>0</v>
      </c>
      <c r="N47" s="5">
        <f t="shared" si="19"/>
        <v>0</v>
      </c>
      <c r="O47" s="5">
        <f t="shared" si="19"/>
        <v>0</v>
      </c>
      <c r="P47" s="5">
        <f t="shared" si="19"/>
        <v>0</v>
      </c>
      <c r="Q47" s="5">
        <f t="shared" si="19"/>
        <v>0</v>
      </c>
      <c r="R47" s="5">
        <f t="shared" si="19"/>
        <v>0</v>
      </c>
      <c r="S47" s="5">
        <f t="shared" si="19"/>
        <v>0</v>
      </c>
      <c r="T47" s="5">
        <f t="shared" si="19"/>
        <v>0</v>
      </c>
      <c r="U47" s="5">
        <f t="shared" si="19"/>
        <v>1</v>
      </c>
      <c r="V47" s="5">
        <f t="shared" si="19"/>
        <v>0</v>
      </c>
      <c r="W47" s="5">
        <f t="shared" si="19"/>
        <v>0</v>
      </c>
      <c r="X47" s="5">
        <f t="shared" si="19"/>
        <v>0</v>
      </c>
      <c r="Y47" s="5">
        <f t="shared" si="19"/>
        <v>0</v>
      </c>
      <c r="Z47" s="5">
        <f t="shared" si="19"/>
        <v>0</v>
      </c>
      <c r="AA47" s="5">
        <f t="shared" si="19"/>
        <v>0</v>
      </c>
      <c r="AB47" s="5">
        <f t="shared" si="19"/>
        <v>0</v>
      </c>
      <c r="AC47" s="5">
        <f t="shared" si="19"/>
        <v>0</v>
      </c>
      <c r="AD47" s="5">
        <f t="shared" si="19"/>
        <v>0</v>
      </c>
      <c r="AE47" s="5">
        <f t="shared" si="19"/>
        <v>0</v>
      </c>
      <c r="AF47" s="5">
        <f t="shared" si="19"/>
        <v>0</v>
      </c>
      <c r="AG47" s="5">
        <f t="shared" si="19"/>
        <v>2</v>
      </c>
      <c r="AH47" s="5">
        <f t="shared" si="19"/>
        <v>0</v>
      </c>
      <c r="AI47" s="5">
        <f t="shared" si="19"/>
        <v>0</v>
      </c>
      <c r="AJ47" s="5">
        <f t="shared" si="19"/>
        <v>0</v>
      </c>
      <c r="AK47" s="5">
        <f t="shared" si="19"/>
        <v>0</v>
      </c>
      <c r="AL47" s="5">
        <f t="shared" si="19"/>
        <v>0</v>
      </c>
      <c r="AM47" s="5">
        <f t="shared" si="19"/>
        <v>0</v>
      </c>
      <c r="AN47" s="5">
        <f t="shared" si="19"/>
        <v>0</v>
      </c>
      <c r="AO47" s="5">
        <f t="shared" si="19"/>
        <v>0</v>
      </c>
      <c r="AP47" s="5">
        <f t="shared" si="19"/>
        <v>0</v>
      </c>
      <c r="AQ47" s="5">
        <f t="shared" si="19"/>
        <v>0</v>
      </c>
      <c r="AR47" s="5">
        <f t="shared" si="19"/>
        <v>0</v>
      </c>
      <c r="AS47" s="5">
        <f t="shared" si="19"/>
        <v>3</v>
      </c>
      <c r="AT47" s="5">
        <f t="shared" si="19"/>
        <v>0</v>
      </c>
      <c r="AU47" s="5">
        <f t="shared" si="19"/>
        <v>0</v>
      </c>
      <c r="AV47" s="5">
        <f t="shared" si="19"/>
        <v>0</v>
      </c>
      <c r="AW47" s="5">
        <f t="shared" si="19"/>
        <v>0</v>
      </c>
      <c r="AX47" s="5">
        <f t="shared" si="19"/>
        <v>0</v>
      </c>
      <c r="AY47" s="5">
        <f t="shared" si="19"/>
        <v>0</v>
      </c>
      <c r="AZ47" s="5">
        <f t="shared" si="19"/>
        <v>0</v>
      </c>
      <c r="BA47" s="5">
        <f t="shared" si="19"/>
        <v>0</v>
      </c>
      <c r="BB47" s="5">
        <f t="shared" si="19"/>
        <v>0</v>
      </c>
      <c r="BC47" s="5">
        <f t="shared" si="19"/>
        <v>0</v>
      </c>
      <c r="BD47" s="5">
        <f t="shared" si="19"/>
        <v>0</v>
      </c>
      <c r="BE47" s="5">
        <f t="shared" si="19"/>
        <v>4</v>
      </c>
      <c r="BF47" s="5">
        <f t="shared" si="19"/>
        <v>0</v>
      </c>
      <c r="BG47" s="5">
        <f t="shared" si="19"/>
        <v>0</v>
      </c>
      <c r="BH47" s="5">
        <f t="shared" si="19"/>
        <v>0</v>
      </c>
      <c r="BI47" s="5">
        <f t="shared" si="19"/>
        <v>0</v>
      </c>
      <c r="BJ47" s="5">
        <f t="shared" si="19"/>
        <v>0</v>
      </c>
      <c r="BK47" s="5">
        <f t="shared" si="19"/>
        <v>0</v>
      </c>
      <c r="BL47" s="5">
        <f t="shared" si="19"/>
        <v>0</v>
      </c>
      <c r="BM47" s="5">
        <f t="shared" si="19"/>
        <v>0</v>
      </c>
      <c r="BN47" s="5">
        <f t="shared" si="19"/>
        <v>0</v>
      </c>
      <c r="BO47" s="5">
        <f t="shared" si="19"/>
        <v>0</v>
      </c>
      <c r="BP47" s="5">
        <f t="shared" si="19"/>
        <v>0</v>
      </c>
      <c r="BQ47" s="5">
        <f t="shared" si="19"/>
        <v>5</v>
      </c>
    </row>
    <row r="48" spans="1:69" outlineLevel="2">
      <c r="A48" s="36"/>
      <c r="B48" s="36"/>
      <c r="C48" s="65"/>
      <c r="D48" s="64"/>
      <c r="E48" s="21" t="s">
        <v>233</v>
      </c>
      <c r="F48" s="21"/>
      <c r="G48" s="21" t="s">
        <v>279</v>
      </c>
      <c r="H48" s="21"/>
      <c r="I48" s="21"/>
      <c r="J48" s="14">
        <f t="shared" ref="J48:BQ48" si="20" xml:space="preserve">  INDEX( $J46:$BQ46, MATCH( J46, $J47:$BQ47, 0 ) )</f>
        <v>12</v>
      </c>
      <c r="K48" s="14">
        <f t="shared" si="20"/>
        <v>24</v>
      </c>
      <c r="L48" s="14">
        <f t="shared" si="20"/>
        <v>36</v>
      </c>
      <c r="M48" s="14">
        <f t="shared" si="20"/>
        <v>48</v>
      </c>
      <c r="N48" s="14">
        <f t="shared" si="20"/>
        <v>60</v>
      </c>
      <c r="O48" s="14" t="e">
        <f t="shared" si="20"/>
        <v>#N/A</v>
      </c>
      <c r="P48" s="14" t="e">
        <f t="shared" si="20"/>
        <v>#N/A</v>
      </c>
      <c r="Q48" s="14" t="e">
        <f t="shared" si="20"/>
        <v>#N/A</v>
      </c>
      <c r="R48" s="14" t="e">
        <f t="shared" si="20"/>
        <v>#N/A</v>
      </c>
      <c r="S48" s="14" t="e">
        <f t="shared" si="20"/>
        <v>#N/A</v>
      </c>
      <c r="T48" s="14" t="e">
        <f t="shared" si="20"/>
        <v>#N/A</v>
      </c>
      <c r="U48" s="14" t="e">
        <f t="shared" si="20"/>
        <v>#N/A</v>
      </c>
      <c r="V48" s="14" t="e">
        <f t="shared" si="20"/>
        <v>#N/A</v>
      </c>
      <c r="W48" s="14" t="e">
        <f t="shared" si="20"/>
        <v>#N/A</v>
      </c>
      <c r="X48" s="14" t="e">
        <f t="shared" si="20"/>
        <v>#N/A</v>
      </c>
      <c r="Y48" s="14" t="e">
        <f t="shared" si="20"/>
        <v>#N/A</v>
      </c>
      <c r="Z48" s="14" t="e">
        <f t="shared" si="20"/>
        <v>#N/A</v>
      </c>
      <c r="AA48" s="14" t="e">
        <f t="shared" si="20"/>
        <v>#N/A</v>
      </c>
      <c r="AB48" s="14" t="e">
        <f t="shared" si="20"/>
        <v>#N/A</v>
      </c>
      <c r="AC48" s="14" t="e">
        <f t="shared" si="20"/>
        <v>#N/A</v>
      </c>
      <c r="AD48" s="14" t="e">
        <f t="shared" si="20"/>
        <v>#N/A</v>
      </c>
      <c r="AE48" s="14" t="e">
        <f t="shared" si="20"/>
        <v>#N/A</v>
      </c>
      <c r="AF48" s="14" t="e">
        <f t="shared" si="20"/>
        <v>#N/A</v>
      </c>
      <c r="AG48" s="14" t="e">
        <f t="shared" si="20"/>
        <v>#N/A</v>
      </c>
      <c r="AH48" s="14" t="e">
        <f t="shared" si="20"/>
        <v>#N/A</v>
      </c>
      <c r="AI48" s="14" t="e">
        <f t="shared" si="20"/>
        <v>#N/A</v>
      </c>
      <c r="AJ48" s="14" t="e">
        <f t="shared" si="20"/>
        <v>#N/A</v>
      </c>
      <c r="AK48" s="14" t="e">
        <f t="shared" si="20"/>
        <v>#N/A</v>
      </c>
      <c r="AL48" s="14" t="e">
        <f t="shared" si="20"/>
        <v>#N/A</v>
      </c>
      <c r="AM48" s="14" t="e">
        <f t="shared" si="20"/>
        <v>#N/A</v>
      </c>
      <c r="AN48" s="14" t="e">
        <f t="shared" si="20"/>
        <v>#N/A</v>
      </c>
      <c r="AO48" s="14" t="e">
        <f t="shared" si="20"/>
        <v>#N/A</v>
      </c>
      <c r="AP48" s="14" t="e">
        <f t="shared" si="20"/>
        <v>#N/A</v>
      </c>
      <c r="AQ48" s="14" t="e">
        <f t="shared" si="20"/>
        <v>#N/A</v>
      </c>
      <c r="AR48" s="14" t="e">
        <f t="shared" si="20"/>
        <v>#N/A</v>
      </c>
      <c r="AS48" s="14" t="e">
        <f t="shared" si="20"/>
        <v>#N/A</v>
      </c>
      <c r="AT48" s="14" t="e">
        <f t="shared" si="20"/>
        <v>#N/A</v>
      </c>
      <c r="AU48" s="14" t="e">
        <f t="shared" si="20"/>
        <v>#N/A</v>
      </c>
      <c r="AV48" s="14" t="e">
        <f t="shared" si="20"/>
        <v>#N/A</v>
      </c>
      <c r="AW48" s="14" t="e">
        <f t="shared" si="20"/>
        <v>#N/A</v>
      </c>
      <c r="AX48" s="14" t="e">
        <f t="shared" si="20"/>
        <v>#N/A</v>
      </c>
      <c r="AY48" s="14" t="e">
        <f t="shared" si="20"/>
        <v>#N/A</v>
      </c>
      <c r="AZ48" s="14" t="e">
        <f t="shared" si="20"/>
        <v>#N/A</v>
      </c>
      <c r="BA48" s="14" t="e">
        <f t="shared" si="20"/>
        <v>#N/A</v>
      </c>
      <c r="BB48" s="14" t="e">
        <f t="shared" si="20"/>
        <v>#N/A</v>
      </c>
      <c r="BC48" s="14" t="e">
        <f t="shared" si="20"/>
        <v>#N/A</v>
      </c>
      <c r="BD48" s="14" t="e">
        <f t="shared" si="20"/>
        <v>#N/A</v>
      </c>
      <c r="BE48" s="14" t="e">
        <f t="shared" si="20"/>
        <v>#N/A</v>
      </c>
      <c r="BF48" s="14" t="e">
        <f t="shared" si="20"/>
        <v>#N/A</v>
      </c>
      <c r="BG48" s="14" t="e">
        <f t="shared" si="20"/>
        <v>#N/A</v>
      </c>
      <c r="BH48" s="14" t="e">
        <f t="shared" si="20"/>
        <v>#N/A</v>
      </c>
      <c r="BI48" s="14" t="e">
        <f t="shared" si="20"/>
        <v>#N/A</v>
      </c>
      <c r="BJ48" s="14" t="e">
        <f t="shared" si="20"/>
        <v>#N/A</v>
      </c>
      <c r="BK48" s="14" t="e">
        <f t="shared" si="20"/>
        <v>#N/A</v>
      </c>
      <c r="BL48" s="14" t="e">
        <f t="shared" si="20"/>
        <v>#N/A</v>
      </c>
      <c r="BM48" s="14" t="e">
        <f t="shared" si="20"/>
        <v>#N/A</v>
      </c>
      <c r="BN48" s="14" t="e">
        <f t="shared" si="20"/>
        <v>#N/A</v>
      </c>
      <c r="BO48" s="14" t="e">
        <f t="shared" si="20"/>
        <v>#N/A</v>
      </c>
      <c r="BP48" s="14" t="e">
        <f t="shared" si="20"/>
        <v>#N/A</v>
      </c>
      <c r="BQ48" s="14" t="e">
        <f t="shared" si="20"/>
        <v>#N/A</v>
      </c>
    </row>
    <row r="49" spans="1:69" outlineLevel="1"/>
    <row r="50" spans="1:69" outlineLevel="1"/>
    <row r="51" spans="1:69" outlineLevel="1">
      <c r="B51" s="27" t="s">
        <v>127</v>
      </c>
    </row>
    <row r="52" spans="1:69" outlineLevel="2">
      <c r="E52" s="8" t="str">
        <f t="shared" ref="E52:BQ52" si="21" xml:space="preserve">  E$19</f>
        <v>Model period end</v>
      </c>
      <c r="F52" s="8">
        <f t="shared" si="21"/>
        <v>0</v>
      </c>
      <c r="G52" s="8" t="str">
        <f t="shared" si="21"/>
        <v>date</v>
      </c>
      <c r="H52" s="8">
        <f t="shared" si="21"/>
        <v>0</v>
      </c>
      <c r="I52" s="8">
        <f t="shared" si="21"/>
        <v>0</v>
      </c>
      <c r="J52" s="8">
        <f t="shared" si="21"/>
        <v>45077</v>
      </c>
      <c r="K52" s="8">
        <f t="shared" si="21"/>
        <v>45107</v>
      </c>
      <c r="L52" s="8">
        <f t="shared" si="21"/>
        <v>45138</v>
      </c>
      <c r="M52" s="8">
        <f t="shared" si="21"/>
        <v>45169</v>
      </c>
      <c r="N52" s="8">
        <f t="shared" si="21"/>
        <v>45199</v>
      </c>
      <c r="O52" s="8">
        <f t="shared" si="21"/>
        <v>45230</v>
      </c>
      <c r="P52" s="8">
        <f t="shared" si="21"/>
        <v>45260</v>
      </c>
      <c r="Q52" s="8">
        <f t="shared" si="21"/>
        <v>45291</v>
      </c>
      <c r="R52" s="8">
        <f t="shared" si="21"/>
        <v>45322</v>
      </c>
      <c r="S52" s="8">
        <f t="shared" si="21"/>
        <v>45351</v>
      </c>
      <c r="T52" s="8">
        <f t="shared" si="21"/>
        <v>45382</v>
      </c>
      <c r="U52" s="8">
        <f t="shared" si="21"/>
        <v>45412</v>
      </c>
      <c r="V52" s="8">
        <f t="shared" si="21"/>
        <v>45443</v>
      </c>
      <c r="W52" s="8">
        <f t="shared" si="21"/>
        <v>45473</v>
      </c>
      <c r="X52" s="8">
        <f t="shared" si="21"/>
        <v>45504</v>
      </c>
      <c r="Y52" s="8">
        <f t="shared" si="21"/>
        <v>45535</v>
      </c>
      <c r="Z52" s="8">
        <f t="shared" si="21"/>
        <v>45565</v>
      </c>
      <c r="AA52" s="8">
        <f t="shared" si="21"/>
        <v>45596</v>
      </c>
      <c r="AB52" s="8">
        <f t="shared" si="21"/>
        <v>45626</v>
      </c>
      <c r="AC52" s="8">
        <f t="shared" si="21"/>
        <v>45657</v>
      </c>
      <c r="AD52" s="8">
        <f t="shared" si="21"/>
        <v>45688</v>
      </c>
      <c r="AE52" s="8">
        <f t="shared" si="21"/>
        <v>45716</v>
      </c>
      <c r="AF52" s="8">
        <f t="shared" si="21"/>
        <v>45747</v>
      </c>
      <c r="AG52" s="8">
        <f t="shared" si="21"/>
        <v>45777</v>
      </c>
      <c r="AH52" s="8">
        <f t="shared" si="21"/>
        <v>45808</v>
      </c>
      <c r="AI52" s="8">
        <f t="shared" si="21"/>
        <v>45838</v>
      </c>
      <c r="AJ52" s="8">
        <f t="shared" si="21"/>
        <v>45869</v>
      </c>
      <c r="AK52" s="8">
        <f t="shared" si="21"/>
        <v>45900</v>
      </c>
      <c r="AL52" s="8">
        <f t="shared" si="21"/>
        <v>45930</v>
      </c>
      <c r="AM52" s="8">
        <f t="shared" si="21"/>
        <v>45961</v>
      </c>
      <c r="AN52" s="8">
        <f t="shared" si="21"/>
        <v>45991</v>
      </c>
      <c r="AO52" s="8">
        <f t="shared" si="21"/>
        <v>46022</v>
      </c>
      <c r="AP52" s="8">
        <f t="shared" si="21"/>
        <v>46053</v>
      </c>
      <c r="AQ52" s="8">
        <f t="shared" si="21"/>
        <v>46081</v>
      </c>
      <c r="AR52" s="8">
        <f t="shared" si="21"/>
        <v>46112</v>
      </c>
      <c r="AS52" s="8">
        <f t="shared" si="21"/>
        <v>46142</v>
      </c>
      <c r="AT52" s="8">
        <f t="shared" si="21"/>
        <v>46173</v>
      </c>
      <c r="AU52" s="8">
        <f t="shared" si="21"/>
        <v>46203</v>
      </c>
      <c r="AV52" s="8">
        <f t="shared" si="21"/>
        <v>46234</v>
      </c>
      <c r="AW52" s="8">
        <f t="shared" si="21"/>
        <v>46265</v>
      </c>
      <c r="AX52" s="8">
        <f t="shared" si="21"/>
        <v>46295</v>
      </c>
      <c r="AY52" s="8">
        <f t="shared" si="21"/>
        <v>46326</v>
      </c>
      <c r="AZ52" s="8">
        <f t="shared" si="21"/>
        <v>46356</v>
      </c>
      <c r="BA52" s="8">
        <f t="shared" si="21"/>
        <v>46387</v>
      </c>
      <c r="BB52" s="8">
        <f t="shared" si="21"/>
        <v>46418</v>
      </c>
      <c r="BC52" s="8">
        <f t="shared" si="21"/>
        <v>46446</v>
      </c>
      <c r="BD52" s="8">
        <f t="shared" si="21"/>
        <v>46477</v>
      </c>
      <c r="BE52" s="8">
        <f t="shared" si="21"/>
        <v>46507</v>
      </c>
      <c r="BF52" s="8">
        <f t="shared" si="21"/>
        <v>46538</v>
      </c>
      <c r="BG52" s="8">
        <f t="shared" si="21"/>
        <v>46568</v>
      </c>
      <c r="BH52" s="8">
        <f t="shared" si="21"/>
        <v>46599</v>
      </c>
      <c r="BI52" s="8">
        <f t="shared" si="21"/>
        <v>46630</v>
      </c>
      <c r="BJ52" s="8">
        <f t="shared" si="21"/>
        <v>46660</v>
      </c>
      <c r="BK52" s="8">
        <f t="shared" si="21"/>
        <v>46691</v>
      </c>
      <c r="BL52" s="8">
        <f t="shared" si="21"/>
        <v>46721</v>
      </c>
      <c r="BM52" s="8">
        <f t="shared" si="21"/>
        <v>46752</v>
      </c>
      <c r="BN52" s="8">
        <f t="shared" si="21"/>
        <v>46783</v>
      </c>
      <c r="BO52" s="8">
        <f t="shared" si="21"/>
        <v>46812</v>
      </c>
      <c r="BP52" s="8">
        <f t="shared" si="21"/>
        <v>46843</v>
      </c>
      <c r="BQ52" s="8">
        <f t="shared" si="21"/>
        <v>46873</v>
      </c>
    </row>
    <row r="53" spans="1:69" outlineLevel="2">
      <c r="E53" s="5" t="str">
        <f t="shared" ref="E53:BQ53" si="22" xml:space="preserve">  E$28</f>
        <v>Period number</v>
      </c>
      <c r="F53" s="5">
        <f t="shared" si="22"/>
        <v>0</v>
      </c>
      <c r="G53" s="5" t="str">
        <f t="shared" si="22"/>
        <v>Counter</v>
      </c>
      <c r="H53" s="5">
        <f t="shared" si="22"/>
        <v>0</v>
      </c>
      <c r="I53" s="5">
        <f t="shared" si="22"/>
        <v>0</v>
      </c>
      <c r="J53" s="5">
        <f t="shared" si="22"/>
        <v>1</v>
      </c>
      <c r="K53" s="5">
        <f t="shared" si="22"/>
        <v>2</v>
      </c>
      <c r="L53" s="5">
        <f t="shared" si="22"/>
        <v>3</v>
      </c>
      <c r="M53" s="5">
        <f t="shared" si="22"/>
        <v>4</v>
      </c>
      <c r="N53" s="5">
        <f t="shared" si="22"/>
        <v>5</v>
      </c>
      <c r="O53" s="5">
        <f t="shared" si="22"/>
        <v>6</v>
      </c>
      <c r="P53" s="5">
        <f t="shared" si="22"/>
        <v>7</v>
      </c>
      <c r="Q53" s="5">
        <f t="shared" si="22"/>
        <v>8</v>
      </c>
      <c r="R53" s="5">
        <f t="shared" si="22"/>
        <v>9</v>
      </c>
      <c r="S53" s="5">
        <f t="shared" si="22"/>
        <v>10</v>
      </c>
      <c r="T53" s="5">
        <f t="shared" si="22"/>
        <v>11</v>
      </c>
      <c r="U53" s="5">
        <f t="shared" si="22"/>
        <v>12</v>
      </c>
      <c r="V53" s="5">
        <f t="shared" si="22"/>
        <v>13</v>
      </c>
      <c r="W53" s="5">
        <f t="shared" si="22"/>
        <v>14</v>
      </c>
      <c r="X53" s="5">
        <f t="shared" si="22"/>
        <v>15</v>
      </c>
      <c r="Y53" s="5">
        <f t="shared" si="22"/>
        <v>16</v>
      </c>
      <c r="Z53" s="5">
        <f t="shared" si="22"/>
        <v>17</v>
      </c>
      <c r="AA53" s="5">
        <f t="shared" si="22"/>
        <v>18</v>
      </c>
      <c r="AB53" s="5">
        <f t="shared" si="22"/>
        <v>19</v>
      </c>
      <c r="AC53" s="5">
        <f t="shared" si="22"/>
        <v>20</v>
      </c>
      <c r="AD53" s="5">
        <f t="shared" si="22"/>
        <v>21</v>
      </c>
      <c r="AE53" s="5">
        <f t="shared" si="22"/>
        <v>22</v>
      </c>
      <c r="AF53" s="5">
        <f t="shared" si="22"/>
        <v>23</v>
      </c>
      <c r="AG53" s="5">
        <f t="shared" si="22"/>
        <v>24</v>
      </c>
      <c r="AH53" s="5">
        <f t="shared" si="22"/>
        <v>25</v>
      </c>
      <c r="AI53" s="5">
        <f t="shared" si="22"/>
        <v>26</v>
      </c>
      <c r="AJ53" s="5">
        <f t="shared" si="22"/>
        <v>27</v>
      </c>
      <c r="AK53" s="5">
        <f t="shared" si="22"/>
        <v>28</v>
      </c>
      <c r="AL53" s="5">
        <f t="shared" si="22"/>
        <v>29</v>
      </c>
      <c r="AM53" s="5">
        <f t="shared" si="22"/>
        <v>30</v>
      </c>
      <c r="AN53" s="5">
        <f t="shared" si="22"/>
        <v>31</v>
      </c>
      <c r="AO53" s="5">
        <f t="shared" si="22"/>
        <v>32</v>
      </c>
      <c r="AP53" s="5">
        <f t="shared" si="22"/>
        <v>33</v>
      </c>
      <c r="AQ53" s="5">
        <f t="shared" si="22"/>
        <v>34</v>
      </c>
      <c r="AR53" s="5">
        <f t="shared" si="22"/>
        <v>35</v>
      </c>
      <c r="AS53" s="5">
        <f t="shared" si="22"/>
        <v>36</v>
      </c>
      <c r="AT53" s="5">
        <f t="shared" si="22"/>
        <v>37</v>
      </c>
      <c r="AU53" s="5">
        <f t="shared" si="22"/>
        <v>38</v>
      </c>
      <c r="AV53" s="5">
        <f t="shared" si="22"/>
        <v>39</v>
      </c>
      <c r="AW53" s="5">
        <f t="shared" si="22"/>
        <v>40</v>
      </c>
      <c r="AX53" s="5">
        <f t="shared" si="22"/>
        <v>41</v>
      </c>
      <c r="AY53" s="5">
        <f t="shared" si="22"/>
        <v>42</v>
      </c>
      <c r="AZ53" s="5">
        <f t="shared" si="22"/>
        <v>43</v>
      </c>
      <c r="BA53" s="5">
        <f t="shared" si="22"/>
        <v>44</v>
      </c>
      <c r="BB53" s="5">
        <f t="shared" si="22"/>
        <v>45</v>
      </c>
      <c r="BC53" s="5">
        <f t="shared" si="22"/>
        <v>46</v>
      </c>
      <c r="BD53" s="5">
        <f t="shared" si="22"/>
        <v>47</v>
      </c>
      <c r="BE53" s="5">
        <f t="shared" si="22"/>
        <v>48</v>
      </c>
      <c r="BF53" s="5">
        <f t="shared" si="22"/>
        <v>49</v>
      </c>
      <c r="BG53" s="5">
        <f t="shared" si="22"/>
        <v>50</v>
      </c>
      <c r="BH53" s="5">
        <f t="shared" si="22"/>
        <v>51</v>
      </c>
      <c r="BI53" s="5">
        <f t="shared" si="22"/>
        <v>52</v>
      </c>
      <c r="BJ53" s="5">
        <f t="shared" si="22"/>
        <v>53</v>
      </c>
      <c r="BK53" s="5">
        <f t="shared" si="22"/>
        <v>54</v>
      </c>
      <c r="BL53" s="5">
        <f t="shared" si="22"/>
        <v>55</v>
      </c>
      <c r="BM53" s="5">
        <f t="shared" si="22"/>
        <v>56</v>
      </c>
      <c r="BN53" s="5">
        <f t="shared" si="22"/>
        <v>57</v>
      </c>
      <c r="BO53" s="5">
        <f t="shared" si="22"/>
        <v>58</v>
      </c>
      <c r="BP53" s="5">
        <f t="shared" si="22"/>
        <v>59</v>
      </c>
      <c r="BQ53" s="5">
        <f t="shared" si="22"/>
        <v>60</v>
      </c>
    </row>
    <row r="54" spans="1:69" outlineLevel="2">
      <c r="E54" s="5" t="str">
        <f t="shared" ref="E54:BQ54" si="23" xml:space="preserve">  E$315</f>
        <v>Month to Year (financial year) : period end flag</v>
      </c>
      <c r="F54" s="5">
        <f t="shared" si="23"/>
        <v>0</v>
      </c>
      <c r="G54" s="5" t="str">
        <f t="shared" si="23"/>
        <v>counter</v>
      </c>
      <c r="H54" s="5">
        <f t="shared" si="23"/>
        <v>0</v>
      </c>
      <c r="I54" s="5">
        <f t="shared" si="23"/>
        <v>0</v>
      </c>
      <c r="J54" s="5">
        <f t="shared" si="23"/>
        <v>0</v>
      </c>
      <c r="K54" s="5">
        <f t="shared" si="23"/>
        <v>0</v>
      </c>
      <c r="L54" s="5">
        <f t="shared" si="23"/>
        <v>0</v>
      </c>
      <c r="M54" s="5">
        <f t="shared" si="23"/>
        <v>0</v>
      </c>
      <c r="N54" s="5">
        <f t="shared" si="23"/>
        <v>0</v>
      </c>
      <c r="O54" s="5">
        <f t="shared" si="23"/>
        <v>0</v>
      </c>
      <c r="P54" s="5">
        <f t="shared" si="23"/>
        <v>0</v>
      </c>
      <c r="Q54" s="5">
        <f t="shared" si="23"/>
        <v>0</v>
      </c>
      <c r="R54" s="5">
        <f t="shared" si="23"/>
        <v>0</v>
      </c>
      <c r="S54" s="5">
        <f t="shared" si="23"/>
        <v>0</v>
      </c>
      <c r="T54" s="5">
        <f t="shared" si="23"/>
        <v>0</v>
      </c>
      <c r="U54" s="5">
        <f t="shared" si="23"/>
        <v>1</v>
      </c>
      <c r="V54" s="5">
        <f t="shared" si="23"/>
        <v>0</v>
      </c>
      <c r="W54" s="5">
        <f t="shared" si="23"/>
        <v>0</v>
      </c>
      <c r="X54" s="5">
        <f t="shared" si="23"/>
        <v>0</v>
      </c>
      <c r="Y54" s="5">
        <f t="shared" si="23"/>
        <v>0</v>
      </c>
      <c r="Z54" s="5">
        <f t="shared" si="23"/>
        <v>0</v>
      </c>
      <c r="AA54" s="5">
        <f t="shared" si="23"/>
        <v>0</v>
      </c>
      <c r="AB54" s="5">
        <f t="shared" si="23"/>
        <v>0</v>
      </c>
      <c r="AC54" s="5">
        <f t="shared" si="23"/>
        <v>0</v>
      </c>
      <c r="AD54" s="5">
        <f t="shared" si="23"/>
        <v>0</v>
      </c>
      <c r="AE54" s="5">
        <f t="shared" si="23"/>
        <v>0</v>
      </c>
      <c r="AF54" s="5">
        <f t="shared" si="23"/>
        <v>0</v>
      </c>
      <c r="AG54" s="5">
        <f t="shared" si="23"/>
        <v>2</v>
      </c>
      <c r="AH54" s="5">
        <f t="shared" si="23"/>
        <v>0</v>
      </c>
      <c r="AI54" s="5">
        <f t="shared" si="23"/>
        <v>0</v>
      </c>
      <c r="AJ54" s="5">
        <f t="shared" si="23"/>
        <v>0</v>
      </c>
      <c r="AK54" s="5">
        <f t="shared" si="23"/>
        <v>0</v>
      </c>
      <c r="AL54" s="5">
        <f t="shared" si="23"/>
        <v>0</v>
      </c>
      <c r="AM54" s="5">
        <f t="shared" si="23"/>
        <v>0</v>
      </c>
      <c r="AN54" s="5">
        <f t="shared" si="23"/>
        <v>0</v>
      </c>
      <c r="AO54" s="5">
        <f t="shared" si="23"/>
        <v>0</v>
      </c>
      <c r="AP54" s="5">
        <f t="shared" si="23"/>
        <v>0</v>
      </c>
      <c r="AQ54" s="5">
        <f t="shared" si="23"/>
        <v>0</v>
      </c>
      <c r="AR54" s="5">
        <f t="shared" si="23"/>
        <v>0</v>
      </c>
      <c r="AS54" s="5">
        <f t="shared" si="23"/>
        <v>3</v>
      </c>
      <c r="AT54" s="5">
        <f t="shared" si="23"/>
        <v>0</v>
      </c>
      <c r="AU54" s="5">
        <f t="shared" si="23"/>
        <v>0</v>
      </c>
      <c r="AV54" s="5">
        <f t="shared" si="23"/>
        <v>0</v>
      </c>
      <c r="AW54" s="5">
        <f t="shared" si="23"/>
        <v>0</v>
      </c>
      <c r="AX54" s="5">
        <f t="shared" si="23"/>
        <v>0</v>
      </c>
      <c r="AY54" s="5">
        <f t="shared" si="23"/>
        <v>0</v>
      </c>
      <c r="AZ54" s="5">
        <f t="shared" si="23"/>
        <v>0</v>
      </c>
      <c r="BA54" s="5">
        <f t="shared" si="23"/>
        <v>0</v>
      </c>
      <c r="BB54" s="5">
        <f t="shared" si="23"/>
        <v>0</v>
      </c>
      <c r="BC54" s="5">
        <f t="shared" si="23"/>
        <v>0</v>
      </c>
      <c r="BD54" s="5">
        <f t="shared" si="23"/>
        <v>0</v>
      </c>
      <c r="BE54" s="5">
        <f t="shared" si="23"/>
        <v>4</v>
      </c>
      <c r="BF54" s="5">
        <f t="shared" si="23"/>
        <v>0</v>
      </c>
      <c r="BG54" s="5">
        <f t="shared" si="23"/>
        <v>0</v>
      </c>
      <c r="BH54" s="5">
        <f t="shared" si="23"/>
        <v>0</v>
      </c>
      <c r="BI54" s="5">
        <f t="shared" si="23"/>
        <v>0</v>
      </c>
      <c r="BJ54" s="5">
        <f t="shared" si="23"/>
        <v>0</v>
      </c>
      <c r="BK54" s="5">
        <f t="shared" si="23"/>
        <v>0</v>
      </c>
      <c r="BL54" s="5">
        <f t="shared" si="23"/>
        <v>0</v>
      </c>
      <c r="BM54" s="5">
        <f t="shared" si="23"/>
        <v>0</v>
      </c>
      <c r="BN54" s="5">
        <f t="shared" si="23"/>
        <v>0</v>
      </c>
      <c r="BO54" s="5">
        <f t="shared" si="23"/>
        <v>0</v>
      </c>
      <c r="BP54" s="5">
        <f t="shared" si="23"/>
        <v>0</v>
      </c>
      <c r="BQ54" s="5">
        <f t="shared" si="23"/>
        <v>5</v>
      </c>
    </row>
    <row r="55" spans="1:69" outlineLevel="2">
      <c r="A55" s="36"/>
      <c r="B55" s="36"/>
      <c r="C55" s="65"/>
      <c r="D55" s="64"/>
      <c r="E55" s="21" t="s">
        <v>127</v>
      </c>
      <c r="F55" s="21"/>
      <c r="G55" s="21" t="s">
        <v>210</v>
      </c>
      <c r="H55" s="21"/>
      <c r="I55" s="21"/>
      <c r="J55" s="13">
        <f t="shared" ref="J55:BQ55" si="24" xml:space="preserve">  INDEX( $J52:$BQ52, MATCH( J53, $J54:$BQ54, 0 ) )</f>
        <v>45412</v>
      </c>
      <c r="K55" s="13">
        <f t="shared" si="24"/>
        <v>45777</v>
      </c>
      <c r="L55" s="13">
        <f t="shared" si="24"/>
        <v>46142</v>
      </c>
      <c r="M55" s="13">
        <f t="shared" si="24"/>
        <v>46507</v>
      </c>
      <c r="N55" s="13">
        <f t="shared" si="24"/>
        <v>46873</v>
      </c>
      <c r="O55" s="13" t="e">
        <f t="shared" si="24"/>
        <v>#N/A</v>
      </c>
      <c r="P55" s="13" t="e">
        <f t="shared" si="24"/>
        <v>#N/A</v>
      </c>
      <c r="Q55" s="13" t="e">
        <f t="shared" si="24"/>
        <v>#N/A</v>
      </c>
      <c r="R55" s="13" t="e">
        <f t="shared" si="24"/>
        <v>#N/A</v>
      </c>
      <c r="S55" s="13" t="e">
        <f t="shared" si="24"/>
        <v>#N/A</v>
      </c>
      <c r="T55" s="13" t="e">
        <f t="shared" si="24"/>
        <v>#N/A</v>
      </c>
      <c r="U55" s="13" t="e">
        <f t="shared" si="24"/>
        <v>#N/A</v>
      </c>
      <c r="V55" s="13" t="e">
        <f t="shared" si="24"/>
        <v>#N/A</v>
      </c>
      <c r="W55" s="13" t="e">
        <f t="shared" si="24"/>
        <v>#N/A</v>
      </c>
      <c r="X55" s="13" t="e">
        <f t="shared" si="24"/>
        <v>#N/A</v>
      </c>
      <c r="Y55" s="13" t="e">
        <f t="shared" si="24"/>
        <v>#N/A</v>
      </c>
      <c r="Z55" s="13" t="e">
        <f t="shared" si="24"/>
        <v>#N/A</v>
      </c>
      <c r="AA55" s="13" t="e">
        <f t="shared" si="24"/>
        <v>#N/A</v>
      </c>
      <c r="AB55" s="13" t="e">
        <f t="shared" si="24"/>
        <v>#N/A</v>
      </c>
      <c r="AC55" s="13" t="e">
        <f t="shared" si="24"/>
        <v>#N/A</v>
      </c>
      <c r="AD55" s="13" t="e">
        <f t="shared" si="24"/>
        <v>#N/A</v>
      </c>
      <c r="AE55" s="13" t="e">
        <f t="shared" si="24"/>
        <v>#N/A</v>
      </c>
      <c r="AF55" s="13" t="e">
        <f t="shared" si="24"/>
        <v>#N/A</v>
      </c>
      <c r="AG55" s="13" t="e">
        <f t="shared" si="24"/>
        <v>#N/A</v>
      </c>
      <c r="AH55" s="13" t="e">
        <f t="shared" si="24"/>
        <v>#N/A</v>
      </c>
      <c r="AI55" s="13" t="e">
        <f t="shared" si="24"/>
        <v>#N/A</v>
      </c>
      <c r="AJ55" s="13" t="e">
        <f t="shared" si="24"/>
        <v>#N/A</v>
      </c>
      <c r="AK55" s="13" t="e">
        <f t="shared" si="24"/>
        <v>#N/A</v>
      </c>
      <c r="AL55" s="13" t="e">
        <f t="shared" si="24"/>
        <v>#N/A</v>
      </c>
      <c r="AM55" s="13" t="e">
        <f t="shared" si="24"/>
        <v>#N/A</v>
      </c>
      <c r="AN55" s="13" t="e">
        <f t="shared" si="24"/>
        <v>#N/A</v>
      </c>
      <c r="AO55" s="13" t="e">
        <f t="shared" si="24"/>
        <v>#N/A</v>
      </c>
      <c r="AP55" s="13" t="e">
        <f t="shared" si="24"/>
        <v>#N/A</v>
      </c>
      <c r="AQ55" s="13" t="e">
        <f t="shared" si="24"/>
        <v>#N/A</v>
      </c>
      <c r="AR55" s="13" t="e">
        <f t="shared" si="24"/>
        <v>#N/A</v>
      </c>
      <c r="AS55" s="13" t="e">
        <f t="shared" si="24"/>
        <v>#N/A</v>
      </c>
      <c r="AT55" s="13" t="e">
        <f t="shared" si="24"/>
        <v>#N/A</v>
      </c>
      <c r="AU55" s="13" t="e">
        <f t="shared" si="24"/>
        <v>#N/A</v>
      </c>
      <c r="AV55" s="13" t="e">
        <f t="shared" si="24"/>
        <v>#N/A</v>
      </c>
      <c r="AW55" s="13" t="e">
        <f t="shared" si="24"/>
        <v>#N/A</v>
      </c>
      <c r="AX55" s="13" t="e">
        <f t="shared" si="24"/>
        <v>#N/A</v>
      </c>
      <c r="AY55" s="13" t="e">
        <f t="shared" si="24"/>
        <v>#N/A</v>
      </c>
      <c r="AZ55" s="13" t="e">
        <f t="shared" si="24"/>
        <v>#N/A</v>
      </c>
      <c r="BA55" s="13" t="e">
        <f t="shared" si="24"/>
        <v>#N/A</v>
      </c>
      <c r="BB55" s="13" t="e">
        <f t="shared" si="24"/>
        <v>#N/A</v>
      </c>
      <c r="BC55" s="13" t="e">
        <f t="shared" si="24"/>
        <v>#N/A</v>
      </c>
      <c r="BD55" s="13" t="e">
        <f t="shared" si="24"/>
        <v>#N/A</v>
      </c>
      <c r="BE55" s="13" t="e">
        <f t="shared" si="24"/>
        <v>#N/A</v>
      </c>
      <c r="BF55" s="13" t="e">
        <f t="shared" si="24"/>
        <v>#N/A</v>
      </c>
      <c r="BG55" s="13" t="e">
        <f t="shared" si="24"/>
        <v>#N/A</v>
      </c>
      <c r="BH55" s="13" t="e">
        <f t="shared" si="24"/>
        <v>#N/A</v>
      </c>
      <c r="BI55" s="13" t="e">
        <f t="shared" si="24"/>
        <v>#N/A</v>
      </c>
      <c r="BJ55" s="13" t="e">
        <f t="shared" si="24"/>
        <v>#N/A</v>
      </c>
      <c r="BK55" s="13" t="e">
        <f t="shared" si="24"/>
        <v>#N/A</v>
      </c>
      <c r="BL55" s="13" t="e">
        <f t="shared" si="24"/>
        <v>#N/A</v>
      </c>
      <c r="BM55" s="13" t="e">
        <f t="shared" si="24"/>
        <v>#N/A</v>
      </c>
      <c r="BN55" s="13" t="e">
        <f t="shared" si="24"/>
        <v>#N/A</v>
      </c>
      <c r="BO55" s="13" t="e">
        <f t="shared" si="24"/>
        <v>#N/A</v>
      </c>
      <c r="BP55" s="13" t="e">
        <f t="shared" si="24"/>
        <v>#N/A</v>
      </c>
      <c r="BQ55" s="13" t="e">
        <f t="shared" si="24"/>
        <v>#N/A</v>
      </c>
    </row>
    <row r="56" spans="1:69" outlineLevel="1"/>
    <row r="57" spans="1:69" outlineLevel="1"/>
    <row r="58" spans="1:69" outlineLevel="1">
      <c r="B58" s="27" t="s">
        <v>189</v>
      </c>
    </row>
    <row r="59" spans="1:69" outlineLevel="2">
      <c r="E59" s="2" t="str">
        <f t="shared" ref="E59:BQ59" si="25" xml:space="preserve">  E$24</f>
        <v>Timeline label</v>
      </c>
      <c r="F59" s="2">
        <f t="shared" si="25"/>
        <v>0</v>
      </c>
      <c r="G59" s="2" t="str">
        <f t="shared" si="25"/>
        <v>GBP</v>
      </c>
      <c r="H59" s="2">
        <f t="shared" si="25"/>
        <v>0</v>
      </c>
      <c r="I59" s="2">
        <f t="shared" si="25"/>
        <v>0</v>
      </c>
      <c r="J59" s="2" t="str">
        <f t="shared" si="25"/>
        <v>Month1</v>
      </c>
      <c r="K59" s="2" t="str">
        <f t="shared" si="25"/>
        <v>Month2</v>
      </c>
      <c r="L59" s="2" t="str">
        <f t="shared" si="25"/>
        <v>Month3</v>
      </c>
      <c r="M59" s="2" t="str">
        <f t="shared" si="25"/>
        <v>Month4</v>
      </c>
      <c r="N59" s="2" t="str">
        <f t="shared" si="25"/>
        <v>Month5</v>
      </c>
      <c r="O59" s="2" t="str">
        <f t="shared" si="25"/>
        <v>Month6</v>
      </c>
      <c r="P59" s="2" t="str">
        <f t="shared" si="25"/>
        <v>Month7</v>
      </c>
      <c r="Q59" s="2" t="str">
        <f t="shared" si="25"/>
        <v>Month8</v>
      </c>
      <c r="R59" s="2" t="str">
        <f t="shared" si="25"/>
        <v>Month9</v>
      </c>
      <c r="S59" s="2" t="str">
        <f t="shared" si="25"/>
        <v>Month10</v>
      </c>
      <c r="T59" s="2" t="str">
        <f t="shared" si="25"/>
        <v>Month11</v>
      </c>
      <c r="U59" s="2" t="str">
        <f t="shared" si="25"/>
        <v>Month12</v>
      </c>
      <c r="V59" s="2" t="str">
        <f t="shared" si="25"/>
        <v>Month13</v>
      </c>
      <c r="W59" s="2" t="str">
        <f t="shared" si="25"/>
        <v>Month14</v>
      </c>
      <c r="X59" s="2" t="str">
        <f t="shared" si="25"/>
        <v>Month15</v>
      </c>
      <c r="Y59" s="2" t="str">
        <f t="shared" si="25"/>
        <v>Month16</v>
      </c>
      <c r="Z59" s="2" t="str">
        <f t="shared" si="25"/>
        <v>Month17</v>
      </c>
      <c r="AA59" s="2" t="str">
        <f t="shared" si="25"/>
        <v>Month18</v>
      </c>
      <c r="AB59" s="2" t="str">
        <f t="shared" si="25"/>
        <v>Month19</v>
      </c>
      <c r="AC59" s="2" t="str">
        <f t="shared" si="25"/>
        <v>Month20</v>
      </c>
      <c r="AD59" s="2" t="str">
        <f t="shared" si="25"/>
        <v>Month21</v>
      </c>
      <c r="AE59" s="2" t="str">
        <f t="shared" si="25"/>
        <v>Month22</v>
      </c>
      <c r="AF59" s="2" t="str">
        <f t="shared" si="25"/>
        <v>Month23</v>
      </c>
      <c r="AG59" s="2" t="str">
        <f t="shared" si="25"/>
        <v>Month24</v>
      </c>
      <c r="AH59" s="2" t="str">
        <f t="shared" si="25"/>
        <v>Month25</v>
      </c>
      <c r="AI59" s="2" t="str">
        <f t="shared" si="25"/>
        <v>Month26</v>
      </c>
      <c r="AJ59" s="2" t="str">
        <f t="shared" si="25"/>
        <v>Month27</v>
      </c>
      <c r="AK59" s="2" t="str">
        <f t="shared" si="25"/>
        <v>Month28</v>
      </c>
      <c r="AL59" s="2" t="str">
        <f t="shared" si="25"/>
        <v>Month29</v>
      </c>
      <c r="AM59" s="2" t="str">
        <f t="shared" si="25"/>
        <v>Month30</v>
      </c>
      <c r="AN59" s="2" t="str">
        <f t="shared" si="25"/>
        <v>Month31</v>
      </c>
      <c r="AO59" s="2" t="str">
        <f t="shared" si="25"/>
        <v>Month32</v>
      </c>
      <c r="AP59" s="2" t="str">
        <f t="shared" si="25"/>
        <v>Month33</v>
      </c>
      <c r="AQ59" s="2" t="str">
        <f t="shared" si="25"/>
        <v>Month34</v>
      </c>
      <c r="AR59" s="2" t="str">
        <f t="shared" si="25"/>
        <v>Month35</v>
      </c>
      <c r="AS59" s="2" t="str">
        <f t="shared" si="25"/>
        <v>Month36</v>
      </c>
      <c r="AT59" s="2" t="str">
        <f t="shared" si="25"/>
        <v>Month37</v>
      </c>
      <c r="AU59" s="2" t="str">
        <f t="shared" si="25"/>
        <v>Month38</v>
      </c>
      <c r="AV59" s="2" t="str">
        <f t="shared" si="25"/>
        <v>Month39</v>
      </c>
      <c r="AW59" s="2" t="str">
        <f t="shared" si="25"/>
        <v>Month40</v>
      </c>
      <c r="AX59" s="2" t="str">
        <f t="shared" si="25"/>
        <v>Month41</v>
      </c>
      <c r="AY59" s="2" t="str">
        <f t="shared" si="25"/>
        <v>Month42</v>
      </c>
      <c r="AZ59" s="2" t="str">
        <f t="shared" si="25"/>
        <v>Month43</v>
      </c>
      <c r="BA59" s="2" t="str">
        <f t="shared" si="25"/>
        <v>Month44</v>
      </c>
      <c r="BB59" s="2" t="str">
        <f t="shared" si="25"/>
        <v>Month45</v>
      </c>
      <c r="BC59" s="2" t="str">
        <f t="shared" si="25"/>
        <v>Month46</v>
      </c>
      <c r="BD59" s="2" t="str">
        <f t="shared" si="25"/>
        <v>Month47</v>
      </c>
      <c r="BE59" s="2" t="str">
        <f t="shared" si="25"/>
        <v>Month48</v>
      </c>
      <c r="BF59" s="2" t="str">
        <f t="shared" si="25"/>
        <v>Month49</v>
      </c>
      <c r="BG59" s="2" t="str">
        <f t="shared" si="25"/>
        <v>Month50</v>
      </c>
      <c r="BH59" s="2" t="str">
        <f t="shared" si="25"/>
        <v>Month51</v>
      </c>
      <c r="BI59" s="2" t="str">
        <f t="shared" si="25"/>
        <v>Month52</v>
      </c>
      <c r="BJ59" s="2" t="str">
        <f t="shared" si="25"/>
        <v>Month53</v>
      </c>
      <c r="BK59" s="2" t="str">
        <f t="shared" si="25"/>
        <v>Month54</v>
      </c>
      <c r="BL59" s="2" t="str">
        <f t="shared" si="25"/>
        <v>Month55</v>
      </c>
      <c r="BM59" s="2" t="str">
        <f t="shared" si="25"/>
        <v>Month56</v>
      </c>
      <c r="BN59" s="2" t="str">
        <f t="shared" si="25"/>
        <v>Month57</v>
      </c>
      <c r="BO59" s="2" t="str">
        <f t="shared" si="25"/>
        <v>Month58</v>
      </c>
      <c r="BP59" s="2" t="str">
        <f t="shared" si="25"/>
        <v>Month59</v>
      </c>
      <c r="BQ59" s="2" t="str">
        <f t="shared" si="25"/>
        <v>Month60</v>
      </c>
    </row>
    <row r="60" spans="1:69" outlineLevel="2">
      <c r="E60" s="5" t="str">
        <f t="shared" ref="E60:BQ60" si="26" xml:space="preserve">  E$28</f>
        <v>Period number</v>
      </c>
      <c r="F60" s="5">
        <f t="shared" si="26"/>
        <v>0</v>
      </c>
      <c r="G60" s="5" t="str">
        <f t="shared" si="26"/>
        <v>Counter</v>
      </c>
      <c r="H60" s="5">
        <f t="shared" si="26"/>
        <v>0</v>
      </c>
      <c r="I60" s="5">
        <f t="shared" si="26"/>
        <v>0</v>
      </c>
      <c r="J60" s="5">
        <f t="shared" si="26"/>
        <v>1</v>
      </c>
      <c r="K60" s="5">
        <f t="shared" si="26"/>
        <v>2</v>
      </c>
      <c r="L60" s="5">
        <f t="shared" si="26"/>
        <v>3</v>
      </c>
      <c r="M60" s="5">
        <f t="shared" si="26"/>
        <v>4</v>
      </c>
      <c r="N60" s="5">
        <f t="shared" si="26"/>
        <v>5</v>
      </c>
      <c r="O60" s="5">
        <f t="shared" si="26"/>
        <v>6</v>
      </c>
      <c r="P60" s="5">
        <f t="shared" si="26"/>
        <v>7</v>
      </c>
      <c r="Q60" s="5">
        <f t="shared" si="26"/>
        <v>8</v>
      </c>
      <c r="R60" s="5">
        <f t="shared" si="26"/>
        <v>9</v>
      </c>
      <c r="S60" s="5">
        <f t="shared" si="26"/>
        <v>10</v>
      </c>
      <c r="T60" s="5">
        <f t="shared" si="26"/>
        <v>11</v>
      </c>
      <c r="U60" s="5">
        <f t="shared" si="26"/>
        <v>12</v>
      </c>
      <c r="V60" s="5">
        <f t="shared" si="26"/>
        <v>13</v>
      </c>
      <c r="W60" s="5">
        <f t="shared" si="26"/>
        <v>14</v>
      </c>
      <c r="X60" s="5">
        <f t="shared" si="26"/>
        <v>15</v>
      </c>
      <c r="Y60" s="5">
        <f t="shared" si="26"/>
        <v>16</v>
      </c>
      <c r="Z60" s="5">
        <f t="shared" si="26"/>
        <v>17</v>
      </c>
      <c r="AA60" s="5">
        <f t="shared" si="26"/>
        <v>18</v>
      </c>
      <c r="AB60" s="5">
        <f t="shared" si="26"/>
        <v>19</v>
      </c>
      <c r="AC60" s="5">
        <f t="shared" si="26"/>
        <v>20</v>
      </c>
      <c r="AD60" s="5">
        <f t="shared" si="26"/>
        <v>21</v>
      </c>
      <c r="AE60" s="5">
        <f t="shared" si="26"/>
        <v>22</v>
      </c>
      <c r="AF60" s="5">
        <f t="shared" si="26"/>
        <v>23</v>
      </c>
      <c r="AG60" s="5">
        <f t="shared" si="26"/>
        <v>24</v>
      </c>
      <c r="AH60" s="5">
        <f t="shared" si="26"/>
        <v>25</v>
      </c>
      <c r="AI60" s="5">
        <f t="shared" si="26"/>
        <v>26</v>
      </c>
      <c r="AJ60" s="5">
        <f t="shared" si="26"/>
        <v>27</v>
      </c>
      <c r="AK60" s="5">
        <f t="shared" si="26"/>
        <v>28</v>
      </c>
      <c r="AL60" s="5">
        <f t="shared" si="26"/>
        <v>29</v>
      </c>
      <c r="AM60" s="5">
        <f t="shared" si="26"/>
        <v>30</v>
      </c>
      <c r="AN60" s="5">
        <f t="shared" si="26"/>
        <v>31</v>
      </c>
      <c r="AO60" s="5">
        <f t="shared" si="26"/>
        <v>32</v>
      </c>
      <c r="AP60" s="5">
        <f t="shared" si="26"/>
        <v>33</v>
      </c>
      <c r="AQ60" s="5">
        <f t="shared" si="26"/>
        <v>34</v>
      </c>
      <c r="AR60" s="5">
        <f t="shared" si="26"/>
        <v>35</v>
      </c>
      <c r="AS60" s="5">
        <f t="shared" si="26"/>
        <v>36</v>
      </c>
      <c r="AT60" s="5">
        <f t="shared" si="26"/>
        <v>37</v>
      </c>
      <c r="AU60" s="5">
        <f t="shared" si="26"/>
        <v>38</v>
      </c>
      <c r="AV60" s="5">
        <f t="shared" si="26"/>
        <v>39</v>
      </c>
      <c r="AW60" s="5">
        <f t="shared" si="26"/>
        <v>40</v>
      </c>
      <c r="AX60" s="5">
        <f t="shared" si="26"/>
        <v>41</v>
      </c>
      <c r="AY60" s="5">
        <f t="shared" si="26"/>
        <v>42</v>
      </c>
      <c r="AZ60" s="5">
        <f t="shared" si="26"/>
        <v>43</v>
      </c>
      <c r="BA60" s="5">
        <f t="shared" si="26"/>
        <v>44</v>
      </c>
      <c r="BB60" s="5">
        <f t="shared" si="26"/>
        <v>45</v>
      </c>
      <c r="BC60" s="5">
        <f t="shared" si="26"/>
        <v>46</v>
      </c>
      <c r="BD60" s="5">
        <f t="shared" si="26"/>
        <v>47</v>
      </c>
      <c r="BE60" s="5">
        <f t="shared" si="26"/>
        <v>48</v>
      </c>
      <c r="BF60" s="5">
        <f t="shared" si="26"/>
        <v>49</v>
      </c>
      <c r="BG60" s="5">
        <f t="shared" si="26"/>
        <v>50</v>
      </c>
      <c r="BH60" s="5">
        <f t="shared" si="26"/>
        <v>51</v>
      </c>
      <c r="BI60" s="5">
        <f t="shared" si="26"/>
        <v>52</v>
      </c>
      <c r="BJ60" s="5">
        <f t="shared" si="26"/>
        <v>53</v>
      </c>
      <c r="BK60" s="5">
        <f t="shared" si="26"/>
        <v>54</v>
      </c>
      <c r="BL60" s="5">
        <f t="shared" si="26"/>
        <v>55</v>
      </c>
      <c r="BM60" s="5">
        <f t="shared" si="26"/>
        <v>56</v>
      </c>
      <c r="BN60" s="5">
        <f t="shared" si="26"/>
        <v>57</v>
      </c>
      <c r="BO60" s="5">
        <f t="shared" si="26"/>
        <v>58</v>
      </c>
      <c r="BP60" s="5">
        <f t="shared" si="26"/>
        <v>59</v>
      </c>
      <c r="BQ60" s="5">
        <f t="shared" si="26"/>
        <v>60</v>
      </c>
    </row>
    <row r="61" spans="1:69" outlineLevel="2">
      <c r="E61" s="5" t="str">
        <f t="shared" ref="E61:BQ61" si="27" xml:space="preserve">  E$315</f>
        <v>Month to Year (financial year) : period end flag</v>
      </c>
      <c r="F61" s="5">
        <f t="shared" si="27"/>
        <v>0</v>
      </c>
      <c r="G61" s="5" t="str">
        <f t="shared" si="27"/>
        <v>counter</v>
      </c>
      <c r="H61" s="5">
        <f t="shared" si="27"/>
        <v>0</v>
      </c>
      <c r="I61" s="5">
        <f t="shared" si="27"/>
        <v>0</v>
      </c>
      <c r="J61" s="5">
        <f t="shared" si="27"/>
        <v>0</v>
      </c>
      <c r="K61" s="5">
        <f t="shared" si="27"/>
        <v>0</v>
      </c>
      <c r="L61" s="5">
        <f t="shared" si="27"/>
        <v>0</v>
      </c>
      <c r="M61" s="5">
        <f t="shared" si="27"/>
        <v>0</v>
      </c>
      <c r="N61" s="5">
        <f t="shared" si="27"/>
        <v>0</v>
      </c>
      <c r="O61" s="5">
        <f t="shared" si="27"/>
        <v>0</v>
      </c>
      <c r="P61" s="5">
        <f t="shared" si="27"/>
        <v>0</v>
      </c>
      <c r="Q61" s="5">
        <f t="shared" si="27"/>
        <v>0</v>
      </c>
      <c r="R61" s="5">
        <f t="shared" si="27"/>
        <v>0</v>
      </c>
      <c r="S61" s="5">
        <f t="shared" si="27"/>
        <v>0</v>
      </c>
      <c r="T61" s="5">
        <f t="shared" si="27"/>
        <v>0</v>
      </c>
      <c r="U61" s="5">
        <f t="shared" si="27"/>
        <v>1</v>
      </c>
      <c r="V61" s="5">
        <f t="shared" si="27"/>
        <v>0</v>
      </c>
      <c r="W61" s="5">
        <f t="shared" si="27"/>
        <v>0</v>
      </c>
      <c r="X61" s="5">
        <f t="shared" si="27"/>
        <v>0</v>
      </c>
      <c r="Y61" s="5">
        <f t="shared" si="27"/>
        <v>0</v>
      </c>
      <c r="Z61" s="5">
        <f t="shared" si="27"/>
        <v>0</v>
      </c>
      <c r="AA61" s="5">
        <f t="shared" si="27"/>
        <v>0</v>
      </c>
      <c r="AB61" s="5">
        <f t="shared" si="27"/>
        <v>0</v>
      </c>
      <c r="AC61" s="5">
        <f t="shared" si="27"/>
        <v>0</v>
      </c>
      <c r="AD61" s="5">
        <f t="shared" si="27"/>
        <v>0</v>
      </c>
      <c r="AE61" s="5">
        <f t="shared" si="27"/>
        <v>0</v>
      </c>
      <c r="AF61" s="5">
        <f t="shared" si="27"/>
        <v>0</v>
      </c>
      <c r="AG61" s="5">
        <f t="shared" si="27"/>
        <v>2</v>
      </c>
      <c r="AH61" s="5">
        <f t="shared" si="27"/>
        <v>0</v>
      </c>
      <c r="AI61" s="5">
        <f t="shared" si="27"/>
        <v>0</v>
      </c>
      <c r="AJ61" s="5">
        <f t="shared" si="27"/>
        <v>0</v>
      </c>
      <c r="AK61" s="5">
        <f t="shared" si="27"/>
        <v>0</v>
      </c>
      <c r="AL61" s="5">
        <f t="shared" si="27"/>
        <v>0</v>
      </c>
      <c r="AM61" s="5">
        <f t="shared" si="27"/>
        <v>0</v>
      </c>
      <c r="AN61" s="5">
        <f t="shared" si="27"/>
        <v>0</v>
      </c>
      <c r="AO61" s="5">
        <f t="shared" si="27"/>
        <v>0</v>
      </c>
      <c r="AP61" s="5">
        <f t="shared" si="27"/>
        <v>0</v>
      </c>
      <c r="AQ61" s="5">
        <f t="shared" si="27"/>
        <v>0</v>
      </c>
      <c r="AR61" s="5">
        <f t="shared" si="27"/>
        <v>0</v>
      </c>
      <c r="AS61" s="5">
        <f t="shared" si="27"/>
        <v>3</v>
      </c>
      <c r="AT61" s="5">
        <f t="shared" si="27"/>
        <v>0</v>
      </c>
      <c r="AU61" s="5">
        <f t="shared" si="27"/>
        <v>0</v>
      </c>
      <c r="AV61" s="5">
        <f t="shared" si="27"/>
        <v>0</v>
      </c>
      <c r="AW61" s="5">
        <f t="shared" si="27"/>
        <v>0</v>
      </c>
      <c r="AX61" s="5">
        <f t="shared" si="27"/>
        <v>0</v>
      </c>
      <c r="AY61" s="5">
        <f t="shared" si="27"/>
        <v>0</v>
      </c>
      <c r="AZ61" s="5">
        <f t="shared" si="27"/>
        <v>0</v>
      </c>
      <c r="BA61" s="5">
        <f t="shared" si="27"/>
        <v>0</v>
      </c>
      <c r="BB61" s="5">
        <f t="shared" si="27"/>
        <v>0</v>
      </c>
      <c r="BC61" s="5">
        <f t="shared" si="27"/>
        <v>0</v>
      </c>
      <c r="BD61" s="5">
        <f t="shared" si="27"/>
        <v>0</v>
      </c>
      <c r="BE61" s="5">
        <f t="shared" si="27"/>
        <v>4</v>
      </c>
      <c r="BF61" s="5">
        <f t="shared" si="27"/>
        <v>0</v>
      </c>
      <c r="BG61" s="5">
        <f t="shared" si="27"/>
        <v>0</v>
      </c>
      <c r="BH61" s="5">
        <f t="shared" si="27"/>
        <v>0</v>
      </c>
      <c r="BI61" s="5">
        <f t="shared" si="27"/>
        <v>0</v>
      </c>
      <c r="BJ61" s="5">
        <f t="shared" si="27"/>
        <v>0</v>
      </c>
      <c r="BK61" s="5">
        <f t="shared" si="27"/>
        <v>0</v>
      </c>
      <c r="BL61" s="5">
        <f t="shared" si="27"/>
        <v>0</v>
      </c>
      <c r="BM61" s="5">
        <f t="shared" si="27"/>
        <v>0</v>
      </c>
      <c r="BN61" s="5">
        <f t="shared" si="27"/>
        <v>0</v>
      </c>
      <c r="BO61" s="5">
        <f t="shared" si="27"/>
        <v>0</v>
      </c>
      <c r="BP61" s="5">
        <f t="shared" si="27"/>
        <v>0</v>
      </c>
      <c r="BQ61" s="5">
        <f t="shared" si="27"/>
        <v>5</v>
      </c>
    </row>
    <row r="62" spans="1:69" outlineLevel="2">
      <c r="A62" s="36"/>
      <c r="B62" s="36"/>
      <c r="C62" s="65"/>
      <c r="D62" s="64"/>
      <c r="E62" s="21" t="s">
        <v>189</v>
      </c>
      <c r="F62" s="21"/>
      <c r="G62" s="21" t="s">
        <v>252</v>
      </c>
      <c r="H62" s="3" t="e">
        <f xml:space="preserve"> SUM( J62:BQ62 )</f>
        <v>#N/A</v>
      </c>
      <c r="I62" s="21"/>
      <c r="J62" s="3" t="str">
        <f t="shared" ref="J62:BQ62" si="28" xml:space="preserve">  INDEX( $J59:$BQ59, MATCH( J60, $J61:$BQ61, 0 ) )</f>
        <v>Month12</v>
      </c>
      <c r="K62" s="3" t="str">
        <f t="shared" si="28"/>
        <v>Month24</v>
      </c>
      <c r="L62" s="3" t="str">
        <f t="shared" si="28"/>
        <v>Month36</v>
      </c>
      <c r="M62" s="3" t="str">
        <f t="shared" si="28"/>
        <v>Month48</v>
      </c>
      <c r="N62" s="3" t="str">
        <f t="shared" si="28"/>
        <v>Month60</v>
      </c>
      <c r="O62" s="3" t="e">
        <f t="shared" si="28"/>
        <v>#N/A</v>
      </c>
      <c r="P62" s="3" t="e">
        <f t="shared" si="28"/>
        <v>#N/A</v>
      </c>
      <c r="Q62" s="3" t="e">
        <f t="shared" si="28"/>
        <v>#N/A</v>
      </c>
      <c r="R62" s="3" t="e">
        <f t="shared" si="28"/>
        <v>#N/A</v>
      </c>
      <c r="S62" s="3" t="e">
        <f t="shared" si="28"/>
        <v>#N/A</v>
      </c>
      <c r="T62" s="3" t="e">
        <f t="shared" si="28"/>
        <v>#N/A</v>
      </c>
      <c r="U62" s="3" t="e">
        <f t="shared" si="28"/>
        <v>#N/A</v>
      </c>
      <c r="V62" s="3" t="e">
        <f t="shared" si="28"/>
        <v>#N/A</v>
      </c>
      <c r="W62" s="3" t="e">
        <f t="shared" si="28"/>
        <v>#N/A</v>
      </c>
      <c r="X62" s="3" t="e">
        <f t="shared" si="28"/>
        <v>#N/A</v>
      </c>
      <c r="Y62" s="3" t="e">
        <f t="shared" si="28"/>
        <v>#N/A</v>
      </c>
      <c r="Z62" s="3" t="e">
        <f t="shared" si="28"/>
        <v>#N/A</v>
      </c>
      <c r="AA62" s="3" t="e">
        <f t="shared" si="28"/>
        <v>#N/A</v>
      </c>
      <c r="AB62" s="3" t="e">
        <f t="shared" si="28"/>
        <v>#N/A</v>
      </c>
      <c r="AC62" s="3" t="e">
        <f t="shared" si="28"/>
        <v>#N/A</v>
      </c>
      <c r="AD62" s="3" t="e">
        <f t="shared" si="28"/>
        <v>#N/A</v>
      </c>
      <c r="AE62" s="3" t="e">
        <f t="shared" si="28"/>
        <v>#N/A</v>
      </c>
      <c r="AF62" s="3" t="e">
        <f t="shared" si="28"/>
        <v>#N/A</v>
      </c>
      <c r="AG62" s="3" t="e">
        <f t="shared" si="28"/>
        <v>#N/A</v>
      </c>
      <c r="AH62" s="3" t="e">
        <f t="shared" si="28"/>
        <v>#N/A</v>
      </c>
      <c r="AI62" s="3" t="e">
        <f t="shared" si="28"/>
        <v>#N/A</v>
      </c>
      <c r="AJ62" s="3" t="e">
        <f t="shared" si="28"/>
        <v>#N/A</v>
      </c>
      <c r="AK62" s="3" t="e">
        <f t="shared" si="28"/>
        <v>#N/A</v>
      </c>
      <c r="AL62" s="3" t="e">
        <f t="shared" si="28"/>
        <v>#N/A</v>
      </c>
      <c r="AM62" s="3" t="e">
        <f t="shared" si="28"/>
        <v>#N/A</v>
      </c>
      <c r="AN62" s="3" t="e">
        <f t="shared" si="28"/>
        <v>#N/A</v>
      </c>
      <c r="AO62" s="3" t="e">
        <f t="shared" si="28"/>
        <v>#N/A</v>
      </c>
      <c r="AP62" s="3" t="e">
        <f t="shared" si="28"/>
        <v>#N/A</v>
      </c>
      <c r="AQ62" s="3" t="e">
        <f t="shared" si="28"/>
        <v>#N/A</v>
      </c>
      <c r="AR62" s="3" t="e">
        <f t="shared" si="28"/>
        <v>#N/A</v>
      </c>
      <c r="AS62" s="3" t="e">
        <f t="shared" si="28"/>
        <v>#N/A</v>
      </c>
      <c r="AT62" s="3" t="e">
        <f t="shared" si="28"/>
        <v>#N/A</v>
      </c>
      <c r="AU62" s="3" t="e">
        <f t="shared" si="28"/>
        <v>#N/A</v>
      </c>
      <c r="AV62" s="3" t="e">
        <f t="shared" si="28"/>
        <v>#N/A</v>
      </c>
      <c r="AW62" s="3" t="e">
        <f t="shared" si="28"/>
        <v>#N/A</v>
      </c>
      <c r="AX62" s="3" t="e">
        <f t="shared" si="28"/>
        <v>#N/A</v>
      </c>
      <c r="AY62" s="3" t="e">
        <f t="shared" si="28"/>
        <v>#N/A</v>
      </c>
      <c r="AZ62" s="3" t="e">
        <f t="shared" si="28"/>
        <v>#N/A</v>
      </c>
      <c r="BA62" s="3" t="e">
        <f t="shared" si="28"/>
        <v>#N/A</v>
      </c>
      <c r="BB62" s="3" t="e">
        <f t="shared" si="28"/>
        <v>#N/A</v>
      </c>
      <c r="BC62" s="3" t="e">
        <f t="shared" si="28"/>
        <v>#N/A</v>
      </c>
      <c r="BD62" s="3" t="e">
        <f t="shared" si="28"/>
        <v>#N/A</v>
      </c>
      <c r="BE62" s="3" t="e">
        <f t="shared" si="28"/>
        <v>#N/A</v>
      </c>
      <c r="BF62" s="3" t="e">
        <f t="shared" si="28"/>
        <v>#N/A</v>
      </c>
      <c r="BG62" s="3" t="e">
        <f t="shared" si="28"/>
        <v>#N/A</v>
      </c>
      <c r="BH62" s="3" t="e">
        <f t="shared" si="28"/>
        <v>#N/A</v>
      </c>
      <c r="BI62" s="3" t="e">
        <f t="shared" si="28"/>
        <v>#N/A</v>
      </c>
      <c r="BJ62" s="3" t="e">
        <f t="shared" si="28"/>
        <v>#N/A</v>
      </c>
      <c r="BK62" s="3" t="e">
        <f t="shared" si="28"/>
        <v>#N/A</v>
      </c>
      <c r="BL62" s="3" t="e">
        <f t="shared" si="28"/>
        <v>#N/A</v>
      </c>
      <c r="BM62" s="3" t="e">
        <f t="shared" si="28"/>
        <v>#N/A</v>
      </c>
      <c r="BN62" s="3" t="e">
        <f t="shared" si="28"/>
        <v>#N/A</v>
      </c>
      <c r="BO62" s="3" t="e">
        <f t="shared" si="28"/>
        <v>#N/A</v>
      </c>
      <c r="BP62" s="3" t="e">
        <f t="shared" si="28"/>
        <v>#N/A</v>
      </c>
      <c r="BQ62" s="3" t="e">
        <f t="shared" si="28"/>
        <v>#N/A</v>
      </c>
    </row>
    <row r="63" spans="1:69" outlineLevel="1"/>
    <row r="64" spans="1:69" outlineLevel="1"/>
    <row r="65" spans="1:69" outlineLevel="1">
      <c r="B65" s="27" t="s">
        <v>54</v>
      </c>
    </row>
    <row r="66" spans="1:69" outlineLevel="2">
      <c r="E66" s="5" t="str">
        <f t="shared" ref="E66:BQ66" si="29" xml:space="preserve">  E$28</f>
        <v>Period number</v>
      </c>
      <c r="F66" s="5">
        <f t="shared" si="29"/>
        <v>0</v>
      </c>
      <c r="G66" s="5" t="str">
        <f t="shared" si="29"/>
        <v>Counter</v>
      </c>
      <c r="H66" s="5">
        <f t="shared" si="29"/>
        <v>0</v>
      </c>
      <c r="I66" s="5">
        <f t="shared" si="29"/>
        <v>0</v>
      </c>
      <c r="J66" s="5">
        <f t="shared" si="29"/>
        <v>1</v>
      </c>
      <c r="K66" s="5">
        <f t="shared" si="29"/>
        <v>2</v>
      </c>
      <c r="L66" s="5">
        <f t="shared" si="29"/>
        <v>3</v>
      </c>
      <c r="M66" s="5">
        <f t="shared" si="29"/>
        <v>4</v>
      </c>
      <c r="N66" s="5">
        <f t="shared" si="29"/>
        <v>5</v>
      </c>
      <c r="O66" s="5">
        <f t="shared" si="29"/>
        <v>6</v>
      </c>
      <c r="P66" s="5">
        <f t="shared" si="29"/>
        <v>7</v>
      </c>
      <c r="Q66" s="5">
        <f t="shared" si="29"/>
        <v>8</v>
      </c>
      <c r="R66" s="5">
        <f t="shared" si="29"/>
        <v>9</v>
      </c>
      <c r="S66" s="5">
        <f t="shared" si="29"/>
        <v>10</v>
      </c>
      <c r="T66" s="5">
        <f t="shared" si="29"/>
        <v>11</v>
      </c>
      <c r="U66" s="5">
        <f t="shared" si="29"/>
        <v>12</v>
      </c>
      <c r="V66" s="5">
        <f t="shared" si="29"/>
        <v>13</v>
      </c>
      <c r="W66" s="5">
        <f t="shared" si="29"/>
        <v>14</v>
      </c>
      <c r="X66" s="5">
        <f t="shared" si="29"/>
        <v>15</v>
      </c>
      <c r="Y66" s="5">
        <f t="shared" si="29"/>
        <v>16</v>
      </c>
      <c r="Z66" s="5">
        <f t="shared" si="29"/>
        <v>17</v>
      </c>
      <c r="AA66" s="5">
        <f t="shared" si="29"/>
        <v>18</v>
      </c>
      <c r="AB66" s="5">
        <f t="shared" si="29"/>
        <v>19</v>
      </c>
      <c r="AC66" s="5">
        <f t="shared" si="29"/>
        <v>20</v>
      </c>
      <c r="AD66" s="5">
        <f t="shared" si="29"/>
        <v>21</v>
      </c>
      <c r="AE66" s="5">
        <f t="shared" si="29"/>
        <v>22</v>
      </c>
      <c r="AF66" s="5">
        <f t="shared" si="29"/>
        <v>23</v>
      </c>
      <c r="AG66" s="5">
        <f t="shared" si="29"/>
        <v>24</v>
      </c>
      <c r="AH66" s="5">
        <f t="shared" si="29"/>
        <v>25</v>
      </c>
      <c r="AI66" s="5">
        <f t="shared" si="29"/>
        <v>26</v>
      </c>
      <c r="AJ66" s="5">
        <f t="shared" si="29"/>
        <v>27</v>
      </c>
      <c r="AK66" s="5">
        <f t="shared" si="29"/>
        <v>28</v>
      </c>
      <c r="AL66" s="5">
        <f t="shared" si="29"/>
        <v>29</v>
      </c>
      <c r="AM66" s="5">
        <f t="shared" si="29"/>
        <v>30</v>
      </c>
      <c r="AN66" s="5">
        <f t="shared" si="29"/>
        <v>31</v>
      </c>
      <c r="AO66" s="5">
        <f t="shared" si="29"/>
        <v>32</v>
      </c>
      <c r="AP66" s="5">
        <f t="shared" si="29"/>
        <v>33</v>
      </c>
      <c r="AQ66" s="5">
        <f t="shared" si="29"/>
        <v>34</v>
      </c>
      <c r="AR66" s="5">
        <f t="shared" si="29"/>
        <v>35</v>
      </c>
      <c r="AS66" s="5">
        <f t="shared" si="29"/>
        <v>36</v>
      </c>
      <c r="AT66" s="5">
        <f t="shared" si="29"/>
        <v>37</v>
      </c>
      <c r="AU66" s="5">
        <f t="shared" si="29"/>
        <v>38</v>
      </c>
      <c r="AV66" s="5">
        <f t="shared" si="29"/>
        <v>39</v>
      </c>
      <c r="AW66" s="5">
        <f t="shared" si="29"/>
        <v>40</v>
      </c>
      <c r="AX66" s="5">
        <f t="shared" si="29"/>
        <v>41</v>
      </c>
      <c r="AY66" s="5">
        <f t="shared" si="29"/>
        <v>42</v>
      </c>
      <c r="AZ66" s="5">
        <f t="shared" si="29"/>
        <v>43</v>
      </c>
      <c r="BA66" s="5">
        <f t="shared" si="29"/>
        <v>44</v>
      </c>
      <c r="BB66" s="5">
        <f t="shared" si="29"/>
        <v>45</v>
      </c>
      <c r="BC66" s="5">
        <f t="shared" si="29"/>
        <v>46</v>
      </c>
      <c r="BD66" s="5">
        <f t="shared" si="29"/>
        <v>47</v>
      </c>
      <c r="BE66" s="5">
        <f t="shared" si="29"/>
        <v>48</v>
      </c>
      <c r="BF66" s="5">
        <f t="shared" si="29"/>
        <v>49</v>
      </c>
      <c r="BG66" s="5">
        <f t="shared" si="29"/>
        <v>50</v>
      </c>
      <c r="BH66" s="5">
        <f t="shared" si="29"/>
        <v>51</v>
      </c>
      <c r="BI66" s="5">
        <f t="shared" si="29"/>
        <v>52</v>
      </c>
      <c r="BJ66" s="5">
        <f t="shared" si="29"/>
        <v>53</v>
      </c>
      <c r="BK66" s="5">
        <f t="shared" si="29"/>
        <v>54</v>
      </c>
      <c r="BL66" s="5">
        <f t="shared" si="29"/>
        <v>55</v>
      </c>
      <c r="BM66" s="5">
        <f t="shared" si="29"/>
        <v>56</v>
      </c>
      <c r="BN66" s="5">
        <f t="shared" si="29"/>
        <v>57</v>
      </c>
      <c r="BO66" s="5">
        <f t="shared" si="29"/>
        <v>58</v>
      </c>
      <c r="BP66" s="5">
        <f t="shared" si="29"/>
        <v>59</v>
      </c>
      <c r="BQ66" s="5">
        <f t="shared" si="29"/>
        <v>60</v>
      </c>
    </row>
    <row r="67" spans="1:69" outlineLevel="2">
      <c r="E67" s="5" t="str">
        <f t="shared" ref="E67:BQ67" si="30" xml:space="preserve">  E$315</f>
        <v>Month to Year (financial year) : period end flag</v>
      </c>
      <c r="F67" s="5">
        <f t="shared" si="30"/>
        <v>0</v>
      </c>
      <c r="G67" s="5" t="str">
        <f t="shared" si="30"/>
        <v>counter</v>
      </c>
      <c r="H67" s="5">
        <f t="shared" si="30"/>
        <v>0</v>
      </c>
      <c r="I67" s="5">
        <f t="shared" si="30"/>
        <v>0</v>
      </c>
      <c r="J67" s="5">
        <f t="shared" si="30"/>
        <v>0</v>
      </c>
      <c r="K67" s="5">
        <f t="shared" si="30"/>
        <v>0</v>
      </c>
      <c r="L67" s="5">
        <f t="shared" si="30"/>
        <v>0</v>
      </c>
      <c r="M67" s="5">
        <f t="shared" si="30"/>
        <v>0</v>
      </c>
      <c r="N67" s="5">
        <f t="shared" si="30"/>
        <v>0</v>
      </c>
      <c r="O67" s="5">
        <f t="shared" si="30"/>
        <v>0</v>
      </c>
      <c r="P67" s="5">
        <f t="shared" si="30"/>
        <v>0</v>
      </c>
      <c r="Q67" s="5">
        <f t="shared" si="30"/>
        <v>0</v>
      </c>
      <c r="R67" s="5">
        <f t="shared" si="30"/>
        <v>0</v>
      </c>
      <c r="S67" s="5">
        <f t="shared" si="30"/>
        <v>0</v>
      </c>
      <c r="T67" s="5">
        <f t="shared" si="30"/>
        <v>0</v>
      </c>
      <c r="U67" s="5">
        <f t="shared" si="30"/>
        <v>1</v>
      </c>
      <c r="V67" s="5">
        <f t="shared" si="30"/>
        <v>0</v>
      </c>
      <c r="W67" s="5">
        <f t="shared" si="30"/>
        <v>0</v>
      </c>
      <c r="X67" s="5">
        <f t="shared" si="30"/>
        <v>0</v>
      </c>
      <c r="Y67" s="5">
        <f t="shared" si="30"/>
        <v>0</v>
      </c>
      <c r="Z67" s="5">
        <f t="shared" si="30"/>
        <v>0</v>
      </c>
      <c r="AA67" s="5">
        <f t="shared" si="30"/>
        <v>0</v>
      </c>
      <c r="AB67" s="5">
        <f t="shared" si="30"/>
        <v>0</v>
      </c>
      <c r="AC67" s="5">
        <f t="shared" si="30"/>
        <v>0</v>
      </c>
      <c r="AD67" s="5">
        <f t="shared" si="30"/>
        <v>0</v>
      </c>
      <c r="AE67" s="5">
        <f t="shared" si="30"/>
        <v>0</v>
      </c>
      <c r="AF67" s="5">
        <f t="shared" si="30"/>
        <v>0</v>
      </c>
      <c r="AG67" s="5">
        <f t="shared" si="30"/>
        <v>2</v>
      </c>
      <c r="AH67" s="5">
        <f t="shared" si="30"/>
        <v>0</v>
      </c>
      <c r="AI67" s="5">
        <f t="shared" si="30"/>
        <v>0</v>
      </c>
      <c r="AJ67" s="5">
        <f t="shared" si="30"/>
        <v>0</v>
      </c>
      <c r="AK67" s="5">
        <f t="shared" si="30"/>
        <v>0</v>
      </c>
      <c r="AL67" s="5">
        <f t="shared" si="30"/>
        <v>0</v>
      </c>
      <c r="AM67" s="5">
        <f t="shared" si="30"/>
        <v>0</v>
      </c>
      <c r="AN67" s="5">
        <f t="shared" si="30"/>
        <v>0</v>
      </c>
      <c r="AO67" s="5">
        <f t="shared" si="30"/>
        <v>0</v>
      </c>
      <c r="AP67" s="5">
        <f t="shared" si="30"/>
        <v>0</v>
      </c>
      <c r="AQ67" s="5">
        <f t="shared" si="30"/>
        <v>0</v>
      </c>
      <c r="AR67" s="5">
        <f t="shared" si="30"/>
        <v>0</v>
      </c>
      <c r="AS67" s="5">
        <f t="shared" si="30"/>
        <v>3</v>
      </c>
      <c r="AT67" s="5">
        <f t="shared" si="30"/>
        <v>0</v>
      </c>
      <c r="AU67" s="5">
        <f t="shared" si="30"/>
        <v>0</v>
      </c>
      <c r="AV67" s="5">
        <f t="shared" si="30"/>
        <v>0</v>
      </c>
      <c r="AW67" s="5">
        <f t="shared" si="30"/>
        <v>0</v>
      </c>
      <c r="AX67" s="5">
        <f t="shared" si="30"/>
        <v>0</v>
      </c>
      <c r="AY67" s="5">
        <f t="shared" si="30"/>
        <v>0</v>
      </c>
      <c r="AZ67" s="5">
        <f t="shared" si="30"/>
        <v>0</v>
      </c>
      <c r="BA67" s="5">
        <f t="shared" si="30"/>
        <v>0</v>
      </c>
      <c r="BB67" s="5">
        <f t="shared" si="30"/>
        <v>0</v>
      </c>
      <c r="BC67" s="5">
        <f t="shared" si="30"/>
        <v>0</v>
      </c>
      <c r="BD67" s="5">
        <f t="shared" si="30"/>
        <v>0</v>
      </c>
      <c r="BE67" s="5">
        <f t="shared" si="30"/>
        <v>4</v>
      </c>
      <c r="BF67" s="5">
        <f t="shared" si="30"/>
        <v>0</v>
      </c>
      <c r="BG67" s="5">
        <f t="shared" si="30"/>
        <v>0</v>
      </c>
      <c r="BH67" s="5">
        <f t="shared" si="30"/>
        <v>0</v>
      </c>
      <c r="BI67" s="5">
        <f t="shared" si="30"/>
        <v>0</v>
      </c>
      <c r="BJ67" s="5">
        <f t="shared" si="30"/>
        <v>0</v>
      </c>
      <c r="BK67" s="5">
        <f t="shared" si="30"/>
        <v>0</v>
      </c>
      <c r="BL67" s="5">
        <f t="shared" si="30"/>
        <v>0</v>
      </c>
      <c r="BM67" s="5">
        <f t="shared" si="30"/>
        <v>0</v>
      </c>
      <c r="BN67" s="5">
        <f t="shared" si="30"/>
        <v>0</v>
      </c>
      <c r="BO67" s="5">
        <f t="shared" si="30"/>
        <v>0</v>
      </c>
      <c r="BP67" s="5">
        <f t="shared" si="30"/>
        <v>0</v>
      </c>
      <c r="BQ67" s="5">
        <f t="shared" si="30"/>
        <v>5</v>
      </c>
    </row>
    <row r="68" spans="1:69" outlineLevel="2">
      <c r="A68" s="36"/>
      <c r="B68" s="36"/>
      <c r="C68" s="65"/>
      <c r="D68" s="64"/>
      <c r="E68" s="21" t="s">
        <v>54</v>
      </c>
      <c r="F68" s="21"/>
      <c r="G68" s="21" t="s">
        <v>279</v>
      </c>
      <c r="H68" s="21"/>
      <c r="I68" s="21"/>
      <c r="J68" s="14">
        <f t="shared" ref="J68:BQ68" si="31" xml:space="preserve">  INDEX( $J66:$BQ66, MATCH( J66, $J67:$BQ67, 0 ) )</f>
        <v>12</v>
      </c>
      <c r="K68" s="14">
        <f t="shared" si="31"/>
        <v>24</v>
      </c>
      <c r="L68" s="14">
        <f t="shared" si="31"/>
        <v>36</v>
      </c>
      <c r="M68" s="14">
        <f t="shared" si="31"/>
        <v>48</v>
      </c>
      <c r="N68" s="14">
        <f t="shared" si="31"/>
        <v>60</v>
      </c>
      <c r="O68" s="14" t="e">
        <f t="shared" si="31"/>
        <v>#N/A</v>
      </c>
      <c r="P68" s="14" t="e">
        <f t="shared" si="31"/>
        <v>#N/A</v>
      </c>
      <c r="Q68" s="14" t="e">
        <f t="shared" si="31"/>
        <v>#N/A</v>
      </c>
      <c r="R68" s="14" t="e">
        <f t="shared" si="31"/>
        <v>#N/A</v>
      </c>
      <c r="S68" s="14" t="e">
        <f t="shared" si="31"/>
        <v>#N/A</v>
      </c>
      <c r="T68" s="14" t="e">
        <f t="shared" si="31"/>
        <v>#N/A</v>
      </c>
      <c r="U68" s="14" t="e">
        <f t="shared" si="31"/>
        <v>#N/A</v>
      </c>
      <c r="V68" s="14" t="e">
        <f t="shared" si="31"/>
        <v>#N/A</v>
      </c>
      <c r="W68" s="14" t="e">
        <f t="shared" si="31"/>
        <v>#N/A</v>
      </c>
      <c r="X68" s="14" t="e">
        <f t="shared" si="31"/>
        <v>#N/A</v>
      </c>
      <c r="Y68" s="14" t="e">
        <f t="shared" si="31"/>
        <v>#N/A</v>
      </c>
      <c r="Z68" s="14" t="e">
        <f t="shared" si="31"/>
        <v>#N/A</v>
      </c>
      <c r="AA68" s="14" t="e">
        <f t="shared" si="31"/>
        <v>#N/A</v>
      </c>
      <c r="AB68" s="14" t="e">
        <f t="shared" si="31"/>
        <v>#N/A</v>
      </c>
      <c r="AC68" s="14" t="e">
        <f t="shared" si="31"/>
        <v>#N/A</v>
      </c>
      <c r="AD68" s="14" t="e">
        <f t="shared" si="31"/>
        <v>#N/A</v>
      </c>
      <c r="AE68" s="14" t="e">
        <f t="shared" si="31"/>
        <v>#N/A</v>
      </c>
      <c r="AF68" s="14" t="e">
        <f t="shared" si="31"/>
        <v>#N/A</v>
      </c>
      <c r="AG68" s="14" t="e">
        <f t="shared" si="31"/>
        <v>#N/A</v>
      </c>
      <c r="AH68" s="14" t="e">
        <f t="shared" si="31"/>
        <v>#N/A</v>
      </c>
      <c r="AI68" s="14" t="e">
        <f t="shared" si="31"/>
        <v>#N/A</v>
      </c>
      <c r="AJ68" s="14" t="e">
        <f t="shared" si="31"/>
        <v>#N/A</v>
      </c>
      <c r="AK68" s="14" t="e">
        <f t="shared" si="31"/>
        <v>#N/A</v>
      </c>
      <c r="AL68" s="14" t="e">
        <f t="shared" si="31"/>
        <v>#N/A</v>
      </c>
      <c r="AM68" s="14" t="e">
        <f t="shared" si="31"/>
        <v>#N/A</v>
      </c>
      <c r="AN68" s="14" t="e">
        <f t="shared" si="31"/>
        <v>#N/A</v>
      </c>
      <c r="AO68" s="14" t="e">
        <f t="shared" si="31"/>
        <v>#N/A</v>
      </c>
      <c r="AP68" s="14" t="e">
        <f t="shared" si="31"/>
        <v>#N/A</v>
      </c>
      <c r="AQ68" s="14" t="e">
        <f t="shared" si="31"/>
        <v>#N/A</v>
      </c>
      <c r="AR68" s="14" t="e">
        <f t="shared" si="31"/>
        <v>#N/A</v>
      </c>
      <c r="AS68" s="14" t="e">
        <f t="shared" si="31"/>
        <v>#N/A</v>
      </c>
      <c r="AT68" s="14" t="e">
        <f t="shared" si="31"/>
        <v>#N/A</v>
      </c>
      <c r="AU68" s="14" t="e">
        <f t="shared" si="31"/>
        <v>#N/A</v>
      </c>
      <c r="AV68" s="14" t="e">
        <f t="shared" si="31"/>
        <v>#N/A</v>
      </c>
      <c r="AW68" s="14" t="e">
        <f t="shared" si="31"/>
        <v>#N/A</v>
      </c>
      <c r="AX68" s="14" t="e">
        <f t="shared" si="31"/>
        <v>#N/A</v>
      </c>
      <c r="AY68" s="14" t="e">
        <f t="shared" si="31"/>
        <v>#N/A</v>
      </c>
      <c r="AZ68" s="14" t="e">
        <f t="shared" si="31"/>
        <v>#N/A</v>
      </c>
      <c r="BA68" s="14" t="e">
        <f t="shared" si="31"/>
        <v>#N/A</v>
      </c>
      <c r="BB68" s="14" t="e">
        <f t="shared" si="31"/>
        <v>#N/A</v>
      </c>
      <c r="BC68" s="14" t="e">
        <f t="shared" si="31"/>
        <v>#N/A</v>
      </c>
      <c r="BD68" s="14" t="e">
        <f t="shared" si="31"/>
        <v>#N/A</v>
      </c>
      <c r="BE68" s="14" t="e">
        <f t="shared" si="31"/>
        <v>#N/A</v>
      </c>
      <c r="BF68" s="14" t="e">
        <f t="shared" si="31"/>
        <v>#N/A</v>
      </c>
      <c r="BG68" s="14" t="e">
        <f t="shared" si="31"/>
        <v>#N/A</v>
      </c>
      <c r="BH68" s="14" t="e">
        <f t="shared" si="31"/>
        <v>#N/A</v>
      </c>
      <c r="BI68" s="14" t="e">
        <f t="shared" si="31"/>
        <v>#N/A</v>
      </c>
      <c r="BJ68" s="14" t="e">
        <f t="shared" si="31"/>
        <v>#N/A</v>
      </c>
      <c r="BK68" s="14" t="e">
        <f t="shared" si="31"/>
        <v>#N/A</v>
      </c>
      <c r="BL68" s="14" t="e">
        <f t="shared" si="31"/>
        <v>#N/A</v>
      </c>
      <c r="BM68" s="14" t="e">
        <f t="shared" si="31"/>
        <v>#N/A</v>
      </c>
      <c r="BN68" s="14" t="e">
        <f t="shared" si="31"/>
        <v>#N/A</v>
      </c>
      <c r="BO68" s="14" t="e">
        <f t="shared" si="31"/>
        <v>#N/A</v>
      </c>
      <c r="BP68" s="14" t="e">
        <f t="shared" si="31"/>
        <v>#N/A</v>
      </c>
      <c r="BQ68" s="14" t="e">
        <f t="shared" si="31"/>
        <v>#N/A</v>
      </c>
    </row>
    <row r="69" spans="1:69" outlineLevel="1"/>
    <row r="70" spans="1:69" outlineLevel="1"/>
    <row r="71" spans="1:69" outlineLevel="1">
      <c r="B71" s="27" t="s">
        <v>190</v>
      </c>
    </row>
    <row r="72" spans="1:69" outlineLevel="2">
      <c r="E72" s="8" t="str">
        <f t="shared" ref="E72:BQ72" si="32" xml:space="preserve">  E$19</f>
        <v>Model period end</v>
      </c>
      <c r="F72" s="8">
        <f t="shared" si="32"/>
        <v>0</v>
      </c>
      <c r="G72" s="8" t="str">
        <f t="shared" si="32"/>
        <v>date</v>
      </c>
      <c r="H72" s="8">
        <f t="shared" si="32"/>
        <v>0</v>
      </c>
      <c r="I72" s="8">
        <f t="shared" si="32"/>
        <v>0</v>
      </c>
      <c r="J72" s="8">
        <f t="shared" si="32"/>
        <v>45077</v>
      </c>
      <c r="K72" s="8">
        <f t="shared" si="32"/>
        <v>45107</v>
      </c>
      <c r="L72" s="8">
        <f t="shared" si="32"/>
        <v>45138</v>
      </c>
      <c r="M72" s="8">
        <f t="shared" si="32"/>
        <v>45169</v>
      </c>
      <c r="N72" s="8">
        <f t="shared" si="32"/>
        <v>45199</v>
      </c>
      <c r="O72" s="8">
        <f t="shared" si="32"/>
        <v>45230</v>
      </c>
      <c r="P72" s="8">
        <f t="shared" si="32"/>
        <v>45260</v>
      </c>
      <c r="Q72" s="8">
        <f t="shared" si="32"/>
        <v>45291</v>
      </c>
      <c r="R72" s="8">
        <f t="shared" si="32"/>
        <v>45322</v>
      </c>
      <c r="S72" s="8">
        <f t="shared" si="32"/>
        <v>45351</v>
      </c>
      <c r="T72" s="8">
        <f t="shared" si="32"/>
        <v>45382</v>
      </c>
      <c r="U72" s="8">
        <f t="shared" si="32"/>
        <v>45412</v>
      </c>
      <c r="V72" s="8">
        <f t="shared" si="32"/>
        <v>45443</v>
      </c>
      <c r="W72" s="8">
        <f t="shared" si="32"/>
        <v>45473</v>
      </c>
      <c r="X72" s="8">
        <f t="shared" si="32"/>
        <v>45504</v>
      </c>
      <c r="Y72" s="8">
        <f t="shared" si="32"/>
        <v>45535</v>
      </c>
      <c r="Z72" s="8">
        <f t="shared" si="32"/>
        <v>45565</v>
      </c>
      <c r="AA72" s="8">
        <f t="shared" si="32"/>
        <v>45596</v>
      </c>
      <c r="AB72" s="8">
        <f t="shared" si="32"/>
        <v>45626</v>
      </c>
      <c r="AC72" s="8">
        <f t="shared" si="32"/>
        <v>45657</v>
      </c>
      <c r="AD72" s="8">
        <f t="shared" si="32"/>
        <v>45688</v>
      </c>
      <c r="AE72" s="8">
        <f t="shared" si="32"/>
        <v>45716</v>
      </c>
      <c r="AF72" s="8">
        <f t="shared" si="32"/>
        <v>45747</v>
      </c>
      <c r="AG72" s="8">
        <f t="shared" si="32"/>
        <v>45777</v>
      </c>
      <c r="AH72" s="8">
        <f t="shared" si="32"/>
        <v>45808</v>
      </c>
      <c r="AI72" s="8">
        <f t="shared" si="32"/>
        <v>45838</v>
      </c>
      <c r="AJ72" s="8">
        <f t="shared" si="32"/>
        <v>45869</v>
      </c>
      <c r="AK72" s="8">
        <f t="shared" si="32"/>
        <v>45900</v>
      </c>
      <c r="AL72" s="8">
        <f t="shared" si="32"/>
        <v>45930</v>
      </c>
      <c r="AM72" s="8">
        <f t="shared" si="32"/>
        <v>45961</v>
      </c>
      <c r="AN72" s="8">
        <f t="shared" si="32"/>
        <v>45991</v>
      </c>
      <c r="AO72" s="8">
        <f t="shared" si="32"/>
        <v>46022</v>
      </c>
      <c r="AP72" s="8">
        <f t="shared" si="32"/>
        <v>46053</v>
      </c>
      <c r="AQ72" s="8">
        <f t="shared" si="32"/>
        <v>46081</v>
      </c>
      <c r="AR72" s="8">
        <f t="shared" si="32"/>
        <v>46112</v>
      </c>
      <c r="AS72" s="8">
        <f t="shared" si="32"/>
        <v>46142</v>
      </c>
      <c r="AT72" s="8">
        <f t="shared" si="32"/>
        <v>46173</v>
      </c>
      <c r="AU72" s="8">
        <f t="shared" si="32"/>
        <v>46203</v>
      </c>
      <c r="AV72" s="8">
        <f t="shared" si="32"/>
        <v>46234</v>
      </c>
      <c r="AW72" s="8">
        <f t="shared" si="32"/>
        <v>46265</v>
      </c>
      <c r="AX72" s="8">
        <f t="shared" si="32"/>
        <v>46295</v>
      </c>
      <c r="AY72" s="8">
        <f t="shared" si="32"/>
        <v>46326</v>
      </c>
      <c r="AZ72" s="8">
        <f t="shared" si="32"/>
        <v>46356</v>
      </c>
      <c r="BA72" s="8">
        <f t="shared" si="32"/>
        <v>46387</v>
      </c>
      <c r="BB72" s="8">
        <f t="shared" si="32"/>
        <v>46418</v>
      </c>
      <c r="BC72" s="8">
        <f t="shared" si="32"/>
        <v>46446</v>
      </c>
      <c r="BD72" s="8">
        <f t="shared" si="32"/>
        <v>46477</v>
      </c>
      <c r="BE72" s="8">
        <f t="shared" si="32"/>
        <v>46507</v>
      </c>
      <c r="BF72" s="8">
        <f t="shared" si="32"/>
        <v>46538</v>
      </c>
      <c r="BG72" s="8">
        <f t="shared" si="32"/>
        <v>46568</v>
      </c>
      <c r="BH72" s="8">
        <f t="shared" si="32"/>
        <v>46599</v>
      </c>
      <c r="BI72" s="8">
        <f t="shared" si="32"/>
        <v>46630</v>
      </c>
      <c r="BJ72" s="8">
        <f t="shared" si="32"/>
        <v>46660</v>
      </c>
      <c r="BK72" s="8">
        <f t="shared" si="32"/>
        <v>46691</v>
      </c>
      <c r="BL72" s="8">
        <f t="shared" si="32"/>
        <v>46721</v>
      </c>
      <c r="BM72" s="8">
        <f t="shared" si="32"/>
        <v>46752</v>
      </c>
      <c r="BN72" s="8">
        <f t="shared" si="32"/>
        <v>46783</v>
      </c>
      <c r="BO72" s="8">
        <f t="shared" si="32"/>
        <v>46812</v>
      </c>
      <c r="BP72" s="8">
        <f t="shared" si="32"/>
        <v>46843</v>
      </c>
      <c r="BQ72" s="8">
        <f t="shared" si="32"/>
        <v>46873</v>
      </c>
    </row>
    <row r="73" spans="1:69" outlineLevel="2">
      <c r="E73" s="5" t="str">
        <f t="shared" ref="E73:BQ73" si="33" xml:space="preserve">  E$28</f>
        <v>Period number</v>
      </c>
      <c r="F73" s="5">
        <f t="shared" si="33"/>
        <v>0</v>
      </c>
      <c r="G73" s="5" t="str">
        <f t="shared" si="33"/>
        <v>Counter</v>
      </c>
      <c r="H73" s="5">
        <f t="shared" si="33"/>
        <v>0</v>
      </c>
      <c r="I73" s="5">
        <f t="shared" si="33"/>
        <v>0</v>
      </c>
      <c r="J73" s="5">
        <f t="shared" si="33"/>
        <v>1</v>
      </c>
      <c r="K73" s="5">
        <f t="shared" si="33"/>
        <v>2</v>
      </c>
      <c r="L73" s="5">
        <f t="shared" si="33"/>
        <v>3</v>
      </c>
      <c r="M73" s="5">
        <f t="shared" si="33"/>
        <v>4</v>
      </c>
      <c r="N73" s="5">
        <f t="shared" si="33"/>
        <v>5</v>
      </c>
      <c r="O73" s="5">
        <f t="shared" si="33"/>
        <v>6</v>
      </c>
      <c r="P73" s="5">
        <f t="shared" si="33"/>
        <v>7</v>
      </c>
      <c r="Q73" s="5">
        <f t="shared" si="33"/>
        <v>8</v>
      </c>
      <c r="R73" s="5">
        <f t="shared" si="33"/>
        <v>9</v>
      </c>
      <c r="S73" s="5">
        <f t="shared" si="33"/>
        <v>10</v>
      </c>
      <c r="T73" s="5">
        <f t="shared" si="33"/>
        <v>11</v>
      </c>
      <c r="U73" s="5">
        <f t="shared" si="33"/>
        <v>12</v>
      </c>
      <c r="V73" s="5">
        <f t="shared" si="33"/>
        <v>13</v>
      </c>
      <c r="W73" s="5">
        <f t="shared" si="33"/>
        <v>14</v>
      </c>
      <c r="X73" s="5">
        <f t="shared" si="33"/>
        <v>15</v>
      </c>
      <c r="Y73" s="5">
        <f t="shared" si="33"/>
        <v>16</v>
      </c>
      <c r="Z73" s="5">
        <f t="shared" si="33"/>
        <v>17</v>
      </c>
      <c r="AA73" s="5">
        <f t="shared" si="33"/>
        <v>18</v>
      </c>
      <c r="AB73" s="5">
        <f t="shared" si="33"/>
        <v>19</v>
      </c>
      <c r="AC73" s="5">
        <f t="shared" si="33"/>
        <v>20</v>
      </c>
      <c r="AD73" s="5">
        <f t="shared" si="33"/>
        <v>21</v>
      </c>
      <c r="AE73" s="5">
        <f t="shared" si="33"/>
        <v>22</v>
      </c>
      <c r="AF73" s="5">
        <f t="shared" si="33"/>
        <v>23</v>
      </c>
      <c r="AG73" s="5">
        <f t="shared" si="33"/>
        <v>24</v>
      </c>
      <c r="AH73" s="5">
        <f t="shared" si="33"/>
        <v>25</v>
      </c>
      <c r="AI73" s="5">
        <f t="shared" si="33"/>
        <v>26</v>
      </c>
      <c r="AJ73" s="5">
        <f t="shared" si="33"/>
        <v>27</v>
      </c>
      <c r="AK73" s="5">
        <f t="shared" si="33"/>
        <v>28</v>
      </c>
      <c r="AL73" s="5">
        <f t="shared" si="33"/>
        <v>29</v>
      </c>
      <c r="AM73" s="5">
        <f t="shared" si="33"/>
        <v>30</v>
      </c>
      <c r="AN73" s="5">
        <f t="shared" si="33"/>
        <v>31</v>
      </c>
      <c r="AO73" s="5">
        <f t="shared" si="33"/>
        <v>32</v>
      </c>
      <c r="AP73" s="5">
        <f t="shared" si="33"/>
        <v>33</v>
      </c>
      <c r="AQ73" s="5">
        <f t="shared" si="33"/>
        <v>34</v>
      </c>
      <c r="AR73" s="5">
        <f t="shared" si="33"/>
        <v>35</v>
      </c>
      <c r="AS73" s="5">
        <f t="shared" si="33"/>
        <v>36</v>
      </c>
      <c r="AT73" s="5">
        <f t="shared" si="33"/>
        <v>37</v>
      </c>
      <c r="AU73" s="5">
        <f t="shared" si="33"/>
        <v>38</v>
      </c>
      <c r="AV73" s="5">
        <f t="shared" si="33"/>
        <v>39</v>
      </c>
      <c r="AW73" s="5">
        <f t="shared" si="33"/>
        <v>40</v>
      </c>
      <c r="AX73" s="5">
        <f t="shared" si="33"/>
        <v>41</v>
      </c>
      <c r="AY73" s="5">
        <f t="shared" si="33"/>
        <v>42</v>
      </c>
      <c r="AZ73" s="5">
        <f t="shared" si="33"/>
        <v>43</v>
      </c>
      <c r="BA73" s="5">
        <f t="shared" si="33"/>
        <v>44</v>
      </c>
      <c r="BB73" s="5">
        <f t="shared" si="33"/>
        <v>45</v>
      </c>
      <c r="BC73" s="5">
        <f t="shared" si="33"/>
        <v>46</v>
      </c>
      <c r="BD73" s="5">
        <f t="shared" si="33"/>
        <v>47</v>
      </c>
      <c r="BE73" s="5">
        <f t="shared" si="33"/>
        <v>48</v>
      </c>
      <c r="BF73" s="5">
        <f t="shared" si="33"/>
        <v>49</v>
      </c>
      <c r="BG73" s="5">
        <f t="shared" si="33"/>
        <v>50</v>
      </c>
      <c r="BH73" s="5">
        <f t="shared" si="33"/>
        <v>51</v>
      </c>
      <c r="BI73" s="5">
        <f t="shared" si="33"/>
        <v>52</v>
      </c>
      <c r="BJ73" s="5">
        <f t="shared" si="33"/>
        <v>53</v>
      </c>
      <c r="BK73" s="5">
        <f t="shared" si="33"/>
        <v>54</v>
      </c>
      <c r="BL73" s="5">
        <f t="shared" si="33"/>
        <v>55</v>
      </c>
      <c r="BM73" s="5">
        <f t="shared" si="33"/>
        <v>56</v>
      </c>
      <c r="BN73" s="5">
        <f t="shared" si="33"/>
        <v>57</v>
      </c>
      <c r="BO73" s="5">
        <f t="shared" si="33"/>
        <v>58</v>
      </c>
      <c r="BP73" s="5">
        <f t="shared" si="33"/>
        <v>59</v>
      </c>
      <c r="BQ73" s="5">
        <f t="shared" si="33"/>
        <v>60</v>
      </c>
    </row>
    <row r="74" spans="1:69" outlineLevel="2">
      <c r="E74" s="5" t="str">
        <f t="shared" ref="E74:BQ74" si="34" xml:space="preserve">  E$331</f>
        <v>Month to Quarter : period end flag</v>
      </c>
      <c r="F74" s="5">
        <f t="shared" si="34"/>
        <v>0</v>
      </c>
      <c r="G74" s="5" t="str">
        <f t="shared" si="34"/>
        <v>counter</v>
      </c>
      <c r="H74" s="5">
        <f t="shared" si="34"/>
        <v>0</v>
      </c>
      <c r="I74" s="5">
        <f t="shared" si="34"/>
        <v>0</v>
      </c>
      <c r="J74" s="5">
        <f t="shared" si="34"/>
        <v>0</v>
      </c>
      <c r="K74" s="5">
        <f t="shared" si="34"/>
        <v>0</v>
      </c>
      <c r="L74" s="5">
        <f t="shared" si="34"/>
        <v>1</v>
      </c>
      <c r="M74" s="5">
        <f t="shared" si="34"/>
        <v>0</v>
      </c>
      <c r="N74" s="5">
        <f t="shared" si="34"/>
        <v>0</v>
      </c>
      <c r="O74" s="5">
        <f t="shared" si="34"/>
        <v>2</v>
      </c>
      <c r="P74" s="5">
        <f t="shared" si="34"/>
        <v>0</v>
      </c>
      <c r="Q74" s="5">
        <f t="shared" si="34"/>
        <v>0</v>
      </c>
      <c r="R74" s="5">
        <f t="shared" si="34"/>
        <v>3</v>
      </c>
      <c r="S74" s="5">
        <f t="shared" si="34"/>
        <v>0</v>
      </c>
      <c r="T74" s="5">
        <f t="shared" si="34"/>
        <v>0</v>
      </c>
      <c r="U74" s="5">
        <f t="shared" si="34"/>
        <v>4</v>
      </c>
      <c r="V74" s="5">
        <f t="shared" si="34"/>
        <v>0</v>
      </c>
      <c r="W74" s="5">
        <f t="shared" si="34"/>
        <v>0</v>
      </c>
      <c r="X74" s="5">
        <f t="shared" si="34"/>
        <v>5</v>
      </c>
      <c r="Y74" s="5">
        <f t="shared" si="34"/>
        <v>0</v>
      </c>
      <c r="Z74" s="5">
        <f t="shared" si="34"/>
        <v>0</v>
      </c>
      <c r="AA74" s="5">
        <f t="shared" si="34"/>
        <v>6</v>
      </c>
      <c r="AB74" s="5">
        <f t="shared" si="34"/>
        <v>0</v>
      </c>
      <c r="AC74" s="5">
        <f t="shared" si="34"/>
        <v>0</v>
      </c>
      <c r="AD74" s="5">
        <f t="shared" si="34"/>
        <v>7</v>
      </c>
      <c r="AE74" s="5">
        <f t="shared" si="34"/>
        <v>0</v>
      </c>
      <c r="AF74" s="5">
        <f t="shared" si="34"/>
        <v>0</v>
      </c>
      <c r="AG74" s="5">
        <f t="shared" si="34"/>
        <v>8</v>
      </c>
      <c r="AH74" s="5">
        <f t="shared" si="34"/>
        <v>0</v>
      </c>
      <c r="AI74" s="5">
        <f t="shared" si="34"/>
        <v>0</v>
      </c>
      <c r="AJ74" s="5">
        <f t="shared" si="34"/>
        <v>9</v>
      </c>
      <c r="AK74" s="5">
        <f t="shared" si="34"/>
        <v>0</v>
      </c>
      <c r="AL74" s="5">
        <f t="shared" si="34"/>
        <v>0</v>
      </c>
      <c r="AM74" s="5">
        <f t="shared" si="34"/>
        <v>10</v>
      </c>
      <c r="AN74" s="5">
        <f t="shared" si="34"/>
        <v>0</v>
      </c>
      <c r="AO74" s="5">
        <f t="shared" si="34"/>
        <v>0</v>
      </c>
      <c r="AP74" s="5">
        <f t="shared" si="34"/>
        <v>11</v>
      </c>
      <c r="AQ74" s="5">
        <f t="shared" si="34"/>
        <v>0</v>
      </c>
      <c r="AR74" s="5">
        <f t="shared" si="34"/>
        <v>0</v>
      </c>
      <c r="AS74" s="5">
        <f t="shared" si="34"/>
        <v>12</v>
      </c>
      <c r="AT74" s="5">
        <f t="shared" si="34"/>
        <v>0</v>
      </c>
      <c r="AU74" s="5">
        <f t="shared" si="34"/>
        <v>0</v>
      </c>
      <c r="AV74" s="5">
        <f t="shared" si="34"/>
        <v>13</v>
      </c>
      <c r="AW74" s="5">
        <f t="shared" si="34"/>
        <v>0</v>
      </c>
      <c r="AX74" s="5">
        <f t="shared" si="34"/>
        <v>0</v>
      </c>
      <c r="AY74" s="5">
        <f t="shared" si="34"/>
        <v>14</v>
      </c>
      <c r="AZ74" s="5">
        <f t="shared" si="34"/>
        <v>0</v>
      </c>
      <c r="BA74" s="5">
        <f t="shared" si="34"/>
        <v>0</v>
      </c>
      <c r="BB74" s="5">
        <f t="shared" si="34"/>
        <v>15</v>
      </c>
      <c r="BC74" s="5">
        <f t="shared" si="34"/>
        <v>0</v>
      </c>
      <c r="BD74" s="5">
        <f t="shared" si="34"/>
        <v>0</v>
      </c>
      <c r="BE74" s="5">
        <f t="shared" si="34"/>
        <v>16</v>
      </c>
      <c r="BF74" s="5">
        <f t="shared" si="34"/>
        <v>0</v>
      </c>
      <c r="BG74" s="5">
        <f t="shared" si="34"/>
        <v>0</v>
      </c>
      <c r="BH74" s="5">
        <f t="shared" si="34"/>
        <v>17</v>
      </c>
      <c r="BI74" s="5">
        <f t="shared" si="34"/>
        <v>0</v>
      </c>
      <c r="BJ74" s="5">
        <f t="shared" si="34"/>
        <v>0</v>
      </c>
      <c r="BK74" s="5">
        <f t="shared" si="34"/>
        <v>18</v>
      </c>
      <c r="BL74" s="5">
        <f t="shared" si="34"/>
        <v>0</v>
      </c>
      <c r="BM74" s="5">
        <f t="shared" si="34"/>
        <v>0</v>
      </c>
      <c r="BN74" s="5">
        <f t="shared" si="34"/>
        <v>19</v>
      </c>
      <c r="BO74" s="5">
        <f t="shared" si="34"/>
        <v>0</v>
      </c>
      <c r="BP74" s="5">
        <f t="shared" si="34"/>
        <v>0</v>
      </c>
      <c r="BQ74" s="5">
        <f t="shared" si="34"/>
        <v>20</v>
      </c>
    </row>
    <row r="75" spans="1:69" outlineLevel="2">
      <c r="A75" s="36"/>
      <c r="B75" s="36"/>
      <c r="C75" s="65"/>
      <c r="D75" s="64"/>
      <c r="E75" s="21" t="s">
        <v>190</v>
      </c>
      <c r="F75" s="21"/>
      <c r="G75" s="21" t="s">
        <v>210</v>
      </c>
      <c r="H75" s="21"/>
      <c r="I75" s="21"/>
      <c r="J75" s="13">
        <f t="shared" ref="J75:BQ75" si="35" xml:space="preserve">  INDEX( $J72:$BQ72, MATCH( J73, $J74:$BQ74, 0 ) )</f>
        <v>45138</v>
      </c>
      <c r="K75" s="13">
        <f t="shared" si="35"/>
        <v>45230</v>
      </c>
      <c r="L75" s="13">
        <f t="shared" si="35"/>
        <v>45322</v>
      </c>
      <c r="M75" s="13">
        <f t="shared" si="35"/>
        <v>45412</v>
      </c>
      <c r="N75" s="13">
        <f t="shared" si="35"/>
        <v>45504</v>
      </c>
      <c r="O75" s="13">
        <f t="shared" si="35"/>
        <v>45596</v>
      </c>
      <c r="P75" s="13">
        <f t="shared" si="35"/>
        <v>45688</v>
      </c>
      <c r="Q75" s="13">
        <f t="shared" si="35"/>
        <v>45777</v>
      </c>
      <c r="R75" s="13">
        <f t="shared" si="35"/>
        <v>45869</v>
      </c>
      <c r="S75" s="13">
        <f t="shared" si="35"/>
        <v>45961</v>
      </c>
      <c r="T75" s="13">
        <f t="shared" si="35"/>
        <v>46053</v>
      </c>
      <c r="U75" s="13">
        <f t="shared" si="35"/>
        <v>46142</v>
      </c>
      <c r="V75" s="13">
        <f t="shared" si="35"/>
        <v>46234</v>
      </c>
      <c r="W75" s="13">
        <f t="shared" si="35"/>
        <v>46326</v>
      </c>
      <c r="X75" s="13">
        <f t="shared" si="35"/>
        <v>46418</v>
      </c>
      <c r="Y75" s="13">
        <f t="shared" si="35"/>
        <v>46507</v>
      </c>
      <c r="Z75" s="13">
        <f t="shared" si="35"/>
        <v>46599</v>
      </c>
      <c r="AA75" s="13">
        <f t="shared" si="35"/>
        <v>46691</v>
      </c>
      <c r="AB75" s="13">
        <f t="shared" si="35"/>
        <v>46783</v>
      </c>
      <c r="AC75" s="13">
        <f t="shared" si="35"/>
        <v>46873</v>
      </c>
      <c r="AD75" s="13" t="e">
        <f t="shared" si="35"/>
        <v>#N/A</v>
      </c>
      <c r="AE75" s="13" t="e">
        <f t="shared" si="35"/>
        <v>#N/A</v>
      </c>
      <c r="AF75" s="13" t="e">
        <f t="shared" si="35"/>
        <v>#N/A</v>
      </c>
      <c r="AG75" s="13" t="e">
        <f t="shared" si="35"/>
        <v>#N/A</v>
      </c>
      <c r="AH75" s="13" t="e">
        <f t="shared" si="35"/>
        <v>#N/A</v>
      </c>
      <c r="AI75" s="13" t="e">
        <f t="shared" si="35"/>
        <v>#N/A</v>
      </c>
      <c r="AJ75" s="13" t="e">
        <f t="shared" si="35"/>
        <v>#N/A</v>
      </c>
      <c r="AK75" s="13" t="e">
        <f t="shared" si="35"/>
        <v>#N/A</v>
      </c>
      <c r="AL75" s="13" t="e">
        <f t="shared" si="35"/>
        <v>#N/A</v>
      </c>
      <c r="AM75" s="13" t="e">
        <f t="shared" si="35"/>
        <v>#N/A</v>
      </c>
      <c r="AN75" s="13" t="e">
        <f t="shared" si="35"/>
        <v>#N/A</v>
      </c>
      <c r="AO75" s="13" t="e">
        <f t="shared" si="35"/>
        <v>#N/A</v>
      </c>
      <c r="AP75" s="13" t="e">
        <f t="shared" si="35"/>
        <v>#N/A</v>
      </c>
      <c r="AQ75" s="13" t="e">
        <f t="shared" si="35"/>
        <v>#N/A</v>
      </c>
      <c r="AR75" s="13" t="e">
        <f t="shared" si="35"/>
        <v>#N/A</v>
      </c>
      <c r="AS75" s="13" t="e">
        <f t="shared" si="35"/>
        <v>#N/A</v>
      </c>
      <c r="AT75" s="13" t="e">
        <f t="shared" si="35"/>
        <v>#N/A</v>
      </c>
      <c r="AU75" s="13" t="e">
        <f t="shared" si="35"/>
        <v>#N/A</v>
      </c>
      <c r="AV75" s="13" t="e">
        <f t="shared" si="35"/>
        <v>#N/A</v>
      </c>
      <c r="AW75" s="13" t="e">
        <f t="shared" si="35"/>
        <v>#N/A</v>
      </c>
      <c r="AX75" s="13" t="e">
        <f t="shared" si="35"/>
        <v>#N/A</v>
      </c>
      <c r="AY75" s="13" t="e">
        <f t="shared" si="35"/>
        <v>#N/A</v>
      </c>
      <c r="AZ75" s="13" t="e">
        <f t="shared" si="35"/>
        <v>#N/A</v>
      </c>
      <c r="BA75" s="13" t="e">
        <f t="shared" si="35"/>
        <v>#N/A</v>
      </c>
      <c r="BB75" s="13" t="e">
        <f t="shared" si="35"/>
        <v>#N/A</v>
      </c>
      <c r="BC75" s="13" t="e">
        <f t="shared" si="35"/>
        <v>#N/A</v>
      </c>
      <c r="BD75" s="13" t="e">
        <f t="shared" si="35"/>
        <v>#N/A</v>
      </c>
      <c r="BE75" s="13" t="e">
        <f t="shared" si="35"/>
        <v>#N/A</v>
      </c>
      <c r="BF75" s="13" t="e">
        <f t="shared" si="35"/>
        <v>#N/A</v>
      </c>
      <c r="BG75" s="13" t="e">
        <f t="shared" si="35"/>
        <v>#N/A</v>
      </c>
      <c r="BH75" s="13" t="e">
        <f t="shared" si="35"/>
        <v>#N/A</v>
      </c>
      <c r="BI75" s="13" t="e">
        <f t="shared" si="35"/>
        <v>#N/A</v>
      </c>
      <c r="BJ75" s="13" t="e">
        <f t="shared" si="35"/>
        <v>#N/A</v>
      </c>
      <c r="BK75" s="13" t="e">
        <f t="shared" si="35"/>
        <v>#N/A</v>
      </c>
      <c r="BL75" s="13" t="e">
        <f t="shared" si="35"/>
        <v>#N/A</v>
      </c>
      <c r="BM75" s="13" t="e">
        <f t="shared" si="35"/>
        <v>#N/A</v>
      </c>
      <c r="BN75" s="13" t="e">
        <f t="shared" si="35"/>
        <v>#N/A</v>
      </c>
      <c r="BO75" s="13" t="e">
        <f t="shared" si="35"/>
        <v>#N/A</v>
      </c>
      <c r="BP75" s="13" t="e">
        <f t="shared" si="35"/>
        <v>#N/A</v>
      </c>
      <c r="BQ75" s="13" t="e">
        <f t="shared" si="35"/>
        <v>#N/A</v>
      </c>
    </row>
    <row r="76" spans="1:69" outlineLevel="1"/>
    <row r="77" spans="1:69" outlineLevel="1"/>
    <row r="78" spans="1:69" outlineLevel="1">
      <c r="B78" s="27" t="s">
        <v>165</v>
      </c>
    </row>
    <row r="79" spans="1:69" outlineLevel="2">
      <c r="E79" s="2" t="str">
        <f t="shared" ref="E79:BQ79" si="36" xml:space="preserve">  E$24</f>
        <v>Timeline label</v>
      </c>
      <c r="F79" s="2">
        <f t="shared" si="36"/>
        <v>0</v>
      </c>
      <c r="G79" s="2" t="str">
        <f t="shared" si="36"/>
        <v>GBP</v>
      </c>
      <c r="H79" s="2">
        <f t="shared" si="36"/>
        <v>0</v>
      </c>
      <c r="I79" s="2">
        <f t="shared" si="36"/>
        <v>0</v>
      </c>
      <c r="J79" s="2" t="str">
        <f t="shared" si="36"/>
        <v>Month1</v>
      </c>
      <c r="K79" s="2" t="str">
        <f t="shared" si="36"/>
        <v>Month2</v>
      </c>
      <c r="L79" s="2" t="str">
        <f t="shared" si="36"/>
        <v>Month3</v>
      </c>
      <c r="M79" s="2" t="str">
        <f t="shared" si="36"/>
        <v>Month4</v>
      </c>
      <c r="N79" s="2" t="str">
        <f t="shared" si="36"/>
        <v>Month5</v>
      </c>
      <c r="O79" s="2" t="str">
        <f t="shared" si="36"/>
        <v>Month6</v>
      </c>
      <c r="P79" s="2" t="str">
        <f t="shared" si="36"/>
        <v>Month7</v>
      </c>
      <c r="Q79" s="2" t="str">
        <f t="shared" si="36"/>
        <v>Month8</v>
      </c>
      <c r="R79" s="2" t="str">
        <f t="shared" si="36"/>
        <v>Month9</v>
      </c>
      <c r="S79" s="2" t="str">
        <f t="shared" si="36"/>
        <v>Month10</v>
      </c>
      <c r="T79" s="2" t="str">
        <f t="shared" si="36"/>
        <v>Month11</v>
      </c>
      <c r="U79" s="2" t="str">
        <f t="shared" si="36"/>
        <v>Month12</v>
      </c>
      <c r="V79" s="2" t="str">
        <f t="shared" si="36"/>
        <v>Month13</v>
      </c>
      <c r="W79" s="2" t="str">
        <f t="shared" si="36"/>
        <v>Month14</v>
      </c>
      <c r="X79" s="2" t="str">
        <f t="shared" si="36"/>
        <v>Month15</v>
      </c>
      <c r="Y79" s="2" t="str">
        <f t="shared" si="36"/>
        <v>Month16</v>
      </c>
      <c r="Z79" s="2" t="str">
        <f t="shared" si="36"/>
        <v>Month17</v>
      </c>
      <c r="AA79" s="2" t="str">
        <f t="shared" si="36"/>
        <v>Month18</v>
      </c>
      <c r="AB79" s="2" t="str">
        <f t="shared" si="36"/>
        <v>Month19</v>
      </c>
      <c r="AC79" s="2" t="str">
        <f t="shared" si="36"/>
        <v>Month20</v>
      </c>
      <c r="AD79" s="2" t="str">
        <f t="shared" si="36"/>
        <v>Month21</v>
      </c>
      <c r="AE79" s="2" t="str">
        <f t="shared" si="36"/>
        <v>Month22</v>
      </c>
      <c r="AF79" s="2" t="str">
        <f t="shared" si="36"/>
        <v>Month23</v>
      </c>
      <c r="AG79" s="2" t="str">
        <f t="shared" si="36"/>
        <v>Month24</v>
      </c>
      <c r="AH79" s="2" t="str">
        <f t="shared" si="36"/>
        <v>Month25</v>
      </c>
      <c r="AI79" s="2" t="str">
        <f t="shared" si="36"/>
        <v>Month26</v>
      </c>
      <c r="AJ79" s="2" t="str">
        <f t="shared" si="36"/>
        <v>Month27</v>
      </c>
      <c r="AK79" s="2" t="str">
        <f t="shared" si="36"/>
        <v>Month28</v>
      </c>
      <c r="AL79" s="2" t="str">
        <f t="shared" si="36"/>
        <v>Month29</v>
      </c>
      <c r="AM79" s="2" t="str">
        <f t="shared" si="36"/>
        <v>Month30</v>
      </c>
      <c r="AN79" s="2" t="str">
        <f t="shared" si="36"/>
        <v>Month31</v>
      </c>
      <c r="AO79" s="2" t="str">
        <f t="shared" si="36"/>
        <v>Month32</v>
      </c>
      <c r="AP79" s="2" t="str">
        <f t="shared" si="36"/>
        <v>Month33</v>
      </c>
      <c r="AQ79" s="2" t="str">
        <f t="shared" si="36"/>
        <v>Month34</v>
      </c>
      <c r="AR79" s="2" t="str">
        <f t="shared" si="36"/>
        <v>Month35</v>
      </c>
      <c r="AS79" s="2" t="str">
        <f t="shared" si="36"/>
        <v>Month36</v>
      </c>
      <c r="AT79" s="2" t="str">
        <f t="shared" si="36"/>
        <v>Month37</v>
      </c>
      <c r="AU79" s="2" t="str">
        <f t="shared" si="36"/>
        <v>Month38</v>
      </c>
      <c r="AV79" s="2" t="str">
        <f t="shared" si="36"/>
        <v>Month39</v>
      </c>
      <c r="AW79" s="2" t="str">
        <f t="shared" si="36"/>
        <v>Month40</v>
      </c>
      <c r="AX79" s="2" t="str">
        <f t="shared" si="36"/>
        <v>Month41</v>
      </c>
      <c r="AY79" s="2" t="str">
        <f t="shared" si="36"/>
        <v>Month42</v>
      </c>
      <c r="AZ79" s="2" t="str">
        <f t="shared" si="36"/>
        <v>Month43</v>
      </c>
      <c r="BA79" s="2" t="str">
        <f t="shared" si="36"/>
        <v>Month44</v>
      </c>
      <c r="BB79" s="2" t="str">
        <f t="shared" si="36"/>
        <v>Month45</v>
      </c>
      <c r="BC79" s="2" t="str">
        <f t="shared" si="36"/>
        <v>Month46</v>
      </c>
      <c r="BD79" s="2" t="str">
        <f t="shared" si="36"/>
        <v>Month47</v>
      </c>
      <c r="BE79" s="2" t="str">
        <f t="shared" si="36"/>
        <v>Month48</v>
      </c>
      <c r="BF79" s="2" t="str">
        <f t="shared" si="36"/>
        <v>Month49</v>
      </c>
      <c r="BG79" s="2" t="str">
        <f t="shared" si="36"/>
        <v>Month50</v>
      </c>
      <c r="BH79" s="2" t="str">
        <f t="shared" si="36"/>
        <v>Month51</v>
      </c>
      <c r="BI79" s="2" t="str">
        <f t="shared" si="36"/>
        <v>Month52</v>
      </c>
      <c r="BJ79" s="2" t="str">
        <f t="shared" si="36"/>
        <v>Month53</v>
      </c>
      <c r="BK79" s="2" t="str">
        <f t="shared" si="36"/>
        <v>Month54</v>
      </c>
      <c r="BL79" s="2" t="str">
        <f t="shared" si="36"/>
        <v>Month55</v>
      </c>
      <c r="BM79" s="2" t="str">
        <f t="shared" si="36"/>
        <v>Month56</v>
      </c>
      <c r="BN79" s="2" t="str">
        <f t="shared" si="36"/>
        <v>Month57</v>
      </c>
      <c r="BO79" s="2" t="str">
        <f t="shared" si="36"/>
        <v>Month58</v>
      </c>
      <c r="BP79" s="2" t="str">
        <f t="shared" si="36"/>
        <v>Month59</v>
      </c>
      <c r="BQ79" s="2" t="str">
        <f t="shared" si="36"/>
        <v>Month60</v>
      </c>
    </row>
    <row r="80" spans="1:69" outlineLevel="2">
      <c r="E80" s="5" t="str">
        <f t="shared" ref="E80:BQ80" si="37" xml:space="preserve">  E$28</f>
        <v>Period number</v>
      </c>
      <c r="F80" s="5">
        <f t="shared" si="37"/>
        <v>0</v>
      </c>
      <c r="G80" s="5" t="str">
        <f t="shared" si="37"/>
        <v>Counter</v>
      </c>
      <c r="H80" s="5">
        <f t="shared" si="37"/>
        <v>0</v>
      </c>
      <c r="I80" s="5">
        <f t="shared" si="37"/>
        <v>0</v>
      </c>
      <c r="J80" s="5">
        <f t="shared" si="37"/>
        <v>1</v>
      </c>
      <c r="K80" s="5">
        <f t="shared" si="37"/>
        <v>2</v>
      </c>
      <c r="L80" s="5">
        <f t="shared" si="37"/>
        <v>3</v>
      </c>
      <c r="M80" s="5">
        <f t="shared" si="37"/>
        <v>4</v>
      </c>
      <c r="N80" s="5">
        <f t="shared" si="37"/>
        <v>5</v>
      </c>
      <c r="O80" s="5">
        <f t="shared" si="37"/>
        <v>6</v>
      </c>
      <c r="P80" s="5">
        <f t="shared" si="37"/>
        <v>7</v>
      </c>
      <c r="Q80" s="5">
        <f t="shared" si="37"/>
        <v>8</v>
      </c>
      <c r="R80" s="5">
        <f t="shared" si="37"/>
        <v>9</v>
      </c>
      <c r="S80" s="5">
        <f t="shared" si="37"/>
        <v>10</v>
      </c>
      <c r="T80" s="5">
        <f t="shared" si="37"/>
        <v>11</v>
      </c>
      <c r="U80" s="5">
        <f t="shared" si="37"/>
        <v>12</v>
      </c>
      <c r="V80" s="5">
        <f t="shared" si="37"/>
        <v>13</v>
      </c>
      <c r="W80" s="5">
        <f t="shared" si="37"/>
        <v>14</v>
      </c>
      <c r="X80" s="5">
        <f t="shared" si="37"/>
        <v>15</v>
      </c>
      <c r="Y80" s="5">
        <f t="shared" si="37"/>
        <v>16</v>
      </c>
      <c r="Z80" s="5">
        <f t="shared" si="37"/>
        <v>17</v>
      </c>
      <c r="AA80" s="5">
        <f t="shared" si="37"/>
        <v>18</v>
      </c>
      <c r="AB80" s="5">
        <f t="shared" si="37"/>
        <v>19</v>
      </c>
      <c r="AC80" s="5">
        <f t="shared" si="37"/>
        <v>20</v>
      </c>
      <c r="AD80" s="5">
        <f t="shared" si="37"/>
        <v>21</v>
      </c>
      <c r="AE80" s="5">
        <f t="shared" si="37"/>
        <v>22</v>
      </c>
      <c r="AF80" s="5">
        <f t="shared" si="37"/>
        <v>23</v>
      </c>
      <c r="AG80" s="5">
        <f t="shared" si="37"/>
        <v>24</v>
      </c>
      <c r="AH80" s="5">
        <f t="shared" si="37"/>
        <v>25</v>
      </c>
      <c r="AI80" s="5">
        <f t="shared" si="37"/>
        <v>26</v>
      </c>
      <c r="AJ80" s="5">
        <f t="shared" si="37"/>
        <v>27</v>
      </c>
      <c r="AK80" s="5">
        <f t="shared" si="37"/>
        <v>28</v>
      </c>
      <c r="AL80" s="5">
        <f t="shared" si="37"/>
        <v>29</v>
      </c>
      <c r="AM80" s="5">
        <f t="shared" si="37"/>
        <v>30</v>
      </c>
      <c r="AN80" s="5">
        <f t="shared" si="37"/>
        <v>31</v>
      </c>
      <c r="AO80" s="5">
        <f t="shared" si="37"/>
        <v>32</v>
      </c>
      <c r="AP80" s="5">
        <f t="shared" si="37"/>
        <v>33</v>
      </c>
      <c r="AQ80" s="5">
        <f t="shared" si="37"/>
        <v>34</v>
      </c>
      <c r="AR80" s="5">
        <f t="shared" si="37"/>
        <v>35</v>
      </c>
      <c r="AS80" s="5">
        <f t="shared" si="37"/>
        <v>36</v>
      </c>
      <c r="AT80" s="5">
        <f t="shared" si="37"/>
        <v>37</v>
      </c>
      <c r="AU80" s="5">
        <f t="shared" si="37"/>
        <v>38</v>
      </c>
      <c r="AV80" s="5">
        <f t="shared" si="37"/>
        <v>39</v>
      </c>
      <c r="AW80" s="5">
        <f t="shared" si="37"/>
        <v>40</v>
      </c>
      <c r="AX80" s="5">
        <f t="shared" si="37"/>
        <v>41</v>
      </c>
      <c r="AY80" s="5">
        <f t="shared" si="37"/>
        <v>42</v>
      </c>
      <c r="AZ80" s="5">
        <f t="shared" si="37"/>
        <v>43</v>
      </c>
      <c r="BA80" s="5">
        <f t="shared" si="37"/>
        <v>44</v>
      </c>
      <c r="BB80" s="5">
        <f t="shared" si="37"/>
        <v>45</v>
      </c>
      <c r="BC80" s="5">
        <f t="shared" si="37"/>
        <v>46</v>
      </c>
      <c r="BD80" s="5">
        <f t="shared" si="37"/>
        <v>47</v>
      </c>
      <c r="BE80" s="5">
        <f t="shared" si="37"/>
        <v>48</v>
      </c>
      <c r="BF80" s="5">
        <f t="shared" si="37"/>
        <v>49</v>
      </c>
      <c r="BG80" s="5">
        <f t="shared" si="37"/>
        <v>50</v>
      </c>
      <c r="BH80" s="5">
        <f t="shared" si="37"/>
        <v>51</v>
      </c>
      <c r="BI80" s="5">
        <f t="shared" si="37"/>
        <v>52</v>
      </c>
      <c r="BJ80" s="5">
        <f t="shared" si="37"/>
        <v>53</v>
      </c>
      <c r="BK80" s="5">
        <f t="shared" si="37"/>
        <v>54</v>
      </c>
      <c r="BL80" s="5">
        <f t="shared" si="37"/>
        <v>55</v>
      </c>
      <c r="BM80" s="5">
        <f t="shared" si="37"/>
        <v>56</v>
      </c>
      <c r="BN80" s="5">
        <f t="shared" si="37"/>
        <v>57</v>
      </c>
      <c r="BO80" s="5">
        <f t="shared" si="37"/>
        <v>58</v>
      </c>
      <c r="BP80" s="5">
        <f t="shared" si="37"/>
        <v>59</v>
      </c>
      <c r="BQ80" s="5">
        <f t="shared" si="37"/>
        <v>60</v>
      </c>
    </row>
    <row r="81" spans="1:69" outlineLevel="2">
      <c r="E81" s="5" t="str">
        <f t="shared" ref="E81:BQ81" si="38" xml:space="preserve">  E$331</f>
        <v>Month to Quarter : period end flag</v>
      </c>
      <c r="F81" s="5">
        <f t="shared" si="38"/>
        <v>0</v>
      </c>
      <c r="G81" s="5" t="str">
        <f t="shared" si="38"/>
        <v>counter</v>
      </c>
      <c r="H81" s="5">
        <f t="shared" si="38"/>
        <v>0</v>
      </c>
      <c r="I81" s="5">
        <f t="shared" si="38"/>
        <v>0</v>
      </c>
      <c r="J81" s="5">
        <f t="shared" si="38"/>
        <v>0</v>
      </c>
      <c r="K81" s="5">
        <f t="shared" si="38"/>
        <v>0</v>
      </c>
      <c r="L81" s="5">
        <f t="shared" si="38"/>
        <v>1</v>
      </c>
      <c r="M81" s="5">
        <f t="shared" si="38"/>
        <v>0</v>
      </c>
      <c r="N81" s="5">
        <f t="shared" si="38"/>
        <v>0</v>
      </c>
      <c r="O81" s="5">
        <f t="shared" si="38"/>
        <v>2</v>
      </c>
      <c r="P81" s="5">
        <f t="shared" si="38"/>
        <v>0</v>
      </c>
      <c r="Q81" s="5">
        <f t="shared" si="38"/>
        <v>0</v>
      </c>
      <c r="R81" s="5">
        <f t="shared" si="38"/>
        <v>3</v>
      </c>
      <c r="S81" s="5">
        <f t="shared" si="38"/>
        <v>0</v>
      </c>
      <c r="T81" s="5">
        <f t="shared" si="38"/>
        <v>0</v>
      </c>
      <c r="U81" s="5">
        <f t="shared" si="38"/>
        <v>4</v>
      </c>
      <c r="V81" s="5">
        <f t="shared" si="38"/>
        <v>0</v>
      </c>
      <c r="W81" s="5">
        <f t="shared" si="38"/>
        <v>0</v>
      </c>
      <c r="X81" s="5">
        <f t="shared" si="38"/>
        <v>5</v>
      </c>
      <c r="Y81" s="5">
        <f t="shared" si="38"/>
        <v>0</v>
      </c>
      <c r="Z81" s="5">
        <f t="shared" si="38"/>
        <v>0</v>
      </c>
      <c r="AA81" s="5">
        <f t="shared" si="38"/>
        <v>6</v>
      </c>
      <c r="AB81" s="5">
        <f t="shared" si="38"/>
        <v>0</v>
      </c>
      <c r="AC81" s="5">
        <f t="shared" si="38"/>
        <v>0</v>
      </c>
      <c r="AD81" s="5">
        <f t="shared" si="38"/>
        <v>7</v>
      </c>
      <c r="AE81" s="5">
        <f t="shared" si="38"/>
        <v>0</v>
      </c>
      <c r="AF81" s="5">
        <f t="shared" si="38"/>
        <v>0</v>
      </c>
      <c r="AG81" s="5">
        <f t="shared" si="38"/>
        <v>8</v>
      </c>
      <c r="AH81" s="5">
        <f t="shared" si="38"/>
        <v>0</v>
      </c>
      <c r="AI81" s="5">
        <f t="shared" si="38"/>
        <v>0</v>
      </c>
      <c r="AJ81" s="5">
        <f t="shared" si="38"/>
        <v>9</v>
      </c>
      <c r="AK81" s="5">
        <f t="shared" si="38"/>
        <v>0</v>
      </c>
      <c r="AL81" s="5">
        <f t="shared" si="38"/>
        <v>0</v>
      </c>
      <c r="AM81" s="5">
        <f t="shared" si="38"/>
        <v>10</v>
      </c>
      <c r="AN81" s="5">
        <f t="shared" si="38"/>
        <v>0</v>
      </c>
      <c r="AO81" s="5">
        <f t="shared" si="38"/>
        <v>0</v>
      </c>
      <c r="AP81" s="5">
        <f t="shared" si="38"/>
        <v>11</v>
      </c>
      <c r="AQ81" s="5">
        <f t="shared" si="38"/>
        <v>0</v>
      </c>
      <c r="AR81" s="5">
        <f t="shared" si="38"/>
        <v>0</v>
      </c>
      <c r="AS81" s="5">
        <f t="shared" si="38"/>
        <v>12</v>
      </c>
      <c r="AT81" s="5">
        <f t="shared" si="38"/>
        <v>0</v>
      </c>
      <c r="AU81" s="5">
        <f t="shared" si="38"/>
        <v>0</v>
      </c>
      <c r="AV81" s="5">
        <f t="shared" si="38"/>
        <v>13</v>
      </c>
      <c r="AW81" s="5">
        <f t="shared" si="38"/>
        <v>0</v>
      </c>
      <c r="AX81" s="5">
        <f t="shared" si="38"/>
        <v>0</v>
      </c>
      <c r="AY81" s="5">
        <f t="shared" si="38"/>
        <v>14</v>
      </c>
      <c r="AZ81" s="5">
        <f t="shared" si="38"/>
        <v>0</v>
      </c>
      <c r="BA81" s="5">
        <f t="shared" si="38"/>
        <v>0</v>
      </c>
      <c r="BB81" s="5">
        <f t="shared" si="38"/>
        <v>15</v>
      </c>
      <c r="BC81" s="5">
        <f t="shared" si="38"/>
        <v>0</v>
      </c>
      <c r="BD81" s="5">
        <f t="shared" si="38"/>
        <v>0</v>
      </c>
      <c r="BE81" s="5">
        <f t="shared" si="38"/>
        <v>16</v>
      </c>
      <c r="BF81" s="5">
        <f t="shared" si="38"/>
        <v>0</v>
      </c>
      <c r="BG81" s="5">
        <f t="shared" si="38"/>
        <v>0</v>
      </c>
      <c r="BH81" s="5">
        <f t="shared" si="38"/>
        <v>17</v>
      </c>
      <c r="BI81" s="5">
        <f t="shared" si="38"/>
        <v>0</v>
      </c>
      <c r="BJ81" s="5">
        <f t="shared" si="38"/>
        <v>0</v>
      </c>
      <c r="BK81" s="5">
        <f t="shared" si="38"/>
        <v>18</v>
      </c>
      <c r="BL81" s="5">
        <f t="shared" si="38"/>
        <v>0</v>
      </c>
      <c r="BM81" s="5">
        <f t="shared" si="38"/>
        <v>0</v>
      </c>
      <c r="BN81" s="5">
        <f t="shared" si="38"/>
        <v>19</v>
      </c>
      <c r="BO81" s="5">
        <f t="shared" si="38"/>
        <v>0</v>
      </c>
      <c r="BP81" s="5">
        <f t="shared" si="38"/>
        <v>0</v>
      </c>
      <c r="BQ81" s="5">
        <f t="shared" si="38"/>
        <v>20</v>
      </c>
    </row>
    <row r="82" spans="1:69" outlineLevel="2">
      <c r="A82" s="36"/>
      <c r="B82" s="36"/>
      <c r="C82" s="65"/>
      <c r="D82" s="64"/>
      <c r="E82" s="21" t="s">
        <v>165</v>
      </c>
      <c r="F82" s="21"/>
      <c r="G82" s="21" t="s">
        <v>252</v>
      </c>
      <c r="H82" s="3" t="e">
        <f xml:space="preserve"> SUM( J82:BQ82 )</f>
        <v>#N/A</v>
      </c>
      <c r="I82" s="21"/>
      <c r="J82" s="3" t="str">
        <f t="shared" ref="J82:BQ82" si="39" xml:space="preserve">  INDEX( $J79:$BQ79, MATCH( J80, $J81:$BQ81, 0 ) )</f>
        <v>Month3</v>
      </c>
      <c r="K82" s="3" t="str">
        <f t="shared" si="39"/>
        <v>Month6</v>
      </c>
      <c r="L82" s="3" t="str">
        <f t="shared" si="39"/>
        <v>Month9</v>
      </c>
      <c r="M82" s="3" t="str">
        <f t="shared" si="39"/>
        <v>Month12</v>
      </c>
      <c r="N82" s="3" t="str">
        <f t="shared" si="39"/>
        <v>Month15</v>
      </c>
      <c r="O82" s="3" t="str">
        <f t="shared" si="39"/>
        <v>Month18</v>
      </c>
      <c r="P82" s="3" t="str">
        <f t="shared" si="39"/>
        <v>Month21</v>
      </c>
      <c r="Q82" s="3" t="str">
        <f t="shared" si="39"/>
        <v>Month24</v>
      </c>
      <c r="R82" s="3" t="str">
        <f t="shared" si="39"/>
        <v>Month27</v>
      </c>
      <c r="S82" s="3" t="str">
        <f t="shared" si="39"/>
        <v>Month30</v>
      </c>
      <c r="T82" s="3" t="str">
        <f t="shared" si="39"/>
        <v>Month33</v>
      </c>
      <c r="U82" s="3" t="str">
        <f t="shared" si="39"/>
        <v>Month36</v>
      </c>
      <c r="V82" s="3" t="str">
        <f t="shared" si="39"/>
        <v>Month39</v>
      </c>
      <c r="W82" s="3" t="str">
        <f t="shared" si="39"/>
        <v>Month42</v>
      </c>
      <c r="X82" s="3" t="str">
        <f t="shared" si="39"/>
        <v>Month45</v>
      </c>
      <c r="Y82" s="3" t="str">
        <f t="shared" si="39"/>
        <v>Month48</v>
      </c>
      <c r="Z82" s="3" t="str">
        <f t="shared" si="39"/>
        <v>Month51</v>
      </c>
      <c r="AA82" s="3" t="str">
        <f t="shared" si="39"/>
        <v>Month54</v>
      </c>
      <c r="AB82" s="3" t="str">
        <f t="shared" si="39"/>
        <v>Month57</v>
      </c>
      <c r="AC82" s="3" t="str">
        <f t="shared" si="39"/>
        <v>Month60</v>
      </c>
      <c r="AD82" s="3" t="e">
        <f t="shared" si="39"/>
        <v>#N/A</v>
      </c>
      <c r="AE82" s="3" t="e">
        <f t="shared" si="39"/>
        <v>#N/A</v>
      </c>
      <c r="AF82" s="3" t="e">
        <f t="shared" si="39"/>
        <v>#N/A</v>
      </c>
      <c r="AG82" s="3" t="e">
        <f t="shared" si="39"/>
        <v>#N/A</v>
      </c>
      <c r="AH82" s="3" t="e">
        <f t="shared" si="39"/>
        <v>#N/A</v>
      </c>
      <c r="AI82" s="3" t="e">
        <f t="shared" si="39"/>
        <v>#N/A</v>
      </c>
      <c r="AJ82" s="3" t="e">
        <f t="shared" si="39"/>
        <v>#N/A</v>
      </c>
      <c r="AK82" s="3" t="e">
        <f t="shared" si="39"/>
        <v>#N/A</v>
      </c>
      <c r="AL82" s="3" t="e">
        <f t="shared" si="39"/>
        <v>#N/A</v>
      </c>
      <c r="AM82" s="3" t="e">
        <f t="shared" si="39"/>
        <v>#N/A</v>
      </c>
      <c r="AN82" s="3" t="e">
        <f t="shared" si="39"/>
        <v>#N/A</v>
      </c>
      <c r="AO82" s="3" t="e">
        <f t="shared" si="39"/>
        <v>#N/A</v>
      </c>
      <c r="AP82" s="3" t="e">
        <f t="shared" si="39"/>
        <v>#N/A</v>
      </c>
      <c r="AQ82" s="3" t="e">
        <f t="shared" si="39"/>
        <v>#N/A</v>
      </c>
      <c r="AR82" s="3" t="e">
        <f t="shared" si="39"/>
        <v>#N/A</v>
      </c>
      <c r="AS82" s="3" t="e">
        <f t="shared" si="39"/>
        <v>#N/A</v>
      </c>
      <c r="AT82" s="3" t="e">
        <f t="shared" si="39"/>
        <v>#N/A</v>
      </c>
      <c r="AU82" s="3" t="e">
        <f t="shared" si="39"/>
        <v>#N/A</v>
      </c>
      <c r="AV82" s="3" t="e">
        <f t="shared" si="39"/>
        <v>#N/A</v>
      </c>
      <c r="AW82" s="3" t="e">
        <f t="shared" si="39"/>
        <v>#N/A</v>
      </c>
      <c r="AX82" s="3" t="e">
        <f t="shared" si="39"/>
        <v>#N/A</v>
      </c>
      <c r="AY82" s="3" t="e">
        <f t="shared" si="39"/>
        <v>#N/A</v>
      </c>
      <c r="AZ82" s="3" t="e">
        <f t="shared" si="39"/>
        <v>#N/A</v>
      </c>
      <c r="BA82" s="3" t="e">
        <f t="shared" si="39"/>
        <v>#N/A</v>
      </c>
      <c r="BB82" s="3" t="e">
        <f t="shared" si="39"/>
        <v>#N/A</v>
      </c>
      <c r="BC82" s="3" t="e">
        <f t="shared" si="39"/>
        <v>#N/A</v>
      </c>
      <c r="BD82" s="3" t="e">
        <f t="shared" si="39"/>
        <v>#N/A</v>
      </c>
      <c r="BE82" s="3" t="e">
        <f t="shared" si="39"/>
        <v>#N/A</v>
      </c>
      <c r="BF82" s="3" t="e">
        <f t="shared" si="39"/>
        <v>#N/A</v>
      </c>
      <c r="BG82" s="3" t="e">
        <f t="shared" si="39"/>
        <v>#N/A</v>
      </c>
      <c r="BH82" s="3" t="e">
        <f t="shared" si="39"/>
        <v>#N/A</v>
      </c>
      <c r="BI82" s="3" t="e">
        <f t="shared" si="39"/>
        <v>#N/A</v>
      </c>
      <c r="BJ82" s="3" t="e">
        <f t="shared" si="39"/>
        <v>#N/A</v>
      </c>
      <c r="BK82" s="3" t="e">
        <f t="shared" si="39"/>
        <v>#N/A</v>
      </c>
      <c r="BL82" s="3" t="e">
        <f t="shared" si="39"/>
        <v>#N/A</v>
      </c>
      <c r="BM82" s="3" t="e">
        <f t="shared" si="39"/>
        <v>#N/A</v>
      </c>
      <c r="BN82" s="3" t="e">
        <f t="shared" si="39"/>
        <v>#N/A</v>
      </c>
      <c r="BO82" s="3" t="e">
        <f t="shared" si="39"/>
        <v>#N/A</v>
      </c>
      <c r="BP82" s="3" t="e">
        <f t="shared" si="39"/>
        <v>#N/A</v>
      </c>
      <c r="BQ82" s="3" t="e">
        <f t="shared" si="39"/>
        <v>#N/A</v>
      </c>
    </row>
    <row r="83" spans="1:69" outlineLevel="1"/>
    <row r="84" spans="1:69" outlineLevel="1"/>
    <row r="85" spans="1:69" outlineLevel="1">
      <c r="B85" s="27" t="s">
        <v>334</v>
      </c>
    </row>
    <row r="86" spans="1:69" outlineLevel="2">
      <c r="E86" s="5" t="str">
        <f t="shared" ref="E86:BQ86" si="40" xml:space="preserve">  E$28</f>
        <v>Period number</v>
      </c>
      <c r="F86" s="5">
        <f t="shared" si="40"/>
        <v>0</v>
      </c>
      <c r="G86" s="5" t="str">
        <f t="shared" si="40"/>
        <v>Counter</v>
      </c>
      <c r="H86" s="5">
        <f t="shared" si="40"/>
        <v>0</v>
      </c>
      <c r="I86" s="5">
        <f t="shared" si="40"/>
        <v>0</v>
      </c>
      <c r="J86" s="5">
        <f t="shared" si="40"/>
        <v>1</v>
      </c>
      <c r="K86" s="5">
        <f t="shared" si="40"/>
        <v>2</v>
      </c>
      <c r="L86" s="5">
        <f t="shared" si="40"/>
        <v>3</v>
      </c>
      <c r="M86" s="5">
        <f t="shared" si="40"/>
        <v>4</v>
      </c>
      <c r="N86" s="5">
        <f t="shared" si="40"/>
        <v>5</v>
      </c>
      <c r="O86" s="5">
        <f t="shared" si="40"/>
        <v>6</v>
      </c>
      <c r="P86" s="5">
        <f t="shared" si="40"/>
        <v>7</v>
      </c>
      <c r="Q86" s="5">
        <f t="shared" si="40"/>
        <v>8</v>
      </c>
      <c r="R86" s="5">
        <f t="shared" si="40"/>
        <v>9</v>
      </c>
      <c r="S86" s="5">
        <f t="shared" si="40"/>
        <v>10</v>
      </c>
      <c r="T86" s="5">
        <f t="shared" si="40"/>
        <v>11</v>
      </c>
      <c r="U86" s="5">
        <f t="shared" si="40"/>
        <v>12</v>
      </c>
      <c r="V86" s="5">
        <f t="shared" si="40"/>
        <v>13</v>
      </c>
      <c r="W86" s="5">
        <f t="shared" si="40"/>
        <v>14</v>
      </c>
      <c r="X86" s="5">
        <f t="shared" si="40"/>
        <v>15</v>
      </c>
      <c r="Y86" s="5">
        <f t="shared" si="40"/>
        <v>16</v>
      </c>
      <c r="Z86" s="5">
        <f t="shared" si="40"/>
        <v>17</v>
      </c>
      <c r="AA86" s="5">
        <f t="shared" si="40"/>
        <v>18</v>
      </c>
      <c r="AB86" s="5">
        <f t="shared" si="40"/>
        <v>19</v>
      </c>
      <c r="AC86" s="5">
        <f t="shared" si="40"/>
        <v>20</v>
      </c>
      <c r="AD86" s="5">
        <f t="shared" si="40"/>
        <v>21</v>
      </c>
      <c r="AE86" s="5">
        <f t="shared" si="40"/>
        <v>22</v>
      </c>
      <c r="AF86" s="5">
        <f t="shared" si="40"/>
        <v>23</v>
      </c>
      <c r="AG86" s="5">
        <f t="shared" si="40"/>
        <v>24</v>
      </c>
      <c r="AH86" s="5">
        <f t="shared" si="40"/>
        <v>25</v>
      </c>
      <c r="AI86" s="5">
        <f t="shared" si="40"/>
        <v>26</v>
      </c>
      <c r="AJ86" s="5">
        <f t="shared" si="40"/>
        <v>27</v>
      </c>
      <c r="AK86" s="5">
        <f t="shared" si="40"/>
        <v>28</v>
      </c>
      <c r="AL86" s="5">
        <f t="shared" si="40"/>
        <v>29</v>
      </c>
      <c r="AM86" s="5">
        <f t="shared" si="40"/>
        <v>30</v>
      </c>
      <c r="AN86" s="5">
        <f t="shared" si="40"/>
        <v>31</v>
      </c>
      <c r="AO86" s="5">
        <f t="shared" si="40"/>
        <v>32</v>
      </c>
      <c r="AP86" s="5">
        <f t="shared" si="40"/>
        <v>33</v>
      </c>
      <c r="AQ86" s="5">
        <f t="shared" si="40"/>
        <v>34</v>
      </c>
      <c r="AR86" s="5">
        <f t="shared" si="40"/>
        <v>35</v>
      </c>
      <c r="AS86" s="5">
        <f t="shared" si="40"/>
        <v>36</v>
      </c>
      <c r="AT86" s="5">
        <f t="shared" si="40"/>
        <v>37</v>
      </c>
      <c r="AU86" s="5">
        <f t="shared" si="40"/>
        <v>38</v>
      </c>
      <c r="AV86" s="5">
        <f t="shared" si="40"/>
        <v>39</v>
      </c>
      <c r="AW86" s="5">
        <f t="shared" si="40"/>
        <v>40</v>
      </c>
      <c r="AX86" s="5">
        <f t="shared" si="40"/>
        <v>41</v>
      </c>
      <c r="AY86" s="5">
        <f t="shared" si="40"/>
        <v>42</v>
      </c>
      <c r="AZ86" s="5">
        <f t="shared" si="40"/>
        <v>43</v>
      </c>
      <c r="BA86" s="5">
        <f t="shared" si="40"/>
        <v>44</v>
      </c>
      <c r="BB86" s="5">
        <f t="shared" si="40"/>
        <v>45</v>
      </c>
      <c r="BC86" s="5">
        <f t="shared" si="40"/>
        <v>46</v>
      </c>
      <c r="BD86" s="5">
        <f t="shared" si="40"/>
        <v>47</v>
      </c>
      <c r="BE86" s="5">
        <f t="shared" si="40"/>
        <v>48</v>
      </c>
      <c r="BF86" s="5">
        <f t="shared" si="40"/>
        <v>49</v>
      </c>
      <c r="BG86" s="5">
        <f t="shared" si="40"/>
        <v>50</v>
      </c>
      <c r="BH86" s="5">
        <f t="shared" si="40"/>
        <v>51</v>
      </c>
      <c r="BI86" s="5">
        <f t="shared" si="40"/>
        <v>52</v>
      </c>
      <c r="BJ86" s="5">
        <f t="shared" si="40"/>
        <v>53</v>
      </c>
      <c r="BK86" s="5">
        <f t="shared" si="40"/>
        <v>54</v>
      </c>
      <c r="BL86" s="5">
        <f t="shared" si="40"/>
        <v>55</v>
      </c>
      <c r="BM86" s="5">
        <f t="shared" si="40"/>
        <v>56</v>
      </c>
      <c r="BN86" s="5">
        <f t="shared" si="40"/>
        <v>57</v>
      </c>
      <c r="BO86" s="5">
        <f t="shared" si="40"/>
        <v>58</v>
      </c>
      <c r="BP86" s="5">
        <f t="shared" si="40"/>
        <v>59</v>
      </c>
      <c r="BQ86" s="5">
        <f t="shared" si="40"/>
        <v>60</v>
      </c>
    </row>
    <row r="87" spans="1:69" outlineLevel="2">
      <c r="E87" s="5" t="str">
        <f t="shared" ref="E87:BQ87" si="41" xml:space="preserve">  E$331</f>
        <v>Month to Quarter : period end flag</v>
      </c>
      <c r="F87" s="5">
        <f t="shared" si="41"/>
        <v>0</v>
      </c>
      <c r="G87" s="5" t="str">
        <f t="shared" si="41"/>
        <v>counter</v>
      </c>
      <c r="H87" s="5">
        <f t="shared" si="41"/>
        <v>0</v>
      </c>
      <c r="I87" s="5">
        <f t="shared" si="41"/>
        <v>0</v>
      </c>
      <c r="J87" s="5">
        <f t="shared" si="41"/>
        <v>0</v>
      </c>
      <c r="K87" s="5">
        <f t="shared" si="41"/>
        <v>0</v>
      </c>
      <c r="L87" s="5">
        <f t="shared" si="41"/>
        <v>1</v>
      </c>
      <c r="M87" s="5">
        <f t="shared" si="41"/>
        <v>0</v>
      </c>
      <c r="N87" s="5">
        <f t="shared" si="41"/>
        <v>0</v>
      </c>
      <c r="O87" s="5">
        <f t="shared" si="41"/>
        <v>2</v>
      </c>
      <c r="P87" s="5">
        <f t="shared" si="41"/>
        <v>0</v>
      </c>
      <c r="Q87" s="5">
        <f t="shared" si="41"/>
        <v>0</v>
      </c>
      <c r="R87" s="5">
        <f t="shared" si="41"/>
        <v>3</v>
      </c>
      <c r="S87" s="5">
        <f t="shared" si="41"/>
        <v>0</v>
      </c>
      <c r="T87" s="5">
        <f t="shared" si="41"/>
        <v>0</v>
      </c>
      <c r="U87" s="5">
        <f t="shared" si="41"/>
        <v>4</v>
      </c>
      <c r="V87" s="5">
        <f t="shared" si="41"/>
        <v>0</v>
      </c>
      <c r="W87" s="5">
        <f t="shared" si="41"/>
        <v>0</v>
      </c>
      <c r="X87" s="5">
        <f t="shared" si="41"/>
        <v>5</v>
      </c>
      <c r="Y87" s="5">
        <f t="shared" si="41"/>
        <v>0</v>
      </c>
      <c r="Z87" s="5">
        <f t="shared" si="41"/>
        <v>0</v>
      </c>
      <c r="AA87" s="5">
        <f t="shared" si="41"/>
        <v>6</v>
      </c>
      <c r="AB87" s="5">
        <f t="shared" si="41"/>
        <v>0</v>
      </c>
      <c r="AC87" s="5">
        <f t="shared" si="41"/>
        <v>0</v>
      </c>
      <c r="AD87" s="5">
        <f t="shared" si="41"/>
        <v>7</v>
      </c>
      <c r="AE87" s="5">
        <f t="shared" si="41"/>
        <v>0</v>
      </c>
      <c r="AF87" s="5">
        <f t="shared" si="41"/>
        <v>0</v>
      </c>
      <c r="AG87" s="5">
        <f t="shared" si="41"/>
        <v>8</v>
      </c>
      <c r="AH87" s="5">
        <f t="shared" si="41"/>
        <v>0</v>
      </c>
      <c r="AI87" s="5">
        <f t="shared" si="41"/>
        <v>0</v>
      </c>
      <c r="AJ87" s="5">
        <f t="shared" si="41"/>
        <v>9</v>
      </c>
      <c r="AK87" s="5">
        <f t="shared" si="41"/>
        <v>0</v>
      </c>
      <c r="AL87" s="5">
        <f t="shared" si="41"/>
        <v>0</v>
      </c>
      <c r="AM87" s="5">
        <f t="shared" si="41"/>
        <v>10</v>
      </c>
      <c r="AN87" s="5">
        <f t="shared" si="41"/>
        <v>0</v>
      </c>
      <c r="AO87" s="5">
        <f t="shared" si="41"/>
        <v>0</v>
      </c>
      <c r="AP87" s="5">
        <f t="shared" si="41"/>
        <v>11</v>
      </c>
      <c r="AQ87" s="5">
        <f t="shared" si="41"/>
        <v>0</v>
      </c>
      <c r="AR87" s="5">
        <f t="shared" si="41"/>
        <v>0</v>
      </c>
      <c r="AS87" s="5">
        <f t="shared" si="41"/>
        <v>12</v>
      </c>
      <c r="AT87" s="5">
        <f t="shared" si="41"/>
        <v>0</v>
      </c>
      <c r="AU87" s="5">
        <f t="shared" si="41"/>
        <v>0</v>
      </c>
      <c r="AV87" s="5">
        <f t="shared" si="41"/>
        <v>13</v>
      </c>
      <c r="AW87" s="5">
        <f t="shared" si="41"/>
        <v>0</v>
      </c>
      <c r="AX87" s="5">
        <f t="shared" si="41"/>
        <v>0</v>
      </c>
      <c r="AY87" s="5">
        <f t="shared" si="41"/>
        <v>14</v>
      </c>
      <c r="AZ87" s="5">
        <f t="shared" si="41"/>
        <v>0</v>
      </c>
      <c r="BA87" s="5">
        <f t="shared" si="41"/>
        <v>0</v>
      </c>
      <c r="BB87" s="5">
        <f t="shared" si="41"/>
        <v>15</v>
      </c>
      <c r="BC87" s="5">
        <f t="shared" si="41"/>
        <v>0</v>
      </c>
      <c r="BD87" s="5">
        <f t="shared" si="41"/>
        <v>0</v>
      </c>
      <c r="BE87" s="5">
        <f t="shared" si="41"/>
        <v>16</v>
      </c>
      <c r="BF87" s="5">
        <f t="shared" si="41"/>
        <v>0</v>
      </c>
      <c r="BG87" s="5">
        <f t="shared" si="41"/>
        <v>0</v>
      </c>
      <c r="BH87" s="5">
        <f t="shared" si="41"/>
        <v>17</v>
      </c>
      <c r="BI87" s="5">
        <f t="shared" si="41"/>
        <v>0</v>
      </c>
      <c r="BJ87" s="5">
        <f t="shared" si="41"/>
        <v>0</v>
      </c>
      <c r="BK87" s="5">
        <f t="shared" si="41"/>
        <v>18</v>
      </c>
      <c r="BL87" s="5">
        <f t="shared" si="41"/>
        <v>0</v>
      </c>
      <c r="BM87" s="5">
        <f t="shared" si="41"/>
        <v>0</v>
      </c>
      <c r="BN87" s="5">
        <f t="shared" si="41"/>
        <v>19</v>
      </c>
      <c r="BO87" s="5">
        <f t="shared" si="41"/>
        <v>0</v>
      </c>
      <c r="BP87" s="5">
        <f t="shared" si="41"/>
        <v>0</v>
      </c>
      <c r="BQ87" s="5">
        <f t="shared" si="41"/>
        <v>20</v>
      </c>
    </row>
    <row r="88" spans="1:69" outlineLevel="2">
      <c r="A88" s="36"/>
      <c r="B88" s="36"/>
      <c r="C88" s="65"/>
      <c r="D88" s="64"/>
      <c r="E88" s="21" t="s">
        <v>334</v>
      </c>
      <c r="F88" s="21"/>
      <c r="G88" s="21" t="s">
        <v>279</v>
      </c>
      <c r="H88" s="21"/>
      <c r="I88" s="21"/>
      <c r="J88" s="14">
        <f t="shared" ref="J88:BQ88" si="42" xml:space="preserve">  INDEX( $J86:$BQ86, MATCH( J86, $J87:$BQ87, 0 ) )</f>
        <v>3</v>
      </c>
      <c r="K88" s="14">
        <f t="shared" si="42"/>
        <v>6</v>
      </c>
      <c r="L88" s="14">
        <f t="shared" si="42"/>
        <v>9</v>
      </c>
      <c r="M88" s="14">
        <f t="shared" si="42"/>
        <v>12</v>
      </c>
      <c r="N88" s="14">
        <f t="shared" si="42"/>
        <v>15</v>
      </c>
      <c r="O88" s="14">
        <f t="shared" si="42"/>
        <v>18</v>
      </c>
      <c r="P88" s="14">
        <f t="shared" si="42"/>
        <v>21</v>
      </c>
      <c r="Q88" s="14">
        <f t="shared" si="42"/>
        <v>24</v>
      </c>
      <c r="R88" s="14">
        <f t="shared" si="42"/>
        <v>27</v>
      </c>
      <c r="S88" s="14">
        <f t="shared" si="42"/>
        <v>30</v>
      </c>
      <c r="T88" s="14">
        <f t="shared" si="42"/>
        <v>33</v>
      </c>
      <c r="U88" s="14">
        <f t="shared" si="42"/>
        <v>36</v>
      </c>
      <c r="V88" s="14">
        <f t="shared" si="42"/>
        <v>39</v>
      </c>
      <c r="W88" s="14">
        <f t="shared" si="42"/>
        <v>42</v>
      </c>
      <c r="X88" s="14">
        <f t="shared" si="42"/>
        <v>45</v>
      </c>
      <c r="Y88" s="14">
        <f t="shared" si="42"/>
        <v>48</v>
      </c>
      <c r="Z88" s="14">
        <f t="shared" si="42"/>
        <v>51</v>
      </c>
      <c r="AA88" s="14">
        <f t="shared" si="42"/>
        <v>54</v>
      </c>
      <c r="AB88" s="14">
        <f t="shared" si="42"/>
        <v>57</v>
      </c>
      <c r="AC88" s="14">
        <f t="shared" si="42"/>
        <v>60</v>
      </c>
      <c r="AD88" s="14" t="e">
        <f t="shared" si="42"/>
        <v>#N/A</v>
      </c>
      <c r="AE88" s="14" t="e">
        <f t="shared" si="42"/>
        <v>#N/A</v>
      </c>
      <c r="AF88" s="14" t="e">
        <f t="shared" si="42"/>
        <v>#N/A</v>
      </c>
      <c r="AG88" s="14" t="e">
        <f t="shared" si="42"/>
        <v>#N/A</v>
      </c>
      <c r="AH88" s="14" t="e">
        <f t="shared" si="42"/>
        <v>#N/A</v>
      </c>
      <c r="AI88" s="14" t="e">
        <f t="shared" si="42"/>
        <v>#N/A</v>
      </c>
      <c r="AJ88" s="14" t="e">
        <f t="shared" si="42"/>
        <v>#N/A</v>
      </c>
      <c r="AK88" s="14" t="e">
        <f t="shared" si="42"/>
        <v>#N/A</v>
      </c>
      <c r="AL88" s="14" t="e">
        <f t="shared" si="42"/>
        <v>#N/A</v>
      </c>
      <c r="AM88" s="14" t="e">
        <f t="shared" si="42"/>
        <v>#N/A</v>
      </c>
      <c r="AN88" s="14" t="e">
        <f t="shared" si="42"/>
        <v>#N/A</v>
      </c>
      <c r="AO88" s="14" t="e">
        <f t="shared" si="42"/>
        <v>#N/A</v>
      </c>
      <c r="AP88" s="14" t="e">
        <f t="shared" si="42"/>
        <v>#N/A</v>
      </c>
      <c r="AQ88" s="14" t="e">
        <f t="shared" si="42"/>
        <v>#N/A</v>
      </c>
      <c r="AR88" s="14" t="e">
        <f t="shared" si="42"/>
        <v>#N/A</v>
      </c>
      <c r="AS88" s="14" t="e">
        <f t="shared" si="42"/>
        <v>#N/A</v>
      </c>
      <c r="AT88" s="14" t="e">
        <f t="shared" si="42"/>
        <v>#N/A</v>
      </c>
      <c r="AU88" s="14" t="e">
        <f t="shared" si="42"/>
        <v>#N/A</v>
      </c>
      <c r="AV88" s="14" t="e">
        <f t="shared" si="42"/>
        <v>#N/A</v>
      </c>
      <c r="AW88" s="14" t="e">
        <f t="shared" si="42"/>
        <v>#N/A</v>
      </c>
      <c r="AX88" s="14" t="e">
        <f t="shared" si="42"/>
        <v>#N/A</v>
      </c>
      <c r="AY88" s="14" t="e">
        <f t="shared" si="42"/>
        <v>#N/A</v>
      </c>
      <c r="AZ88" s="14" t="e">
        <f t="shared" si="42"/>
        <v>#N/A</v>
      </c>
      <c r="BA88" s="14" t="e">
        <f t="shared" si="42"/>
        <v>#N/A</v>
      </c>
      <c r="BB88" s="14" t="e">
        <f t="shared" si="42"/>
        <v>#N/A</v>
      </c>
      <c r="BC88" s="14" t="e">
        <f t="shared" si="42"/>
        <v>#N/A</v>
      </c>
      <c r="BD88" s="14" t="e">
        <f t="shared" si="42"/>
        <v>#N/A</v>
      </c>
      <c r="BE88" s="14" t="e">
        <f t="shared" si="42"/>
        <v>#N/A</v>
      </c>
      <c r="BF88" s="14" t="e">
        <f t="shared" si="42"/>
        <v>#N/A</v>
      </c>
      <c r="BG88" s="14" t="e">
        <f t="shared" si="42"/>
        <v>#N/A</v>
      </c>
      <c r="BH88" s="14" t="e">
        <f t="shared" si="42"/>
        <v>#N/A</v>
      </c>
      <c r="BI88" s="14" t="e">
        <f t="shared" si="42"/>
        <v>#N/A</v>
      </c>
      <c r="BJ88" s="14" t="e">
        <f t="shared" si="42"/>
        <v>#N/A</v>
      </c>
      <c r="BK88" s="14" t="e">
        <f t="shared" si="42"/>
        <v>#N/A</v>
      </c>
      <c r="BL88" s="14" t="e">
        <f t="shared" si="42"/>
        <v>#N/A</v>
      </c>
      <c r="BM88" s="14" t="e">
        <f t="shared" si="42"/>
        <v>#N/A</v>
      </c>
      <c r="BN88" s="14" t="e">
        <f t="shared" si="42"/>
        <v>#N/A</v>
      </c>
      <c r="BO88" s="14" t="e">
        <f t="shared" si="42"/>
        <v>#N/A</v>
      </c>
      <c r="BP88" s="14" t="e">
        <f t="shared" si="42"/>
        <v>#N/A</v>
      </c>
      <c r="BQ88" s="14" t="e">
        <f t="shared" si="42"/>
        <v>#N/A</v>
      </c>
    </row>
    <row r="89" spans="1:69" outlineLevel="1"/>
    <row r="90" spans="1:69" outlineLevel="1"/>
    <row r="91" spans="1:69" outlineLevel="1">
      <c r="B91" s="27" t="s">
        <v>191</v>
      </c>
    </row>
    <row r="92" spans="1:69" outlineLevel="2">
      <c r="E92" s="8" t="str">
        <f t="shared" ref="E92:BQ92" si="43" xml:space="preserve">  E$19</f>
        <v>Model period end</v>
      </c>
      <c r="F92" s="8">
        <f t="shared" si="43"/>
        <v>0</v>
      </c>
      <c r="G92" s="8" t="str">
        <f t="shared" si="43"/>
        <v>date</v>
      </c>
      <c r="H92" s="8">
        <f t="shared" si="43"/>
        <v>0</v>
      </c>
      <c r="I92" s="8">
        <f t="shared" si="43"/>
        <v>0</v>
      </c>
      <c r="J92" s="8">
        <f t="shared" si="43"/>
        <v>45077</v>
      </c>
      <c r="K92" s="8">
        <f t="shared" si="43"/>
        <v>45107</v>
      </c>
      <c r="L92" s="8">
        <f t="shared" si="43"/>
        <v>45138</v>
      </c>
      <c r="M92" s="8">
        <f t="shared" si="43"/>
        <v>45169</v>
      </c>
      <c r="N92" s="8">
        <f t="shared" si="43"/>
        <v>45199</v>
      </c>
      <c r="O92" s="8">
        <f t="shared" si="43"/>
        <v>45230</v>
      </c>
      <c r="P92" s="8">
        <f t="shared" si="43"/>
        <v>45260</v>
      </c>
      <c r="Q92" s="8">
        <f t="shared" si="43"/>
        <v>45291</v>
      </c>
      <c r="R92" s="8">
        <f t="shared" si="43"/>
        <v>45322</v>
      </c>
      <c r="S92" s="8">
        <f t="shared" si="43"/>
        <v>45351</v>
      </c>
      <c r="T92" s="8">
        <f t="shared" si="43"/>
        <v>45382</v>
      </c>
      <c r="U92" s="8">
        <f t="shared" si="43"/>
        <v>45412</v>
      </c>
      <c r="V92" s="8">
        <f t="shared" si="43"/>
        <v>45443</v>
      </c>
      <c r="W92" s="8">
        <f t="shared" si="43"/>
        <v>45473</v>
      </c>
      <c r="X92" s="8">
        <f t="shared" si="43"/>
        <v>45504</v>
      </c>
      <c r="Y92" s="8">
        <f t="shared" si="43"/>
        <v>45535</v>
      </c>
      <c r="Z92" s="8">
        <f t="shared" si="43"/>
        <v>45565</v>
      </c>
      <c r="AA92" s="8">
        <f t="shared" si="43"/>
        <v>45596</v>
      </c>
      <c r="AB92" s="8">
        <f t="shared" si="43"/>
        <v>45626</v>
      </c>
      <c r="AC92" s="8">
        <f t="shared" si="43"/>
        <v>45657</v>
      </c>
      <c r="AD92" s="8">
        <f t="shared" si="43"/>
        <v>45688</v>
      </c>
      <c r="AE92" s="8">
        <f t="shared" si="43"/>
        <v>45716</v>
      </c>
      <c r="AF92" s="8">
        <f t="shared" si="43"/>
        <v>45747</v>
      </c>
      <c r="AG92" s="8">
        <f t="shared" si="43"/>
        <v>45777</v>
      </c>
      <c r="AH92" s="8">
        <f t="shared" si="43"/>
        <v>45808</v>
      </c>
      <c r="AI92" s="8">
        <f t="shared" si="43"/>
        <v>45838</v>
      </c>
      <c r="AJ92" s="8">
        <f t="shared" si="43"/>
        <v>45869</v>
      </c>
      <c r="AK92" s="8">
        <f t="shared" si="43"/>
        <v>45900</v>
      </c>
      <c r="AL92" s="8">
        <f t="shared" si="43"/>
        <v>45930</v>
      </c>
      <c r="AM92" s="8">
        <f t="shared" si="43"/>
        <v>45961</v>
      </c>
      <c r="AN92" s="8">
        <f t="shared" si="43"/>
        <v>45991</v>
      </c>
      <c r="AO92" s="8">
        <f t="shared" si="43"/>
        <v>46022</v>
      </c>
      <c r="AP92" s="8">
        <f t="shared" si="43"/>
        <v>46053</v>
      </c>
      <c r="AQ92" s="8">
        <f t="shared" si="43"/>
        <v>46081</v>
      </c>
      <c r="AR92" s="8">
        <f t="shared" si="43"/>
        <v>46112</v>
      </c>
      <c r="AS92" s="8">
        <f t="shared" si="43"/>
        <v>46142</v>
      </c>
      <c r="AT92" s="8">
        <f t="shared" si="43"/>
        <v>46173</v>
      </c>
      <c r="AU92" s="8">
        <f t="shared" si="43"/>
        <v>46203</v>
      </c>
      <c r="AV92" s="8">
        <f t="shared" si="43"/>
        <v>46234</v>
      </c>
      <c r="AW92" s="8">
        <f t="shared" si="43"/>
        <v>46265</v>
      </c>
      <c r="AX92" s="8">
        <f t="shared" si="43"/>
        <v>46295</v>
      </c>
      <c r="AY92" s="8">
        <f t="shared" si="43"/>
        <v>46326</v>
      </c>
      <c r="AZ92" s="8">
        <f t="shared" si="43"/>
        <v>46356</v>
      </c>
      <c r="BA92" s="8">
        <f t="shared" si="43"/>
        <v>46387</v>
      </c>
      <c r="BB92" s="8">
        <f t="shared" si="43"/>
        <v>46418</v>
      </c>
      <c r="BC92" s="8">
        <f t="shared" si="43"/>
        <v>46446</v>
      </c>
      <c r="BD92" s="8">
        <f t="shared" si="43"/>
        <v>46477</v>
      </c>
      <c r="BE92" s="8">
        <f t="shared" si="43"/>
        <v>46507</v>
      </c>
      <c r="BF92" s="8">
        <f t="shared" si="43"/>
        <v>46538</v>
      </c>
      <c r="BG92" s="8">
        <f t="shared" si="43"/>
        <v>46568</v>
      </c>
      <c r="BH92" s="8">
        <f t="shared" si="43"/>
        <v>46599</v>
      </c>
      <c r="BI92" s="8">
        <f t="shared" si="43"/>
        <v>46630</v>
      </c>
      <c r="BJ92" s="8">
        <f t="shared" si="43"/>
        <v>46660</v>
      </c>
      <c r="BK92" s="8">
        <f t="shared" si="43"/>
        <v>46691</v>
      </c>
      <c r="BL92" s="8">
        <f t="shared" si="43"/>
        <v>46721</v>
      </c>
      <c r="BM92" s="8">
        <f t="shared" si="43"/>
        <v>46752</v>
      </c>
      <c r="BN92" s="8">
        <f t="shared" si="43"/>
        <v>46783</v>
      </c>
      <c r="BO92" s="8">
        <f t="shared" si="43"/>
        <v>46812</v>
      </c>
      <c r="BP92" s="8">
        <f t="shared" si="43"/>
        <v>46843</v>
      </c>
      <c r="BQ92" s="8">
        <f t="shared" si="43"/>
        <v>46873</v>
      </c>
    </row>
    <row r="93" spans="1:69" outlineLevel="2">
      <c r="E93" s="5" t="str">
        <f t="shared" ref="E93:BQ93" si="44" xml:space="preserve">  E$28</f>
        <v>Period number</v>
      </c>
      <c r="F93" s="5">
        <f t="shared" si="44"/>
        <v>0</v>
      </c>
      <c r="G93" s="5" t="str">
        <f t="shared" si="44"/>
        <v>Counter</v>
      </c>
      <c r="H93" s="5">
        <f t="shared" si="44"/>
        <v>0</v>
      </c>
      <c r="I93" s="5">
        <f t="shared" si="44"/>
        <v>0</v>
      </c>
      <c r="J93" s="5">
        <f t="shared" si="44"/>
        <v>1</v>
      </c>
      <c r="K93" s="5">
        <f t="shared" si="44"/>
        <v>2</v>
      </c>
      <c r="L93" s="5">
        <f t="shared" si="44"/>
        <v>3</v>
      </c>
      <c r="M93" s="5">
        <f t="shared" si="44"/>
        <v>4</v>
      </c>
      <c r="N93" s="5">
        <f t="shared" si="44"/>
        <v>5</v>
      </c>
      <c r="O93" s="5">
        <f t="shared" si="44"/>
        <v>6</v>
      </c>
      <c r="P93" s="5">
        <f t="shared" si="44"/>
        <v>7</v>
      </c>
      <c r="Q93" s="5">
        <f t="shared" si="44"/>
        <v>8</v>
      </c>
      <c r="R93" s="5">
        <f t="shared" si="44"/>
        <v>9</v>
      </c>
      <c r="S93" s="5">
        <f t="shared" si="44"/>
        <v>10</v>
      </c>
      <c r="T93" s="5">
        <f t="shared" si="44"/>
        <v>11</v>
      </c>
      <c r="U93" s="5">
        <f t="shared" si="44"/>
        <v>12</v>
      </c>
      <c r="V93" s="5">
        <f t="shared" si="44"/>
        <v>13</v>
      </c>
      <c r="W93" s="5">
        <f t="shared" si="44"/>
        <v>14</v>
      </c>
      <c r="X93" s="5">
        <f t="shared" si="44"/>
        <v>15</v>
      </c>
      <c r="Y93" s="5">
        <f t="shared" si="44"/>
        <v>16</v>
      </c>
      <c r="Z93" s="5">
        <f t="shared" si="44"/>
        <v>17</v>
      </c>
      <c r="AA93" s="5">
        <f t="shared" si="44"/>
        <v>18</v>
      </c>
      <c r="AB93" s="5">
        <f t="shared" si="44"/>
        <v>19</v>
      </c>
      <c r="AC93" s="5">
        <f t="shared" si="44"/>
        <v>20</v>
      </c>
      <c r="AD93" s="5">
        <f t="shared" si="44"/>
        <v>21</v>
      </c>
      <c r="AE93" s="5">
        <f t="shared" si="44"/>
        <v>22</v>
      </c>
      <c r="AF93" s="5">
        <f t="shared" si="44"/>
        <v>23</v>
      </c>
      <c r="AG93" s="5">
        <f t="shared" si="44"/>
        <v>24</v>
      </c>
      <c r="AH93" s="5">
        <f t="shared" si="44"/>
        <v>25</v>
      </c>
      <c r="AI93" s="5">
        <f t="shared" si="44"/>
        <v>26</v>
      </c>
      <c r="AJ93" s="5">
        <f t="shared" si="44"/>
        <v>27</v>
      </c>
      <c r="AK93" s="5">
        <f t="shared" si="44"/>
        <v>28</v>
      </c>
      <c r="AL93" s="5">
        <f t="shared" si="44"/>
        <v>29</v>
      </c>
      <c r="AM93" s="5">
        <f t="shared" si="44"/>
        <v>30</v>
      </c>
      <c r="AN93" s="5">
        <f t="shared" si="44"/>
        <v>31</v>
      </c>
      <c r="AO93" s="5">
        <f t="shared" si="44"/>
        <v>32</v>
      </c>
      <c r="AP93" s="5">
        <f t="shared" si="44"/>
        <v>33</v>
      </c>
      <c r="AQ93" s="5">
        <f t="shared" si="44"/>
        <v>34</v>
      </c>
      <c r="AR93" s="5">
        <f t="shared" si="44"/>
        <v>35</v>
      </c>
      <c r="AS93" s="5">
        <f t="shared" si="44"/>
        <v>36</v>
      </c>
      <c r="AT93" s="5">
        <f t="shared" si="44"/>
        <v>37</v>
      </c>
      <c r="AU93" s="5">
        <f t="shared" si="44"/>
        <v>38</v>
      </c>
      <c r="AV93" s="5">
        <f t="shared" si="44"/>
        <v>39</v>
      </c>
      <c r="AW93" s="5">
        <f t="shared" si="44"/>
        <v>40</v>
      </c>
      <c r="AX93" s="5">
        <f t="shared" si="44"/>
        <v>41</v>
      </c>
      <c r="AY93" s="5">
        <f t="shared" si="44"/>
        <v>42</v>
      </c>
      <c r="AZ93" s="5">
        <f t="shared" si="44"/>
        <v>43</v>
      </c>
      <c r="BA93" s="5">
        <f t="shared" si="44"/>
        <v>44</v>
      </c>
      <c r="BB93" s="5">
        <f t="shared" si="44"/>
        <v>45</v>
      </c>
      <c r="BC93" s="5">
        <f t="shared" si="44"/>
        <v>46</v>
      </c>
      <c r="BD93" s="5">
        <f t="shared" si="44"/>
        <v>47</v>
      </c>
      <c r="BE93" s="5">
        <f t="shared" si="44"/>
        <v>48</v>
      </c>
      <c r="BF93" s="5">
        <f t="shared" si="44"/>
        <v>49</v>
      </c>
      <c r="BG93" s="5">
        <f t="shared" si="44"/>
        <v>50</v>
      </c>
      <c r="BH93" s="5">
        <f t="shared" si="44"/>
        <v>51</v>
      </c>
      <c r="BI93" s="5">
        <f t="shared" si="44"/>
        <v>52</v>
      </c>
      <c r="BJ93" s="5">
        <f t="shared" si="44"/>
        <v>53</v>
      </c>
      <c r="BK93" s="5">
        <f t="shared" si="44"/>
        <v>54</v>
      </c>
      <c r="BL93" s="5">
        <f t="shared" si="44"/>
        <v>55</v>
      </c>
      <c r="BM93" s="5">
        <f t="shared" si="44"/>
        <v>56</v>
      </c>
      <c r="BN93" s="5">
        <f t="shared" si="44"/>
        <v>57</v>
      </c>
      <c r="BO93" s="5">
        <f t="shared" si="44"/>
        <v>58</v>
      </c>
      <c r="BP93" s="5">
        <f t="shared" si="44"/>
        <v>59</v>
      </c>
      <c r="BQ93" s="5">
        <f t="shared" si="44"/>
        <v>60</v>
      </c>
    </row>
    <row r="94" spans="1:69" outlineLevel="2">
      <c r="E94" s="5" t="str">
        <f t="shared" ref="E94:BQ94" si="45" xml:space="preserve">  E$346</f>
        <v>Month to SemiAnnual : period end flag</v>
      </c>
      <c r="F94" s="5">
        <f t="shared" si="45"/>
        <v>0</v>
      </c>
      <c r="G94" s="5" t="str">
        <f t="shared" si="45"/>
        <v>counter</v>
      </c>
      <c r="H94" s="5">
        <f t="shared" si="45"/>
        <v>0</v>
      </c>
      <c r="I94" s="5">
        <f t="shared" si="45"/>
        <v>0</v>
      </c>
      <c r="J94" s="5">
        <f t="shared" si="45"/>
        <v>0</v>
      </c>
      <c r="K94" s="5">
        <f t="shared" si="45"/>
        <v>0</v>
      </c>
      <c r="L94" s="5">
        <f t="shared" si="45"/>
        <v>0</v>
      </c>
      <c r="M94" s="5">
        <f t="shared" si="45"/>
        <v>0</v>
      </c>
      <c r="N94" s="5">
        <f t="shared" si="45"/>
        <v>0</v>
      </c>
      <c r="O94" s="5">
        <f t="shared" si="45"/>
        <v>1</v>
      </c>
      <c r="P94" s="5">
        <f t="shared" si="45"/>
        <v>0</v>
      </c>
      <c r="Q94" s="5">
        <f t="shared" si="45"/>
        <v>0</v>
      </c>
      <c r="R94" s="5">
        <f t="shared" si="45"/>
        <v>0</v>
      </c>
      <c r="S94" s="5">
        <f t="shared" si="45"/>
        <v>0</v>
      </c>
      <c r="T94" s="5">
        <f t="shared" si="45"/>
        <v>0</v>
      </c>
      <c r="U94" s="5">
        <f t="shared" si="45"/>
        <v>2</v>
      </c>
      <c r="V94" s="5">
        <f t="shared" si="45"/>
        <v>0</v>
      </c>
      <c r="W94" s="5">
        <f t="shared" si="45"/>
        <v>0</v>
      </c>
      <c r="X94" s="5">
        <f t="shared" si="45"/>
        <v>0</v>
      </c>
      <c r="Y94" s="5">
        <f t="shared" si="45"/>
        <v>0</v>
      </c>
      <c r="Z94" s="5">
        <f t="shared" si="45"/>
        <v>0</v>
      </c>
      <c r="AA94" s="5">
        <f t="shared" si="45"/>
        <v>3</v>
      </c>
      <c r="AB94" s="5">
        <f t="shared" si="45"/>
        <v>0</v>
      </c>
      <c r="AC94" s="5">
        <f t="shared" si="45"/>
        <v>0</v>
      </c>
      <c r="AD94" s="5">
        <f t="shared" si="45"/>
        <v>0</v>
      </c>
      <c r="AE94" s="5">
        <f t="shared" si="45"/>
        <v>0</v>
      </c>
      <c r="AF94" s="5">
        <f t="shared" si="45"/>
        <v>0</v>
      </c>
      <c r="AG94" s="5">
        <f t="shared" si="45"/>
        <v>4</v>
      </c>
      <c r="AH94" s="5">
        <f t="shared" si="45"/>
        <v>0</v>
      </c>
      <c r="AI94" s="5">
        <f t="shared" si="45"/>
        <v>0</v>
      </c>
      <c r="AJ94" s="5">
        <f t="shared" si="45"/>
        <v>0</v>
      </c>
      <c r="AK94" s="5">
        <f t="shared" si="45"/>
        <v>0</v>
      </c>
      <c r="AL94" s="5">
        <f t="shared" si="45"/>
        <v>0</v>
      </c>
      <c r="AM94" s="5">
        <f t="shared" si="45"/>
        <v>5</v>
      </c>
      <c r="AN94" s="5">
        <f t="shared" si="45"/>
        <v>0</v>
      </c>
      <c r="AO94" s="5">
        <f t="shared" si="45"/>
        <v>0</v>
      </c>
      <c r="AP94" s="5">
        <f t="shared" si="45"/>
        <v>0</v>
      </c>
      <c r="AQ94" s="5">
        <f t="shared" si="45"/>
        <v>0</v>
      </c>
      <c r="AR94" s="5">
        <f t="shared" si="45"/>
        <v>0</v>
      </c>
      <c r="AS94" s="5">
        <f t="shared" si="45"/>
        <v>6</v>
      </c>
      <c r="AT94" s="5">
        <f t="shared" si="45"/>
        <v>0</v>
      </c>
      <c r="AU94" s="5">
        <f t="shared" si="45"/>
        <v>0</v>
      </c>
      <c r="AV94" s="5">
        <f t="shared" si="45"/>
        <v>0</v>
      </c>
      <c r="AW94" s="5">
        <f t="shared" si="45"/>
        <v>0</v>
      </c>
      <c r="AX94" s="5">
        <f t="shared" si="45"/>
        <v>0</v>
      </c>
      <c r="AY94" s="5">
        <f t="shared" si="45"/>
        <v>7</v>
      </c>
      <c r="AZ94" s="5">
        <f t="shared" si="45"/>
        <v>0</v>
      </c>
      <c r="BA94" s="5">
        <f t="shared" si="45"/>
        <v>0</v>
      </c>
      <c r="BB94" s="5">
        <f t="shared" si="45"/>
        <v>0</v>
      </c>
      <c r="BC94" s="5">
        <f t="shared" si="45"/>
        <v>0</v>
      </c>
      <c r="BD94" s="5">
        <f t="shared" si="45"/>
        <v>0</v>
      </c>
      <c r="BE94" s="5">
        <f t="shared" si="45"/>
        <v>8</v>
      </c>
      <c r="BF94" s="5">
        <f t="shared" si="45"/>
        <v>0</v>
      </c>
      <c r="BG94" s="5">
        <f t="shared" si="45"/>
        <v>0</v>
      </c>
      <c r="BH94" s="5">
        <f t="shared" si="45"/>
        <v>0</v>
      </c>
      <c r="BI94" s="5">
        <f t="shared" si="45"/>
        <v>0</v>
      </c>
      <c r="BJ94" s="5">
        <f t="shared" si="45"/>
        <v>0</v>
      </c>
      <c r="BK94" s="5">
        <f t="shared" si="45"/>
        <v>9</v>
      </c>
      <c r="BL94" s="5">
        <f t="shared" si="45"/>
        <v>0</v>
      </c>
      <c r="BM94" s="5">
        <f t="shared" si="45"/>
        <v>0</v>
      </c>
      <c r="BN94" s="5">
        <f t="shared" si="45"/>
        <v>0</v>
      </c>
      <c r="BO94" s="5">
        <f t="shared" si="45"/>
        <v>0</v>
      </c>
      <c r="BP94" s="5">
        <f t="shared" si="45"/>
        <v>0</v>
      </c>
      <c r="BQ94" s="5">
        <f t="shared" si="45"/>
        <v>10</v>
      </c>
    </row>
    <row r="95" spans="1:69" outlineLevel="2">
      <c r="A95" s="36"/>
      <c r="B95" s="36"/>
      <c r="C95" s="65"/>
      <c r="D95" s="64"/>
      <c r="E95" s="21" t="s">
        <v>191</v>
      </c>
      <c r="F95" s="21"/>
      <c r="G95" s="21" t="s">
        <v>210</v>
      </c>
      <c r="H95" s="21"/>
      <c r="I95" s="21"/>
      <c r="J95" s="13">
        <f t="shared" ref="J95:BQ95" si="46" xml:space="preserve">  INDEX( $J92:$BQ92, MATCH( J93, $J94:$BQ94, 0 ) )</f>
        <v>45230</v>
      </c>
      <c r="K95" s="13">
        <f t="shared" si="46"/>
        <v>45412</v>
      </c>
      <c r="L95" s="13">
        <f t="shared" si="46"/>
        <v>45596</v>
      </c>
      <c r="M95" s="13">
        <f t="shared" si="46"/>
        <v>45777</v>
      </c>
      <c r="N95" s="13">
        <f t="shared" si="46"/>
        <v>45961</v>
      </c>
      <c r="O95" s="13">
        <f t="shared" si="46"/>
        <v>46142</v>
      </c>
      <c r="P95" s="13">
        <f t="shared" si="46"/>
        <v>46326</v>
      </c>
      <c r="Q95" s="13">
        <f t="shared" si="46"/>
        <v>46507</v>
      </c>
      <c r="R95" s="13">
        <f t="shared" si="46"/>
        <v>46691</v>
      </c>
      <c r="S95" s="13">
        <f t="shared" si="46"/>
        <v>46873</v>
      </c>
      <c r="T95" s="13" t="e">
        <f t="shared" si="46"/>
        <v>#N/A</v>
      </c>
      <c r="U95" s="13" t="e">
        <f t="shared" si="46"/>
        <v>#N/A</v>
      </c>
      <c r="V95" s="13" t="e">
        <f t="shared" si="46"/>
        <v>#N/A</v>
      </c>
      <c r="W95" s="13" t="e">
        <f t="shared" si="46"/>
        <v>#N/A</v>
      </c>
      <c r="X95" s="13" t="e">
        <f t="shared" si="46"/>
        <v>#N/A</v>
      </c>
      <c r="Y95" s="13" t="e">
        <f t="shared" si="46"/>
        <v>#N/A</v>
      </c>
      <c r="Z95" s="13" t="e">
        <f t="shared" si="46"/>
        <v>#N/A</v>
      </c>
      <c r="AA95" s="13" t="e">
        <f t="shared" si="46"/>
        <v>#N/A</v>
      </c>
      <c r="AB95" s="13" t="e">
        <f t="shared" si="46"/>
        <v>#N/A</v>
      </c>
      <c r="AC95" s="13" t="e">
        <f t="shared" si="46"/>
        <v>#N/A</v>
      </c>
      <c r="AD95" s="13" t="e">
        <f t="shared" si="46"/>
        <v>#N/A</v>
      </c>
      <c r="AE95" s="13" t="e">
        <f t="shared" si="46"/>
        <v>#N/A</v>
      </c>
      <c r="AF95" s="13" t="e">
        <f t="shared" si="46"/>
        <v>#N/A</v>
      </c>
      <c r="AG95" s="13" t="e">
        <f t="shared" si="46"/>
        <v>#N/A</v>
      </c>
      <c r="AH95" s="13" t="e">
        <f t="shared" si="46"/>
        <v>#N/A</v>
      </c>
      <c r="AI95" s="13" t="e">
        <f t="shared" si="46"/>
        <v>#N/A</v>
      </c>
      <c r="AJ95" s="13" t="e">
        <f t="shared" si="46"/>
        <v>#N/A</v>
      </c>
      <c r="AK95" s="13" t="e">
        <f t="shared" si="46"/>
        <v>#N/A</v>
      </c>
      <c r="AL95" s="13" t="e">
        <f t="shared" si="46"/>
        <v>#N/A</v>
      </c>
      <c r="AM95" s="13" t="e">
        <f t="shared" si="46"/>
        <v>#N/A</v>
      </c>
      <c r="AN95" s="13" t="e">
        <f t="shared" si="46"/>
        <v>#N/A</v>
      </c>
      <c r="AO95" s="13" t="e">
        <f t="shared" si="46"/>
        <v>#N/A</v>
      </c>
      <c r="AP95" s="13" t="e">
        <f t="shared" si="46"/>
        <v>#N/A</v>
      </c>
      <c r="AQ95" s="13" t="e">
        <f t="shared" si="46"/>
        <v>#N/A</v>
      </c>
      <c r="AR95" s="13" t="e">
        <f t="shared" si="46"/>
        <v>#N/A</v>
      </c>
      <c r="AS95" s="13" t="e">
        <f t="shared" si="46"/>
        <v>#N/A</v>
      </c>
      <c r="AT95" s="13" t="e">
        <f t="shared" si="46"/>
        <v>#N/A</v>
      </c>
      <c r="AU95" s="13" t="e">
        <f t="shared" si="46"/>
        <v>#N/A</v>
      </c>
      <c r="AV95" s="13" t="e">
        <f t="shared" si="46"/>
        <v>#N/A</v>
      </c>
      <c r="AW95" s="13" t="e">
        <f t="shared" si="46"/>
        <v>#N/A</v>
      </c>
      <c r="AX95" s="13" t="e">
        <f t="shared" si="46"/>
        <v>#N/A</v>
      </c>
      <c r="AY95" s="13" t="e">
        <f t="shared" si="46"/>
        <v>#N/A</v>
      </c>
      <c r="AZ95" s="13" t="e">
        <f t="shared" si="46"/>
        <v>#N/A</v>
      </c>
      <c r="BA95" s="13" t="e">
        <f t="shared" si="46"/>
        <v>#N/A</v>
      </c>
      <c r="BB95" s="13" t="e">
        <f t="shared" si="46"/>
        <v>#N/A</v>
      </c>
      <c r="BC95" s="13" t="e">
        <f t="shared" si="46"/>
        <v>#N/A</v>
      </c>
      <c r="BD95" s="13" t="e">
        <f t="shared" si="46"/>
        <v>#N/A</v>
      </c>
      <c r="BE95" s="13" t="e">
        <f t="shared" si="46"/>
        <v>#N/A</v>
      </c>
      <c r="BF95" s="13" t="e">
        <f t="shared" si="46"/>
        <v>#N/A</v>
      </c>
      <c r="BG95" s="13" t="e">
        <f t="shared" si="46"/>
        <v>#N/A</v>
      </c>
      <c r="BH95" s="13" t="e">
        <f t="shared" si="46"/>
        <v>#N/A</v>
      </c>
      <c r="BI95" s="13" t="e">
        <f t="shared" si="46"/>
        <v>#N/A</v>
      </c>
      <c r="BJ95" s="13" t="e">
        <f t="shared" si="46"/>
        <v>#N/A</v>
      </c>
      <c r="BK95" s="13" t="e">
        <f t="shared" si="46"/>
        <v>#N/A</v>
      </c>
      <c r="BL95" s="13" t="e">
        <f t="shared" si="46"/>
        <v>#N/A</v>
      </c>
      <c r="BM95" s="13" t="e">
        <f t="shared" si="46"/>
        <v>#N/A</v>
      </c>
      <c r="BN95" s="13" t="e">
        <f t="shared" si="46"/>
        <v>#N/A</v>
      </c>
      <c r="BO95" s="13" t="e">
        <f t="shared" si="46"/>
        <v>#N/A</v>
      </c>
      <c r="BP95" s="13" t="e">
        <f t="shared" si="46"/>
        <v>#N/A</v>
      </c>
      <c r="BQ95" s="13" t="e">
        <f t="shared" si="46"/>
        <v>#N/A</v>
      </c>
    </row>
    <row r="96" spans="1:69" outlineLevel="1"/>
    <row r="97" spans="1:69" outlineLevel="1"/>
    <row r="98" spans="1:69" outlineLevel="1">
      <c r="B98" s="27" t="s">
        <v>166</v>
      </c>
    </row>
    <row r="99" spans="1:69" outlineLevel="2">
      <c r="E99" s="2" t="str">
        <f t="shared" ref="E99:BQ99" si="47" xml:space="preserve">  E$24</f>
        <v>Timeline label</v>
      </c>
      <c r="F99" s="2">
        <f t="shared" si="47"/>
        <v>0</v>
      </c>
      <c r="G99" s="2" t="str">
        <f t="shared" si="47"/>
        <v>GBP</v>
      </c>
      <c r="H99" s="2">
        <f t="shared" si="47"/>
        <v>0</v>
      </c>
      <c r="I99" s="2">
        <f t="shared" si="47"/>
        <v>0</v>
      </c>
      <c r="J99" s="2" t="str">
        <f t="shared" si="47"/>
        <v>Month1</v>
      </c>
      <c r="K99" s="2" t="str">
        <f t="shared" si="47"/>
        <v>Month2</v>
      </c>
      <c r="L99" s="2" t="str">
        <f t="shared" si="47"/>
        <v>Month3</v>
      </c>
      <c r="M99" s="2" t="str">
        <f t="shared" si="47"/>
        <v>Month4</v>
      </c>
      <c r="N99" s="2" t="str">
        <f t="shared" si="47"/>
        <v>Month5</v>
      </c>
      <c r="O99" s="2" t="str">
        <f t="shared" si="47"/>
        <v>Month6</v>
      </c>
      <c r="P99" s="2" t="str">
        <f t="shared" si="47"/>
        <v>Month7</v>
      </c>
      <c r="Q99" s="2" t="str">
        <f t="shared" si="47"/>
        <v>Month8</v>
      </c>
      <c r="R99" s="2" t="str">
        <f t="shared" si="47"/>
        <v>Month9</v>
      </c>
      <c r="S99" s="2" t="str">
        <f t="shared" si="47"/>
        <v>Month10</v>
      </c>
      <c r="T99" s="2" t="str">
        <f t="shared" si="47"/>
        <v>Month11</v>
      </c>
      <c r="U99" s="2" t="str">
        <f t="shared" si="47"/>
        <v>Month12</v>
      </c>
      <c r="V99" s="2" t="str">
        <f t="shared" si="47"/>
        <v>Month13</v>
      </c>
      <c r="W99" s="2" t="str">
        <f t="shared" si="47"/>
        <v>Month14</v>
      </c>
      <c r="X99" s="2" t="str">
        <f t="shared" si="47"/>
        <v>Month15</v>
      </c>
      <c r="Y99" s="2" t="str">
        <f t="shared" si="47"/>
        <v>Month16</v>
      </c>
      <c r="Z99" s="2" t="str">
        <f t="shared" si="47"/>
        <v>Month17</v>
      </c>
      <c r="AA99" s="2" t="str">
        <f t="shared" si="47"/>
        <v>Month18</v>
      </c>
      <c r="AB99" s="2" t="str">
        <f t="shared" si="47"/>
        <v>Month19</v>
      </c>
      <c r="AC99" s="2" t="str">
        <f t="shared" si="47"/>
        <v>Month20</v>
      </c>
      <c r="AD99" s="2" t="str">
        <f t="shared" si="47"/>
        <v>Month21</v>
      </c>
      <c r="AE99" s="2" t="str">
        <f t="shared" si="47"/>
        <v>Month22</v>
      </c>
      <c r="AF99" s="2" t="str">
        <f t="shared" si="47"/>
        <v>Month23</v>
      </c>
      <c r="AG99" s="2" t="str">
        <f t="shared" si="47"/>
        <v>Month24</v>
      </c>
      <c r="AH99" s="2" t="str">
        <f t="shared" si="47"/>
        <v>Month25</v>
      </c>
      <c r="AI99" s="2" t="str">
        <f t="shared" si="47"/>
        <v>Month26</v>
      </c>
      <c r="AJ99" s="2" t="str">
        <f t="shared" si="47"/>
        <v>Month27</v>
      </c>
      <c r="AK99" s="2" t="str">
        <f t="shared" si="47"/>
        <v>Month28</v>
      </c>
      <c r="AL99" s="2" t="str">
        <f t="shared" si="47"/>
        <v>Month29</v>
      </c>
      <c r="AM99" s="2" t="str">
        <f t="shared" si="47"/>
        <v>Month30</v>
      </c>
      <c r="AN99" s="2" t="str">
        <f t="shared" si="47"/>
        <v>Month31</v>
      </c>
      <c r="AO99" s="2" t="str">
        <f t="shared" si="47"/>
        <v>Month32</v>
      </c>
      <c r="AP99" s="2" t="str">
        <f t="shared" si="47"/>
        <v>Month33</v>
      </c>
      <c r="AQ99" s="2" t="str">
        <f t="shared" si="47"/>
        <v>Month34</v>
      </c>
      <c r="AR99" s="2" t="str">
        <f t="shared" si="47"/>
        <v>Month35</v>
      </c>
      <c r="AS99" s="2" t="str">
        <f t="shared" si="47"/>
        <v>Month36</v>
      </c>
      <c r="AT99" s="2" t="str">
        <f t="shared" si="47"/>
        <v>Month37</v>
      </c>
      <c r="AU99" s="2" t="str">
        <f t="shared" si="47"/>
        <v>Month38</v>
      </c>
      <c r="AV99" s="2" t="str">
        <f t="shared" si="47"/>
        <v>Month39</v>
      </c>
      <c r="AW99" s="2" t="str">
        <f t="shared" si="47"/>
        <v>Month40</v>
      </c>
      <c r="AX99" s="2" t="str">
        <f t="shared" si="47"/>
        <v>Month41</v>
      </c>
      <c r="AY99" s="2" t="str">
        <f t="shared" si="47"/>
        <v>Month42</v>
      </c>
      <c r="AZ99" s="2" t="str">
        <f t="shared" si="47"/>
        <v>Month43</v>
      </c>
      <c r="BA99" s="2" t="str">
        <f t="shared" si="47"/>
        <v>Month44</v>
      </c>
      <c r="BB99" s="2" t="str">
        <f t="shared" si="47"/>
        <v>Month45</v>
      </c>
      <c r="BC99" s="2" t="str">
        <f t="shared" si="47"/>
        <v>Month46</v>
      </c>
      <c r="BD99" s="2" t="str">
        <f t="shared" si="47"/>
        <v>Month47</v>
      </c>
      <c r="BE99" s="2" t="str">
        <f t="shared" si="47"/>
        <v>Month48</v>
      </c>
      <c r="BF99" s="2" t="str">
        <f t="shared" si="47"/>
        <v>Month49</v>
      </c>
      <c r="BG99" s="2" t="str">
        <f t="shared" si="47"/>
        <v>Month50</v>
      </c>
      <c r="BH99" s="2" t="str">
        <f t="shared" si="47"/>
        <v>Month51</v>
      </c>
      <c r="BI99" s="2" t="str">
        <f t="shared" si="47"/>
        <v>Month52</v>
      </c>
      <c r="BJ99" s="2" t="str">
        <f t="shared" si="47"/>
        <v>Month53</v>
      </c>
      <c r="BK99" s="2" t="str">
        <f t="shared" si="47"/>
        <v>Month54</v>
      </c>
      <c r="BL99" s="2" t="str">
        <f t="shared" si="47"/>
        <v>Month55</v>
      </c>
      <c r="BM99" s="2" t="str">
        <f t="shared" si="47"/>
        <v>Month56</v>
      </c>
      <c r="BN99" s="2" t="str">
        <f t="shared" si="47"/>
        <v>Month57</v>
      </c>
      <c r="BO99" s="2" t="str">
        <f t="shared" si="47"/>
        <v>Month58</v>
      </c>
      <c r="BP99" s="2" t="str">
        <f t="shared" si="47"/>
        <v>Month59</v>
      </c>
      <c r="BQ99" s="2" t="str">
        <f t="shared" si="47"/>
        <v>Month60</v>
      </c>
    </row>
    <row r="100" spans="1:69" outlineLevel="2">
      <c r="E100" s="5" t="str">
        <f t="shared" ref="E100:BQ100" si="48" xml:space="preserve">  E$28</f>
        <v>Period number</v>
      </c>
      <c r="F100" s="5">
        <f t="shared" si="48"/>
        <v>0</v>
      </c>
      <c r="G100" s="5" t="str">
        <f t="shared" si="48"/>
        <v>Counter</v>
      </c>
      <c r="H100" s="5">
        <f t="shared" si="48"/>
        <v>0</v>
      </c>
      <c r="I100" s="5">
        <f t="shared" si="48"/>
        <v>0</v>
      </c>
      <c r="J100" s="5">
        <f t="shared" si="48"/>
        <v>1</v>
      </c>
      <c r="K100" s="5">
        <f t="shared" si="48"/>
        <v>2</v>
      </c>
      <c r="L100" s="5">
        <f t="shared" si="48"/>
        <v>3</v>
      </c>
      <c r="M100" s="5">
        <f t="shared" si="48"/>
        <v>4</v>
      </c>
      <c r="N100" s="5">
        <f t="shared" si="48"/>
        <v>5</v>
      </c>
      <c r="O100" s="5">
        <f t="shared" si="48"/>
        <v>6</v>
      </c>
      <c r="P100" s="5">
        <f t="shared" si="48"/>
        <v>7</v>
      </c>
      <c r="Q100" s="5">
        <f t="shared" si="48"/>
        <v>8</v>
      </c>
      <c r="R100" s="5">
        <f t="shared" si="48"/>
        <v>9</v>
      </c>
      <c r="S100" s="5">
        <f t="shared" si="48"/>
        <v>10</v>
      </c>
      <c r="T100" s="5">
        <f t="shared" si="48"/>
        <v>11</v>
      </c>
      <c r="U100" s="5">
        <f t="shared" si="48"/>
        <v>12</v>
      </c>
      <c r="V100" s="5">
        <f t="shared" si="48"/>
        <v>13</v>
      </c>
      <c r="W100" s="5">
        <f t="shared" si="48"/>
        <v>14</v>
      </c>
      <c r="X100" s="5">
        <f t="shared" si="48"/>
        <v>15</v>
      </c>
      <c r="Y100" s="5">
        <f t="shared" si="48"/>
        <v>16</v>
      </c>
      <c r="Z100" s="5">
        <f t="shared" si="48"/>
        <v>17</v>
      </c>
      <c r="AA100" s="5">
        <f t="shared" si="48"/>
        <v>18</v>
      </c>
      <c r="AB100" s="5">
        <f t="shared" si="48"/>
        <v>19</v>
      </c>
      <c r="AC100" s="5">
        <f t="shared" si="48"/>
        <v>20</v>
      </c>
      <c r="AD100" s="5">
        <f t="shared" si="48"/>
        <v>21</v>
      </c>
      <c r="AE100" s="5">
        <f t="shared" si="48"/>
        <v>22</v>
      </c>
      <c r="AF100" s="5">
        <f t="shared" si="48"/>
        <v>23</v>
      </c>
      <c r="AG100" s="5">
        <f t="shared" si="48"/>
        <v>24</v>
      </c>
      <c r="AH100" s="5">
        <f t="shared" si="48"/>
        <v>25</v>
      </c>
      <c r="AI100" s="5">
        <f t="shared" si="48"/>
        <v>26</v>
      </c>
      <c r="AJ100" s="5">
        <f t="shared" si="48"/>
        <v>27</v>
      </c>
      <c r="AK100" s="5">
        <f t="shared" si="48"/>
        <v>28</v>
      </c>
      <c r="AL100" s="5">
        <f t="shared" si="48"/>
        <v>29</v>
      </c>
      <c r="AM100" s="5">
        <f t="shared" si="48"/>
        <v>30</v>
      </c>
      <c r="AN100" s="5">
        <f t="shared" si="48"/>
        <v>31</v>
      </c>
      <c r="AO100" s="5">
        <f t="shared" si="48"/>
        <v>32</v>
      </c>
      <c r="AP100" s="5">
        <f t="shared" si="48"/>
        <v>33</v>
      </c>
      <c r="AQ100" s="5">
        <f t="shared" si="48"/>
        <v>34</v>
      </c>
      <c r="AR100" s="5">
        <f t="shared" si="48"/>
        <v>35</v>
      </c>
      <c r="AS100" s="5">
        <f t="shared" si="48"/>
        <v>36</v>
      </c>
      <c r="AT100" s="5">
        <f t="shared" si="48"/>
        <v>37</v>
      </c>
      <c r="AU100" s="5">
        <f t="shared" si="48"/>
        <v>38</v>
      </c>
      <c r="AV100" s="5">
        <f t="shared" si="48"/>
        <v>39</v>
      </c>
      <c r="AW100" s="5">
        <f t="shared" si="48"/>
        <v>40</v>
      </c>
      <c r="AX100" s="5">
        <f t="shared" si="48"/>
        <v>41</v>
      </c>
      <c r="AY100" s="5">
        <f t="shared" si="48"/>
        <v>42</v>
      </c>
      <c r="AZ100" s="5">
        <f t="shared" si="48"/>
        <v>43</v>
      </c>
      <c r="BA100" s="5">
        <f t="shared" si="48"/>
        <v>44</v>
      </c>
      <c r="BB100" s="5">
        <f t="shared" si="48"/>
        <v>45</v>
      </c>
      <c r="BC100" s="5">
        <f t="shared" si="48"/>
        <v>46</v>
      </c>
      <c r="BD100" s="5">
        <f t="shared" si="48"/>
        <v>47</v>
      </c>
      <c r="BE100" s="5">
        <f t="shared" si="48"/>
        <v>48</v>
      </c>
      <c r="BF100" s="5">
        <f t="shared" si="48"/>
        <v>49</v>
      </c>
      <c r="BG100" s="5">
        <f t="shared" si="48"/>
        <v>50</v>
      </c>
      <c r="BH100" s="5">
        <f t="shared" si="48"/>
        <v>51</v>
      </c>
      <c r="BI100" s="5">
        <f t="shared" si="48"/>
        <v>52</v>
      </c>
      <c r="BJ100" s="5">
        <f t="shared" si="48"/>
        <v>53</v>
      </c>
      <c r="BK100" s="5">
        <f t="shared" si="48"/>
        <v>54</v>
      </c>
      <c r="BL100" s="5">
        <f t="shared" si="48"/>
        <v>55</v>
      </c>
      <c r="BM100" s="5">
        <f t="shared" si="48"/>
        <v>56</v>
      </c>
      <c r="BN100" s="5">
        <f t="shared" si="48"/>
        <v>57</v>
      </c>
      <c r="BO100" s="5">
        <f t="shared" si="48"/>
        <v>58</v>
      </c>
      <c r="BP100" s="5">
        <f t="shared" si="48"/>
        <v>59</v>
      </c>
      <c r="BQ100" s="5">
        <f t="shared" si="48"/>
        <v>60</v>
      </c>
    </row>
    <row r="101" spans="1:69" outlineLevel="2">
      <c r="E101" s="5" t="str">
        <f t="shared" ref="E101:BQ101" si="49" xml:space="preserve">  E$346</f>
        <v>Month to SemiAnnual : period end flag</v>
      </c>
      <c r="F101" s="5">
        <f t="shared" si="49"/>
        <v>0</v>
      </c>
      <c r="G101" s="5" t="str">
        <f t="shared" si="49"/>
        <v>counter</v>
      </c>
      <c r="H101" s="5">
        <f t="shared" si="49"/>
        <v>0</v>
      </c>
      <c r="I101" s="5">
        <f t="shared" si="49"/>
        <v>0</v>
      </c>
      <c r="J101" s="5">
        <f t="shared" si="49"/>
        <v>0</v>
      </c>
      <c r="K101" s="5">
        <f t="shared" si="49"/>
        <v>0</v>
      </c>
      <c r="L101" s="5">
        <f t="shared" si="49"/>
        <v>0</v>
      </c>
      <c r="M101" s="5">
        <f t="shared" si="49"/>
        <v>0</v>
      </c>
      <c r="N101" s="5">
        <f t="shared" si="49"/>
        <v>0</v>
      </c>
      <c r="O101" s="5">
        <f t="shared" si="49"/>
        <v>1</v>
      </c>
      <c r="P101" s="5">
        <f t="shared" si="49"/>
        <v>0</v>
      </c>
      <c r="Q101" s="5">
        <f t="shared" si="49"/>
        <v>0</v>
      </c>
      <c r="R101" s="5">
        <f t="shared" si="49"/>
        <v>0</v>
      </c>
      <c r="S101" s="5">
        <f t="shared" si="49"/>
        <v>0</v>
      </c>
      <c r="T101" s="5">
        <f t="shared" si="49"/>
        <v>0</v>
      </c>
      <c r="U101" s="5">
        <f t="shared" si="49"/>
        <v>2</v>
      </c>
      <c r="V101" s="5">
        <f t="shared" si="49"/>
        <v>0</v>
      </c>
      <c r="W101" s="5">
        <f t="shared" si="49"/>
        <v>0</v>
      </c>
      <c r="X101" s="5">
        <f t="shared" si="49"/>
        <v>0</v>
      </c>
      <c r="Y101" s="5">
        <f t="shared" si="49"/>
        <v>0</v>
      </c>
      <c r="Z101" s="5">
        <f t="shared" si="49"/>
        <v>0</v>
      </c>
      <c r="AA101" s="5">
        <f t="shared" si="49"/>
        <v>3</v>
      </c>
      <c r="AB101" s="5">
        <f t="shared" si="49"/>
        <v>0</v>
      </c>
      <c r="AC101" s="5">
        <f t="shared" si="49"/>
        <v>0</v>
      </c>
      <c r="AD101" s="5">
        <f t="shared" si="49"/>
        <v>0</v>
      </c>
      <c r="AE101" s="5">
        <f t="shared" si="49"/>
        <v>0</v>
      </c>
      <c r="AF101" s="5">
        <f t="shared" si="49"/>
        <v>0</v>
      </c>
      <c r="AG101" s="5">
        <f t="shared" si="49"/>
        <v>4</v>
      </c>
      <c r="AH101" s="5">
        <f t="shared" si="49"/>
        <v>0</v>
      </c>
      <c r="AI101" s="5">
        <f t="shared" si="49"/>
        <v>0</v>
      </c>
      <c r="AJ101" s="5">
        <f t="shared" si="49"/>
        <v>0</v>
      </c>
      <c r="AK101" s="5">
        <f t="shared" si="49"/>
        <v>0</v>
      </c>
      <c r="AL101" s="5">
        <f t="shared" si="49"/>
        <v>0</v>
      </c>
      <c r="AM101" s="5">
        <f t="shared" si="49"/>
        <v>5</v>
      </c>
      <c r="AN101" s="5">
        <f t="shared" si="49"/>
        <v>0</v>
      </c>
      <c r="AO101" s="5">
        <f t="shared" si="49"/>
        <v>0</v>
      </c>
      <c r="AP101" s="5">
        <f t="shared" si="49"/>
        <v>0</v>
      </c>
      <c r="AQ101" s="5">
        <f t="shared" si="49"/>
        <v>0</v>
      </c>
      <c r="AR101" s="5">
        <f t="shared" si="49"/>
        <v>0</v>
      </c>
      <c r="AS101" s="5">
        <f t="shared" si="49"/>
        <v>6</v>
      </c>
      <c r="AT101" s="5">
        <f t="shared" si="49"/>
        <v>0</v>
      </c>
      <c r="AU101" s="5">
        <f t="shared" si="49"/>
        <v>0</v>
      </c>
      <c r="AV101" s="5">
        <f t="shared" si="49"/>
        <v>0</v>
      </c>
      <c r="AW101" s="5">
        <f t="shared" si="49"/>
        <v>0</v>
      </c>
      <c r="AX101" s="5">
        <f t="shared" si="49"/>
        <v>0</v>
      </c>
      <c r="AY101" s="5">
        <f t="shared" si="49"/>
        <v>7</v>
      </c>
      <c r="AZ101" s="5">
        <f t="shared" si="49"/>
        <v>0</v>
      </c>
      <c r="BA101" s="5">
        <f t="shared" si="49"/>
        <v>0</v>
      </c>
      <c r="BB101" s="5">
        <f t="shared" si="49"/>
        <v>0</v>
      </c>
      <c r="BC101" s="5">
        <f t="shared" si="49"/>
        <v>0</v>
      </c>
      <c r="BD101" s="5">
        <f t="shared" si="49"/>
        <v>0</v>
      </c>
      <c r="BE101" s="5">
        <f t="shared" si="49"/>
        <v>8</v>
      </c>
      <c r="BF101" s="5">
        <f t="shared" si="49"/>
        <v>0</v>
      </c>
      <c r="BG101" s="5">
        <f t="shared" si="49"/>
        <v>0</v>
      </c>
      <c r="BH101" s="5">
        <f t="shared" si="49"/>
        <v>0</v>
      </c>
      <c r="BI101" s="5">
        <f t="shared" si="49"/>
        <v>0</v>
      </c>
      <c r="BJ101" s="5">
        <f t="shared" si="49"/>
        <v>0</v>
      </c>
      <c r="BK101" s="5">
        <f t="shared" si="49"/>
        <v>9</v>
      </c>
      <c r="BL101" s="5">
        <f t="shared" si="49"/>
        <v>0</v>
      </c>
      <c r="BM101" s="5">
        <f t="shared" si="49"/>
        <v>0</v>
      </c>
      <c r="BN101" s="5">
        <f t="shared" si="49"/>
        <v>0</v>
      </c>
      <c r="BO101" s="5">
        <f t="shared" si="49"/>
        <v>0</v>
      </c>
      <c r="BP101" s="5">
        <f t="shared" si="49"/>
        <v>0</v>
      </c>
      <c r="BQ101" s="5">
        <f t="shared" si="49"/>
        <v>10</v>
      </c>
    </row>
    <row r="102" spans="1:69" outlineLevel="2">
      <c r="A102" s="36"/>
      <c r="B102" s="36"/>
      <c r="C102" s="65"/>
      <c r="D102" s="64"/>
      <c r="E102" s="21" t="s">
        <v>166</v>
      </c>
      <c r="F102" s="21"/>
      <c r="G102" s="21" t="s">
        <v>252</v>
      </c>
      <c r="H102" s="3" t="e">
        <f xml:space="preserve"> SUM( J102:BQ102 )</f>
        <v>#N/A</v>
      </c>
      <c r="I102" s="21"/>
      <c r="J102" s="3" t="str">
        <f t="shared" ref="J102:BQ102" si="50" xml:space="preserve">  INDEX( $J99:$BQ99, MATCH( J100, $J101:$BQ101, 0 ) )</f>
        <v>Month6</v>
      </c>
      <c r="K102" s="3" t="str">
        <f t="shared" si="50"/>
        <v>Month12</v>
      </c>
      <c r="L102" s="3" t="str">
        <f t="shared" si="50"/>
        <v>Month18</v>
      </c>
      <c r="M102" s="3" t="str">
        <f t="shared" si="50"/>
        <v>Month24</v>
      </c>
      <c r="N102" s="3" t="str">
        <f t="shared" si="50"/>
        <v>Month30</v>
      </c>
      <c r="O102" s="3" t="str">
        <f t="shared" si="50"/>
        <v>Month36</v>
      </c>
      <c r="P102" s="3" t="str">
        <f t="shared" si="50"/>
        <v>Month42</v>
      </c>
      <c r="Q102" s="3" t="str">
        <f t="shared" si="50"/>
        <v>Month48</v>
      </c>
      <c r="R102" s="3" t="str">
        <f t="shared" si="50"/>
        <v>Month54</v>
      </c>
      <c r="S102" s="3" t="str">
        <f t="shared" si="50"/>
        <v>Month60</v>
      </c>
      <c r="T102" s="3" t="e">
        <f t="shared" si="50"/>
        <v>#N/A</v>
      </c>
      <c r="U102" s="3" t="e">
        <f t="shared" si="50"/>
        <v>#N/A</v>
      </c>
      <c r="V102" s="3" t="e">
        <f t="shared" si="50"/>
        <v>#N/A</v>
      </c>
      <c r="W102" s="3" t="e">
        <f t="shared" si="50"/>
        <v>#N/A</v>
      </c>
      <c r="X102" s="3" t="e">
        <f t="shared" si="50"/>
        <v>#N/A</v>
      </c>
      <c r="Y102" s="3" t="e">
        <f t="shared" si="50"/>
        <v>#N/A</v>
      </c>
      <c r="Z102" s="3" t="e">
        <f t="shared" si="50"/>
        <v>#N/A</v>
      </c>
      <c r="AA102" s="3" t="e">
        <f t="shared" si="50"/>
        <v>#N/A</v>
      </c>
      <c r="AB102" s="3" t="e">
        <f t="shared" si="50"/>
        <v>#N/A</v>
      </c>
      <c r="AC102" s="3" t="e">
        <f t="shared" si="50"/>
        <v>#N/A</v>
      </c>
      <c r="AD102" s="3" t="e">
        <f t="shared" si="50"/>
        <v>#N/A</v>
      </c>
      <c r="AE102" s="3" t="e">
        <f t="shared" si="50"/>
        <v>#N/A</v>
      </c>
      <c r="AF102" s="3" t="e">
        <f t="shared" si="50"/>
        <v>#N/A</v>
      </c>
      <c r="AG102" s="3" t="e">
        <f t="shared" si="50"/>
        <v>#N/A</v>
      </c>
      <c r="AH102" s="3" t="e">
        <f t="shared" si="50"/>
        <v>#N/A</v>
      </c>
      <c r="AI102" s="3" t="e">
        <f t="shared" si="50"/>
        <v>#N/A</v>
      </c>
      <c r="AJ102" s="3" t="e">
        <f t="shared" si="50"/>
        <v>#N/A</v>
      </c>
      <c r="AK102" s="3" t="e">
        <f t="shared" si="50"/>
        <v>#N/A</v>
      </c>
      <c r="AL102" s="3" t="e">
        <f t="shared" si="50"/>
        <v>#N/A</v>
      </c>
      <c r="AM102" s="3" t="e">
        <f t="shared" si="50"/>
        <v>#N/A</v>
      </c>
      <c r="AN102" s="3" t="e">
        <f t="shared" si="50"/>
        <v>#N/A</v>
      </c>
      <c r="AO102" s="3" t="e">
        <f t="shared" si="50"/>
        <v>#N/A</v>
      </c>
      <c r="AP102" s="3" t="e">
        <f t="shared" si="50"/>
        <v>#N/A</v>
      </c>
      <c r="AQ102" s="3" t="e">
        <f t="shared" si="50"/>
        <v>#N/A</v>
      </c>
      <c r="AR102" s="3" t="e">
        <f t="shared" si="50"/>
        <v>#N/A</v>
      </c>
      <c r="AS102" s="3" t="e">
        <f t="shared" si="50"/>
        <v>#N/A</v>
      </c>
      <c r="AT102" s="3" t="e">
        <f t="shared" si="50"/>
        <v>#N/A</v>
      </c>
      <c r="AU102" s="3" t="e">
        <f t="shared" si="50"/>
        <v>#N/A</v>
      </c>
      <c r="AV102" s="3" t="e">
        <f t="shared" si="50"/>
        <v>#N/A</v>
      </c>
      <c r="AW102" s="3" t="e">
        <f t="shared" si="50"/>
        <v>#N/A</v>
      </c>
      <c r="AX102" s="3" t="e">
        <f t="shared" si="50"/>
        <v>#N/A</v>
      </c>
      <c r="AY102" s="3" t="e">
        <f t="shared" si="50"/>
        <v>#N/A</v>
      </c>
      <c r="AZ102" s="3" t="e">
        <f t="shared" si="50"/>
        <v>#N/A</v>
      </c>
      <c r="BA102" s="3" t="e">
        <f t="shared" si="50"/>
        <v>#N/A</v>
      </c>
      <c r="BB102" s="3" t="e">
        <f t="shared" si="50"/>
        <v>#N/A</v>
      </c>
      <c r="BC102" s="3" t="e">
        <f t="shared" si="50"/>
        <v>#N/A</v>
      </c>
      <c r="BD102" s="3" t="e">
        <f t="shared" si="50"/>
        <v>#N/A</v>
      </c>
      <c r="BE102" s="3" t="e">
        <f t="shared" si="50"/>
        <v>#N/A</v>
      </c>
      <c r="BF102" s="3" t="e">
        <f t="shared" si="50"/>
        <v>#N/A</v>
      </c>
      <c r="BG102" s="3" t="e">
        <f t="shared" si="50"/>
        <v>#N/A</v>
      </c>
      <c r="BH102" s="3" t="e">
        <f t="shared" si="50"/>
        <v>#N/A</v>
      </c>
      <c r="BI102" s="3" t="e">
        <f t="shared" si="50"/>
        <v>#N/A</v>
      </c>
      <c r="BJ102" s="3" t="e">
        <f t="shared" si="50"/>
        <v>#N/A</v>
      </c>
      <c r="BK102" s="3" t="e">
        <f t="shared" si="50"/>
        <v>#N/A</v>
      </c>
      <c r="BL102" s="3" t="e">
        <f t="shared" si="50"/>
        <v>#N/A</v>
      </c>
      <c r="BM102" s="3" t="e">
        <f t="shared" si="50"/>
        <v>#N/A</v>
      </c>
      <c r="BN102" s="3" t="e">
        <f t="shared" si="50"/>
        <v>#N/A</v>
      </c>
      <c r="BO102" s="3" t="e">
        <f t="shared" si="50"/>
        <v>#N/A</v>
      </c>
      <c r="BP102" s="3" t="e">
        <f t="shared" si="50"/>
        <v>#N/A</v>
      </c>
      <c r="BQ102" s="3" t="e">
        <f t="shared" si="50"/>
        <v>#N/A</v>
      </c>
    </row>
    <row r="103" spans="1:69" outlineLevel="1"/>
    <row r="104" spans="1:69" outlineLevel="1"/>
    <row r="105" spans="1:69" outlineLevel="1">
      <c r="B105" s="27" t="s">
        <v>234</v>
      </c>
    </row>
    <row r="106" spans="1:69" outlineLevel="2">
      <c r="E106" s="5" t="str">
        <f t="shared" ref="E106:BQ106" si="51" xml:space="preserve">  E$28</f>
        <v>Period number</v>
      </c>
      <c r="F106" s="5">
        <f t="shared" si="51"/>
        <v>0</v>
      </c>
      <c r="G106" s="5" t="str">
        <f t="shared" si="51"/>
        <v>Counter</v>
      </c>
      <c r="H106" s="5">
        <f t="shared" si="51"/>
        <v>0</v>
      </c>
      <c r="I106" s="5">
        <f t="shared" si="51"/>
        <v>0</v>
      </c>
      <c r="J106" s="5">
        <f t="shared" si="51"/>
        <v>1</v>
      </c>
      <c r="K106" s="5">
        <f t="shared" si="51"/>
        <v>2</v>
      </c>
      <c r="L106" s="5">
        <f t="shared" si="51"/>
        <v>3</v>
      </c>
      <c r="M106" s="5">
        <f t="shared" si="51"/>
        <v>4</v>
      </c>
      <c r="N106" s="5">
        <f t="shared" si="51"/>
        <v>5</v>
      </c>
      <c r="O106" s="5">
        <f t="shared" si="51"/>
        <v>6</v>
      </c>
      <c r="P106" s="5">
        <f t="shared" si="51"/>
        <v>7</v>
      </c>
      <c r="Q106" s="5">
        <f t="shared" si="51"/>
        <v>8</v>
      </c>
      <c r="R106" s="5">
        <f t="shared" si="51"/>
        <v>9</v>
      </c>
      <c r="S106" s="5">
        <f t="shared" si="51"/>
        <v>10</v>
      </c>
      <c r="T106" s="5">
        <f t="shared" si="51"/>
        <v>11</v>
      </c>
      <c r="U106" s="5">
        <f t="shared" si="51"/>
        <v>12</v>
      </c>
      <c r="V106" s="5">
        <f t="shared" si="51"/>
        <v>13</v>
      </c>
      <c r="W106" s="5">
        <f t="shared" si="51"/>
        <v>14</v>
      </c>
      <c r="X106" s="5">
        <f t="shared" si="51"/>
        <v>15</v>
      </c>
      <c r="Y106" s="5">
        <f t="shared" si="51"/>
        <v>16</v>
      </c>
      <c r="Z106" s="5">
        <f t="shared" si="51"/>
        <v>17</v>
      </c>
      <c r="AA106" s="5">
        <f t="shared" si="51"/>
        <v>18</v>
      </c>
      <c r="AB106" s="5">
        <f t="shared" si="51"/>
        <v>19</v>
      </c>
      <c r="AC106" s="5">
        <f t="shared" si="51"/>
        <v>20</v>
      </c>
      <c r="AD106" s="5">
        <f t="shared" si="51"/>
        <v>21</v>
      </c>
      <c r="AE106" s="5">
        <f t="shared" si="51"/>
        <v>22</v>
      </c>
      <c r="AF106" s="5">
        <f t="shared" si="51"/>
        <v>23</v>
      </c>
      <c r="AG106" s="5">
        <f t="shared" si="51"/>
        <v>24</v>
      </c>
      <c r="AH106" s="5">
        <f t="shared" si="51"/>
        <v>25</v>
      </c>
      <c r="AI106" s="5">
        <f t="shared" si="51"/>
        <v>26</v>
      </c>
      <c r="AJ106" s="5">
        <f t="shared" si="51"/>
        <v>27</v>
      </c>
      <c r="AK106" s="5">
        <f t="shared" si="51"/>
        <v>28</v>
      </c>
      <c r="AL106" s="5">
        <f t="shared" si="51"/>
        <v>29</v>
      </c>
      <c r="AM106" s="5">
        <f t="shared" si="51"/>
        <v>30</v>
      </c>
      <c r="AN106" s="5">
        <f t="shared" si="51"/>
        <v>31</v>
      </c>
      <c r="AO106" s="5">
        <f t="shared" si="51"/>
        <v>32</v>
      </c>
      <c r="AP106" s="5">
        <f t="shared" si="51"/>
        <v>33</v>
      </c>
      <c r="AQ106" s="5">
        <f t="shared" si="51"/>
        <v>34</v>
      </c>
      <c r="AR106" s="5">
        <f t="shared" si="51"/>
        <v>35</v>
      </c>
      <c r="AS106" s="5">
        <f t="shared" si="51"/>
        <v>36</v>
      </c>
      <c r="AT106" s="5">
        <f t="shared" si="51"/>
        <v>37</v>
      </c>
      <c r="AU106" s="5">
        <f t="shared" si="51"/>
        <v>38</v>
      </c>
      <c r="AV106" s="5">
        <f t="shared" si="51"/>
        <v>39</v>
      </c>
      <c r="AW106" s="5">
        <f t="shared" si="51"/>
        <v>40</v>
      </c>
      <c r="AX106" s="5">
        <f t="shared" si="51"/>
        <v>41</v>
      </c>
      <c r="AY106" s="5">
        <f t="shared" si="51"/>
        <v>42</v>
      </c>
      <c r="AZ106" s="5">
        <f t="shared" si="51"/>
        <v>43</v>
      </c>
      <c r="BA106" s="5">
        <f t="shared" si="51"/>
        <v>44</v>
      </c>
      <c r="BB106" s="5">
        <f t="shared" si="51"/>
        <v>45</v>
      </c>
      <c r="BC106" s="5">
        <f t="shared" si="51"/>
        <v>46</v>
      </c>
      <c r="BD106" s="5">
        <f t="shared" si="51"/>
        <v>47</v>
      </c>
      <c r="BE106" s="5">
        <f t="shared" si="51"/>
        <v>48</v>
      </c>
      <c r="BF106" s="5">
        <f t="shared" si="51"/>
        <v>49</v>
      </c>
      <c r="BG106" s="5">
        <f t="shared" si="51"/>
        <v>50</v>
      </c>
      <c r="BH106" s="5">
        <f t="shared" si="51"/>
        <v>51</v>
      </c>
      <c r="BI106" s="5">
        <f t="shared" si="51"/>
        <v>52</v>
      </c>
      <c r="BJ106" s="5">
        <f t="shared" si="51"/>
        <v>53</v>
      </c>
      <c r="BK106" s="5">
        <f t="shared" si="51"/>
        <v>54</v>
      </c>
      <c r="BL106" s="5">
        <f t="shared" si="51"/>
        <v>55</v>
      </c>
      <c r="BM106" s="5">
        <f t="shared" si="51"/>
        <v>56</v>
      </c>
      <c r="BN106" s="5">
        <f t="shared" si="51"/>
        <v>57</v>
      </c>
      <c r="BO106" s="5">
        <f t="shared" si="51"/>
        <v>58</v>
      </c>
      <c r="BP106" s="5">
        <f t="shared" si="51"/>
        <v>59</v>
      </c>
      <c r="BQ106" s="5">
        <f t="shared" si="51"/>
        <v>60</v>
      </c>
    </row>
    <row r="107" spans="1:69" outlineLevel="2">
      <c r="E107" s="5" t="str">
        <f t="shared" ref="E107:BQ107" si="52" xml:space="preserve">  E$346</f>
        <v>Month to SemiAnnual : period end flag</v>
      </c>
      <c r="F107" s="5">
        <f t="shared" si="52"/>
        <v>0</v>
      </c>
      <c r="G107" s="5" t="str">
        <f t="shared" si="52"/>
        <v>counter</v>
      </c>
      <c r="H107" s="5">
        <f t="shared" si="52"/>
        <v>0</v>
      </c>
      <c r="I107" s="5">
        <f t="shared" si="52"/>
        <v>0</v>
      </c>
      <c r="J107" s="5">
        <f t="shared" si="52"/>
        <v>0</v>
      </c>
      <c r="K107" s="5">
        <f t="shared" si="52"/>
        <v>0</v>
      </c>
      <c r="L107" s="5">
        <f t="shared" si="52"/>
        <v>0</v>
      </c>
      <c r="M107" s="5">
        <f t="shared" si="52"/>
        <v>0</v>
      </c>
      <c r="N107" s="5">
        <f t="shared" si="52"/>
        <v>0</v>
      </c>
      <c r="O107" s="5">
        <f t="shared" si="52"/>
        <v>1</v>
      </c>
      <c r="P107" s="5">
        <f t="shared" si="52"/>
        <v>0</v>
      </c>
      <c r="Q107" s="5">
        <f t="shared" si="52"/>
        <v>0</v>
      </c>
      <c r="R107" s="5">
        <f t="shared" si="52"/>
        <v>0</v>
      </c>
      <c r="S107" s="5">
        <f t="shared" si="52"/>
        <v>0</v>
      </c>
      <c r="T107" s="5">
        <f t="shared" si="52"/>
        <v>0</v>
      </c>
      <c r="U107" s="5">
        <f t="shared" si="52"/>
        <v>2</v>
      </c>
      <c r="V107" s="5">
        <f t="shared" si="52"/>
        <v>0</v>
      </c>
      <c r="W107" s="5">
        <f t="shared" si="52"/>
        <v>0</v>
      </c>
      <c r="X107" s="5">
        <f t="shared" si="52"/>
        <v>0</v>
      </c>
      <c r="Y107" s="5">
        <f t="shared" si="52"/>
        <v>0</v>
      </c>
      <c r="Z107" s="5">
        <f t="shared" si="52"/>
        <v>0</v>
      </c>
      <c r="AA107" s="5">
        <f t="shared" si="52"/>
        <v>3</v>
      </c>
      <c r="AB107" s="5">
        <f t="shared" si="52"/>
        <v>0</v>
      </c>
      <c r="AC107" s="5">
        <f t="shared" si="52"/>
        <v>0</v>
      </c>
      <c r="AD107" s="5">
        <f t="shared" si="52"/>
        <v>0</v>
      </c>
      <c r="AE107" s="5">
        <f t="shared" si="52"/>
        <v>0</v>
      </c>
      <c r="AF107" s="5">
        <f t="shared" si="52"/>
        <v>0</v>
      </c>
      <c r="AG107" s="5">
        <f t="shared" si="52"/>
        <v>4</v>
      </c>
      <c r="AH107" s="5">
        <f t="shared" si="52"/>
        <v>0</v>
      </c>
      <c r="AI107" s="5">
        <f t="shared" si="52"/>
        <v>0</v>
      </c>
      <c r="AJ107" s="5">
        <f t="shared" si="52"/>
        <v>0</v>
      </c>
      <c r="AK107" s="5">
        <f t="shared" si="52"/>
        <v>0</v>
      </c>
      <c r="AL107" s="5">
        <f t="shared" si="52"/>
        <v>0</v>
      </c>
      <c r="AM107" s="5">
        <f t="shared" si="52"/>
        <v>5</v>
      </c>
      <c r="AN107" s="5">
        <f t="shared" si="52"/>
        <v>0</v>
      </c>
      <c r="AO107" s="5">
        <f t="shared" si="52"/>
        <v>0</v>
      </c>
      <c r="AP107" s="5">
        <f t="shared" si="52"/>
        <v>0</v>
      </c>
      <c r="AQ107" s="5">
        <f t="shared" si="52"/>
        <v>0</v>
      </c>
      <c r="AR107" s="5">
        <f t="shared" si="52"/>
        <v>0</v>
      </c>
      <c r="AS107" s="5">
        <f t="shared" si="52"/>
        <v>6</v>
      </c>
      <c r="AT107" s="5">
        <f t="shared" si="52"/>
        <v>0</v>
      </c>
      <c r="AU107" s="5">
        <f t="shared" si="52"/>
        <v>0</v>
      </c>
      <c r="AV107" s="5">
        <f t="shared" si="52"/>
        <v>0</v>
      </c>
      <c r="AW107" s="5">
        <f t="shared" si="52"/>
        <v>0</v>
      </c>
      <c r="AX107" s="5">
        <f t="shared" si="52"/>
        <v>0</v>
      </c>
      <c r="AY107" s="5">
        <f t="shared" si="52"/>
        <v>7</v>
      </c>
      <c r="AZ107" s="5">
        <f t="shared" si="52"/>
        <v>0</v>
      </c>
      <c r="BA107" s="5">
        <f t="shared" si="52"/>
        <v>0</v>
      </c>
      <c r="BB107" s="5">
        <f t="shared" si="52"/>
        <v>0</v>
      </c>
      <c r="BC107" s="5">
        <f t="shared" si="52"/>
        <v>0</v>
      </c>
      <c r="BD107" s="5">
        <f t="shared" si="52"/>
        <v>0</v>
      </c>
      <c r="BE107" s="5">
        <f t="shared" si="52"/>
        <v>8</v>
      </c>
      <c r="BF107" s="5">
        <f t="shared" si="52"/>
        <v>0</v>
      </c>
      <c r="BG107" s="5">
        <f t="shared" si="52"/>
        <v>0</v>
      </c>
      <c r="BH107" s="5">
        <f t="shared" si="52"/>
        <v>0</v>
      </c>
      <c r="BI107" s="5">
        <f t="shared" si="52"/>
        <v>0</v>
      </c>
      <c r="BJ107" s="5">
        <f t="shared" si="52"/>
        <v>0</v>
      </c>
      <c r="BK107" s="5">
        <f t="shared" si="52"/>
        <v>9</v>
      </c>
      <c r="BL107" s="5">
        <f t="shared" si="52"/>
        <v>0</v>
      </c>
      <c r="BM107" s="5">
        <f t="shared" si="52"/>
        <v>0</v>
      </c>
      <c r="BN107" s="5">
        <f t="shared" si="52"/>
        <v>0</v>
      </c>
      <c r="BO107" s="5">
        <f t="shared" si="52"/>
        <v>0</v>
      </c>
      <c r="BP107" s="5">
        <f t="shared" si="52"/>
        <v>0</v>
      </c>
      <c r="BQ107" s="5">
        <f t="shared" si="52"/>
        <v>10</v>
      </c>
    </row>
    <row r="108" spans="1:69" outlineLevel="2">
      <c r="A108" s="36"/>
      <c r="B108" s="36"/>
      <c r="C108" s="65"/>
      <c r="D108" s="64"/>
      <c r="E108" s="21" t="s">
        <v>234</v>
      </c>
      <c r="F108" s="21"/>
      <c r="G108" s="21" t="s">
        <v>279</v>
      </c>
      <c r="H108" s="21"/>
      <c r="I108" s="21"/>
      <c r="J108" s="14">
        <f t="shared" ref="J108:BQ108" si="53" xml:space="preserve">  INDEX( $J106:$BQ106, MATCH( J106, $J107:$BQ107, 0 ) )</f>
        <v>6</v>
      </c>
      <c r="K108" s="14">
        <f t="shared" si="53"/>
        <v>12</v>
      </c>
      <c r="L108" s="14">
        <f t="shared" si="53"/>
        <v>18</v>
      </c>
      <c r="M108" s="14">
        <f t="shared" si="53"/>
        <v>24</v>
      </c>
      <c r="N108" s="14">
        <f t="shared" si="53"/>
        <v>30</v>
      </c>
      <c r="O108" s="14">
        <f t="shared" si="53"/>
        <v>36</v>
      </c>
      <c r="P108" s="14">
        <f t="shared" si="53"/>
        <v>42</v>
      </c>
      <c r="Q108" s="14">
        <f t="shared" si="53"/>
        <v>48</v>
      </c>
      <c r="R108" s="14">
        <f t="shared" si="53"/>
        <v>54</v>
      </c>
      <c r="S108" s="14">
        <f t="shared" si="53"/>
        <v>60</v>
      </c>
      <c r="T108" s="14" t="e">
        <f t="shared" si="53"/>
        <v>#N/A</v>
      </c>
      <c r="U108" s="14" t="e">
        <f t="shared" si="53"/>
        <v>#N/A</v>
      </c>
      <c r="V108" s="14" t="e">
        <f t="shared" si="53"/>
        <v>#N/A</v>
      </c>
      <c r="W108" s="14" t="e">
        <f t="shared" si="53"/>
        <v>#N/A</v>
      </c>
      <c r="X108" s="14" t="e">
        <f t="shared" si="53"/>
        <v>#N/A</v>
      </c>
      <c r="Y108" s="14" t="e">
        <f t="shared" si="53"/>
        <v>#N/A</v>
      </c>
      <c r="Z108" s="14" t="e">
        <f t="shared" si="53"/>
        <v>#N/A</v>
      </c>
      <c r="AA108" s="14" t="e">
        <f t="shared" si="53"/>
        <v>#N/A</v>
      </c>
      <c r="AB108" s="14" t="e">
        <f t="shared" si="53"/>
        <v>#N/A</v>
      </c>
      <c r="AC108" s="14" t="e">
        <f t="shared" si="53"/>
        <v>#N/A</v>
      </c>
      <c r="AD108" s="14" t="e">
        <f t="shared" si="53"/>
        <v>#N/A</v>
      </c>
      <c r="AE108" s="14" t="e">
        <f t="shared" si="53"/>
        <v>#N/A</v>
      </c>
      <c r="AF108" s="14" t="e">
        <f t="shared" si="53"/>
        <v>#N/A</v>
      </c>
      <c r="AG108" s="14" t="e">
        <f t="shared" si="53"/>
        <v>#N/A</v>
      </c>
      <c r="AH108" s="14" t="e">
        <f t="shared" si="53"/>
        <v>#N/A</v>
      </c>
      <c r="AI108" s="14" t="e">
        <f t="shared" si="53"/>
        <v>#N/A</v>
      </c>
      <c r="AJ108" s="14" t="e">
        <f t="shared" si="53"/>
        <v>#N/A</v>
      </c>
      <c r="AK108" s="14" t="e">
        <f t="shared" si="53"/>
        <v>#N/A</v>
      </c>
      <c r="AL108" s="14" t="e">
        <f t="shared" si="53"/>
        <v>#N/A</v>
      </c>
      <c r="AM108" s="14" t="e">
        <f t="shared" si="53"/>
        <v>#N/A</v>
      </c>
      <c r="AN108" s="14" t="e">
        <f t="shared" si="53"/>
        <v>#N/A</v>
      </c>
      <c r="AO108" s="14" t="e">
        <f t="shared" si="53"/>
        <v>#N/A</v>
      </c>
      <c r="AP108" s="14" t="e">
        <f t="shared" si="53"/>
        <v>#N/A</v>
      </c>
      <c r="AQ108" s="14" t="e">
        <f t="shared" si="53"/>
        <v>#N/A</v>
      </c>
      <c r="AR108" s="14" t="e">
        <f t="shared" si="53"/>
        <v>#N/A</v>
      </c>
      <c r="AS108" s="14" t="e">
        <f t="shared" si="53"/>
        <v>#N/A</v>
      </c>
      <c r="AT108" s="14" t="e">
        <f t="shared" si="53"/>
        <v>#N/A</v>
      </c>
      <c r="AU108" s="14" t="e">
        <f t="shared" si="53"/>
        <v>#N/A</v>
      </c>
      <c r="AV108" s="14" t="e">
        <f t="shared" si="53"/>
        <v>#N/A</v>
      </c>
      <c r="AW108" s="14" t="e">
        <f t="shared" si="53"/>
        <v>#N/A</v>
      </c>
      <c r="AX108" s="14" t="e">
        <f t="shared" si="53"/>
        <v>#N/A</v>
      </c>
      <c r="AY108" s="14" t="e">
        <f t="shared" si="53"/>
        <v>#N/A</v>
      </c>
      <c r="AZ108" s="14" t="e">
        <f t="shared" si="53"/>
        <v>#N/A</v>
      </c>
      <c r="BA108" s="14" t="e">
        <f t="shared" si="53"/>
        <v>#N/A</v>
      </c>
      <c r="BB108" s="14" t="e">
        <f t="shared" si="53"/>
        <v>#N/A</v>
      </c>
      <c r="BC108" s="14" t="e">
        <f t="shared" si="53"/>
        <v>#N/A</v>
      </c>
      <c r="BD108" s="14" t="e">
        <f t="shared" si="53"/>
        <v>#N/A</v>
      </c>
      <c r="BE108" s="14" t="e">
        <f t="shared" si="53"/>
        <v>#N/A</v>
      </c>
      <c r="BF108" s="14" t="e">
        <f t="shared" si="53"/>
        <v>#N/A</v>
      </c>
      <c r="BG108" s="14" t="e">
        <f t="shared" si="53"/>
        <v>#N/A</v>
      </c>
      <c r="BH108" s="14" t="e">
        <f t="shared" si="53"/>
        <v>#N/A</v>
      </c>
      <c r="BI108" s="14" t="e">
        <f t="shared" si="53"/>
        <v>#N/A</v>
      </c>
      <c r="BJ108" s="14" t="e">
        <f t="shared" si="53"/>
        <v>#N/A</v>
      </c>
      <c r="BK108" s="14" t="e">
        <f t="shared" si="53"/>
        <v>#N/A</v>
      </c>
      <c r="BL108" s="14" t="e">
        <f t="shared" si="53"/>
        <v>#N/A</v>
      </c>
      <c r="BM108" s="14" t="e">
        <f t="shared" si="53"/>
        <v>#N/A</v>
      </c>
      <c r="BN108" s="14" t="e">
        <f t="shared" si="53"/>
        <v>#N/A</v>
      </c>
      <c r="BO108" s="14" t="e">
        <f t="shared" si="53"/>
        <v>#N/A</v>
      </c>
      <c r="BP108" s="14" t="e">
        <f t="shared" si="53"/>
        <v>#N/A</v>
      </c>
      <c r="BQ108" s="14" t="e">
        <f t="shared" si="53"/>
        <v>#N/A</v>
      </c>
    </row>
    <row r="109" spans="1:69" outlineLevel="1"/>
    <row r="111" spans="1:69">
      <c r="A111" s="27" t="s">
        <v>148</v>
      </c>
    </row>
    <row r="112" spans="1:69" outlineLevel="1">
      <c r="B112" s="27" t="s">
        <v>235</v>
      </c>
    </row>
    <row r="113" spans="1:69" outlineLevel="2">
      <c r="A113" s="18"/>
      <c r="B113" s="18"/>
      <c r="C113" s="30"/>
      <c r="D113" s="31"/>
      <c r="E113" s="19" t="str">
        <f xml:space="preserve">  InpC!E$100</f>
        <v>Start date</v>
      </c>
      <c r="F113" s="19">
        <f xml:space="preserve">  InpC!F$100</f>
        <v>45047</v>
      </c>
      <c r="G113" s="19" t="str">
        <f xml:space="preserve">  InpC!G$100</f>
        <v>date</v>
      </c>
      <c r="M113" s="8"/>
    </row>
    <row r="114" spans="1:69" outlineLevel="2">
      <c r="E114" s="8" t="str">
        <f t="shared" ref="E114:BQ114" si="54" xml:space="preserve">  E$19</f>
        <v>Model period end</v>
      </c>
      <c r="F114" s="8">
        <f t="shared" si="54"/>
        <v>0</v>
      </c>
      <c r="G114" s="8" t="str">
        <f t="shared" si="54"/>
        <v>date</v>
      </c>
      <c r="H114" s="8">
        <f t="shared" si="54"/>
        <v>0</v>
      </c>
      <c r="I114" s="8">
        <f t="shared" si="54"/>
        <v>0</v>
      </c>
      <c r="J114" s="8">
        <f t="shared" si="54"/>
        <v>45077</v>
      </c>
      <c r="K114" s="8">
        <f t="shared" si="54"/>
        <v>45107</v>
      </c>
      <c r="L114" s="8">
        <f t="shared" si="54"/>
        <v>45138</v>
      </c>
      <c r="M114" s="8">
        <f t="shared" si="54"/>
        <v>45169</v>
      </c>
      <c r="N114" s="8">
        <f t="shared" si="54"/>
        <v>45199</v>
      </c>
      <c r="O114" s="8">
        <f t="shared" si="54"/>
        <v>45230</v>
      </c>
      <c r="P114" s="8">
        <f t="shared" si="54"/>
        <v>45260</v>
      </c>
      <c r="Q114" s="8">
        <f t="shared" si="54"/>
        <v>45291</v>
      </c>
      <c r="R114" s="8">
        <f t="shared" si="54"/>
        <v>45322</v>
      </c>
      <c r="S114" s="8">
        <f t="shared" si="54"/>
        <v>45351</v>
      </c>
      <c r="T114" s="8">
        <f t="shared" si="54"/>
        <v>45382</v>
      </c>
      <c r="U114" s="8">
        <f t="shared" si="54"/>
        <v>45412</v>
      </c>
      <c r="V114" s="8">
        <f t="shared" si="54"/>
        <v>45443</v>
      </c>
      <c r="W114" s="8">
        <f t="shared" si="54"/>
        <v>45473</v>
      </c>
      <c r="X114" s="8">
        <f t="shared" si="54"/>
        <v>45504</v>
      </c>
      <c r="Y114" s="8">
        <f t="shared" si="54"/>
        <v>45535</v>
      </c>
      <c r="Z114" s="8">
        <f t="shared" si="54"/>
        <v>45565</v>
      </c>
      <c r="AA114" s="8">
        <f t="shared" si="54"/>
        <v>45596</v>
      </c>
      <c r="AB114" s="8">
        <f t="shared" si="54"/>
        <v>45626</v>
      </c>
      <c r="AC114" s="8">
        <f t="shared" si="54"/>
        <v>45657</v>
      </c>
      <c r="AD114" s="8">
        <f t="shared" si="54"/>
        <v>45688</v>
      </c>
      <c r="AE114" s="8">
        <f t="shared" si="54"/>
        <v>45716</v>
      </c>
      <c r="AF114" s="8">
        <f t="shared" si="54"/>
        <v>45747</v>
      </c>
      <c r="AG114" s="8">
        <f t="shared" si="54"/>
        <v>45777</v>
      </c>
      <c r="AH114" s="8">
        <f t="shared" si="54"/>
        <v>45808</v>
      </c>
      <c r="AI114" s="8">
        <f t="shared" si="54"/>
        <v>45838</v>
      </c>
      <c r="AJ114" s="8">
        <f t="shared" si="54"/>
        <v>45869</v>
      </c>
      <c r="AK114" s="8">
        <f t="shared" si="54"/>
        <v>45900</v>
      </c>
      <c r="AL114" s="8">
        <f t="shared" si="54"/>
        <v>45930</v>
      </c>
      <c r="AM114" s="8">
        <f t="shared" si="54"/>
        <v>45961</v>
      </c>
      <c r="AN114" s="8">
        <f t="shared" si="54"/>
        <v>45991</v>
      </c>
      <c r="AO114" s="8">
        <f t="shared" si="54"/>
        <v>46022</v>
      </c>
      <c r="AP114" s="8">
        <f t="shared" si="54"/>
        <v>46053</v>
      </c>
      <c r="AQ114" s="8">
        <f t="shared" si="54"/>
        <v>46081</v>
      </c>
      <c r="AR114" s="8">
        <f t="shared" si="54"/>
        <v>46112</v>
      </c>
      <c r="AS114" s="8">
        <f t="shared" si="54"/>
        <v>46142</v>
      </c>
      <c r="AT114" s="8">
        <f t="shared" si="54"/>
        <v>46173</v>
      </c>
      <c r="AU114" s="8">
        <f t="shared" si="54"/>
        <v>46203</v>
      </c>
      <c r="AV114" s="8">
        <f t="shared" si="54"/>
        <v>46234</v>
      </c>
      <c r="AW114" s="8">
        <f t="shared" si="54"/>
        <v>46265</v>
      </c>
      <c r="AX114" s="8">
        <f t="shared" si="54"/>
        <v>46295</v>
      </c>
      <c r="AY114" s="8">
        <f t="shared" si="54"/>
        <v>46326</v>
      </c>
      <c r="AZ114" s="8">
        <f t="shared" si="54"/>
        <v>46356</v>
      </c>
      <c r="BA114" s="8">
        <f t="shared" si="54"/>
        <v>46387</v>
      </c>
      <c r="BB114" s="8">
        <f t="shared" si="54"/>
        <v>46418</v>
      </c>
      <c r="BC114" s="8">
        <f t="shared" si="54"/>
        <v>46446</v>
      </c>
      <c r="BD114" s="8">
        <f t="shared" si="54"/>
        <v>46477</v>
      </c>
      <c r="BE114" s="8">
        <f t="shared" si="54"/>
        <v>46507</v>
      </c>
      <c r="BF114" s="8">
        <f t="shared" si="54"/>
        <v>46538</v>
      </c>
      <c r="BG114" s="8">
        <f t="shared" si="54"/>
        <v>46568</v>
      </c>
      <c r="BH114" s="8">
        <f t="shared" si="54"/>
        <v>46599</v>
      </c>
      <c r="BI114" s="8">
        <f t="shared" si="54"/>
        <v>46630</v>
      </c>
      <c r="BJ114" s="8">
        <f t="shared" si="54"/>
        <v>46660</v>
      </c>
      <c r="BK114" s="8">
        <f t="shared" si="54"/>
        <v>46691</v>
      </c>
      <c r="BL114" s="8">
        <f t="shared" si="54"/>
        <v>46721</v>
      </c>
      <c r="BM114" s="8">
        <f t="shared" si="54"/>
        <v>46752</v>
      </c>
      <c r="BN114" s="8">
        <f t="shared" si="54"/>
        <v>46783</v>
      </c>
      <c r="BO114" s="8">
        <f t="shared" si="54"/>
        <v>46812</v>
      </c>
      <c r="BP114" s="8">
        <f t="shared" si="54"/>
        <v>46843</v>
      </c>
      <c r="BQ114" s="8">
        <f t="shared" si="54"/>
        <v>46873</v>
      </c>
    </row>
    <row r="115" spans="1:69" outlineLevel="2">
      <c r="E115" s="46" t="s">
        <v>235</v>
      </c>
      <c r="G115" s="46" t="s">
        <v>21</v>
      </c>
      <c r="H115" s="2">
        <f xml:space="preserve"> SUM( J115:BQ115 )</f>
        <v>60</v>
      </c>
      <c r="J115" s="2">
        <f t="shared" ref="J115:BQ115" si="55" xml:space="preserve">  IF( $F113 &lt; J114, 1, 0 )</f>
        <v>1</v>
      </c>
      <c r="K115" s="2">
        <f t="shared" si="55"/>
        <v>1</v>
      </c>
      <c r="L115" s="2">
        <f t="shared" si="55"/>
        <v>1</v>
      </c>
      <c r="M115" s="2">
        <f t="shared" si="55"/>
        <v>1</v>
      </c>
      <c r="N115" s="2">
        <f t="shared" si="55"/>
        <v>1</v>
      </c>
      <c r="O115" s="2">
        <f t="shared" si="55"/>
        <v>1</v>
      </c>
      <c r="P115" s="2">
        <f t="shared" si="55"/>
        <v>1</v>
      </c>
      <c r="Q115" s="2">
        <f t="shared" si="55"/>
        <v>1</v>
      </c>
      <c r="R115" s="2">
        <f t="shared" si="55"/>
        <v>1</v>
      </c>
      <c r="S115" s="2">
        <f t="shared" si="55"/>
        <v>1</v>
      </c>
      <c r="T115" s="2">
        <f t="shared" si="55"/>
        <v>1</v>
      </c>
      <c r="U115" s="2">
        <f t="shared" si="55"/>
        <v>1</v>
      </c>
      <c r="V115" s="2">
        <f t="shared" si="55"/>
        <v>1</v>
      </c>
      <c r="W115" s="2">
        <f t="shared" si="55"/>
        <v>1</v>
      </c>
      <c r="X115" s="2">
        <f t="shared" si="55"/>
        <v>1</v>
      </c>
      <c r="Y115" s="2">
        <f t="shared" si="55"/>
        <v>1</v>
      </c>
      <c r="Z115" s="2">
        <f t="shared" si="55"/>
        <v>1</v>
      </c>
      <c r="AA115" s="2">
        <f t="shared" si="55"/>
        <v>1</v>
      </c>
      <c r="AB115" s="2">
        <f t="shared" si="55"/>
        <v>1</v>
      </c>
      <c r="AC115" s="2">
        <f t="shared" si="55"/>
        <v>1</v>
      </c>
      <c r="AD115" s="2">
        <f t="shared" si="55"/>
        <v>1</v>
      </c>
      <c r="AE115" s="2">
        <f t="shared" si="55"/>
        <v>1</v>
      </c>
      <c r="AF115" s="2">
        <f t="shared" si="55"/>
        <v>1</v>
      </c>
      <c r="AG115" s="2">
        <f t="shared" si="55"/>
        <v>1</v>
      </c>
      <c r="AH115" s="2">
        <f t="shared" si="55"/>
        <v>1</v>
      </c>
      <c r="AI115" s="2">
        <f t="shared" si="55"/>
        <v>1</v>
      </c>
      <c r="AJ115" s="2">
        <f t="shared" si="55"/>
        <v>1</v>
      </c>
      <c r="AK115" s="2">
        <f t="shared" si="55"/>
        <v>1</v>
      </c>
      <c r="AL115" s="2">
        <f t="shared" si="55"/>
        <v>1</v>
      </c>
      <c r="AM115" s="2">
        <f t="shared" si="55"/>
        <v>1</v>
      </c>
      <c r="AN115" s="2">
        <f t="shared" si="55"/>
        <v>1</v>
      </c>
      <c r="AO115" s="2">
        <f t="shared" si="55"/>
        <v>1</v>
      </c>
      <c r="AP115" s="2">
        <f t="shared" si="55"/>
        <v>1</v>
      </c>
      <c r="AQ115" s="2">
        <f t="shared" si="55"/>
        <v>1</v>
      </c>
      <c r="AR115" s="2">
        <f t="shared" si="55"/>
        <v>1</v>
      </c>
      <c r="AS115" s="2">
        <f t="shared" si="55"/>
        <v>1</v>
      </c>
      <c r="AT115" s="2">
        <f t="shared" si="55"/>
        <v>1</v>
      </c>
      <c r="AU115" s="2">
        <f t="shared" si="55"/>
        <v>1</v>
      </c>
      <c r="AV115" s="2">
        <f t="shared" si="55"/>
        <v>1</v>
      </c>
      <c r="AW115" s="2">
        <f t="shared" si="55"/>
        <v>1</v>
      </c>
      <c r="AX115" s="2">
        <f t="shared" si="55"/>
        <v>1</v>
      </c>
      <c r="AY115" s="2">
        <f t="shared" si="55"/>
        <v>1</v>
      </c>
      <c r="AZ115" s="2">
        <f t="shared" si="55"/>
        <v>1</v>
      </c>
      <c r="BA115" s="2">
        <f t="shared" si="55"/>
        <v>1</v>
      </c>
      <c r="BB115" s="2">
        <f t="shared" si="55"/>
        <v>1</v>
      </c>
      <c r="BC115" s="2">
        <f t="shared" si="55"/>
        <v>1</v>
      </c>
      <c r="BD115" s="2">
        <f t="shared" si="55"/>
        <v>1</v>
      </c>
      <c r="BE115" s="2">
        <f t="shared" si="55"/>
        <v>1</v>
      </c>
      <c r="BF115" s="2">
        <f t="shared" si="55"/>
        <v>1</v>
      </c>
      <c r="BG115" s="2">
        <f t="shared" si="55"/>
        <v>1</v>
      </c>
      <c r="BH115" s="2">
        <f t="shared" si="55"/>
        <v>1</v>
      </c>
      <c r="BI115" s="2">
        <f t="shared" si="55"/>
        <v>1</v>
      </c>
      <c r="BJ115" s="2">
        <f t="shared" si="55"/>
        <v>1</v>
      </c>
      <c r="BK115" s="2">
        <f t="shared" si="55"/>
        <v>1</v>
      </c>
      <c r="BL115" s="2">
        <f t="shared" si="55"/>
        <v>1</v>
      </c>
      <c r="BM115" s="2">
        <f t="shared" si="55"/>
        <v>1</v>
      </c>
      <c r="BN115" s="2">
        <f t="shared" si="55"/>
        <v>1</v>
      </c>
      <c r="BO115" s="2">
        <f t="shared" si="55"/>
        <v>1</v>
      </c>
      <c r="BP115" s="2">
        <f t="shared" si="55"/>
        <v>1</v>
      </c>
      <c r="BQ115" s="2">
        <f t="shared" si="55"/>
        <v>1</v>
      </c>
    </row>
    <row r="116" spans="1:69" outlineLevel="1"/>
    <row r="117" spans="1:69" outlineLevel="1"/>
    <row r="118" spans="1:69" outlineLevel="1">
      <c r="B118" s="27" t="s">
        <v>291</v>
      </c>
    </row>
    <row r="119" spans="1:69" outlineLevel="2">
      <c r="A119" s="18"/>
      <c r="B119" s="18"/>
      <c r="C119" s="30"/>
      <c r="D119" s="31"/>
      <c r="E119" s="19" t="str">
        <f xml:space="preserve">  InpC!E$100</f>
        <v>Start date</v>
      </c>
      <c r="F119" s="19">
        <f xml:space="preserve">  InpC!F$100</f>
        <v>45047</v>
      </c>
      <c r="G119" s="19" t="str">
        <f xml:space="preserve">  InpC!G$100</f>
        <v>date</v>
      </c>
      <c r="M119" s="8"/>
    </row>
    <row r="120" spans="1:69" outlineLevel="2">
      <c r="E120" s="8" t="str">
        <f t="shared" ref="E120:BQ120" si="56" xml:space="preserve">  E$19</f>
        <v>Model period end</v>
      </c>
      <c r="F120" s="8">
        <f t="shared" si="56"/>
        <v>0</v>
      </c>
      <c r="G120" s="8" t="str">
        <f t="shared" si="56"/>
        <v>date</v>
      </c>
      <c r="H120" s="8">
        <f t="shared" si="56"/>
        <v>0</v>
      </c>
      <c r="I120" s="8">
        <f t="shared" si="56"/>
        <v>0</v>
      </c>
      <c r="J120" s="8">
        <f t="shared" si="56"/>
        <v>45077</v>
      </c>
      <c r="K120" s="8">
        <f t="shared" si="56"/>
        <v>45107</v>
      </c>
      <c r="L120" s="8">
        <f t="shared" si="56"/>
        <v>45138</v>
      </c>
      <c r="M120" s="8">
        <f t="shared" si="56"/>
        <v>45169</v>
      </c>
      <c r="N120" s="8">
        <f t="shared" si="56"/>
        <v>45199</v>
      </c>
      <c r="O120" s="8">
        <f t="shared" si="56"/>
        <v>45230</v>
      </c>
      <c r="P120" s="8">
        <f t="shared" si="56"/>
        <v>45260</v>
      </c>
      <c r="Q120" s="8">
        <f t="shared" si="56"/>
        <v>45291</v>
      </c>
      <c r="R120" s="8">
        <f t="shared" si="56"/>
        <v>45322</v>
      </c>
      <c r="S120" s="8">
        <f t="shared" si="56"/>
        <v>45351</v>
      </c>
      <c r="T120" s="8">
        <f t="shared" si="56"/>
        <v>45382</v>
      </c>
      <c r="U120" s="8">
        <f t="shared" si="56"/>
        <v>45412</v>
      </c>
      <c r="V120" s="8">
        <f t="shared" si="56"/>
        <v>45443</v>
      </c>
      <c r="W120" s="8">
        <f t="shared" si="56"/>
        <v>45473</v>
      </c>
      <c r="X120" s="8">
        <f t="shared" si="56"/>
        <v>45504</v>
      </c>
      <c r="Y120" s="8">
        <f t="shared" si="56"/>
        <v>45535</v>
      </c>
      <c r="Z120" s="8">
        <f t="shared" si="56"/>
        <v>45565</v>
      </c>
      <c r="AA120" s="8">
        <f t="shared" si="56"/>
        <v>45596</v>
      </c>
      <c r="AB120" s="8">
        <f t="shared" si="56"/>
        <v>45626</v>
      </c>
      <c r="AC120" s="8">
        <f t="shared" si="56"/>
        <v>45657</v>
      </c>
      <c r="AD120" s="8">
        <f t="shared" si="56"/>
        <v>45688</v>
      </c>
      <c r="AE120" s="8">
        <f t="shared" si="56"/>
        <v>45716</v>
      </c>
      <c r="AF120" s="8">
        <f t="shared" si="56"/>
        <v>45747</v>
      </c>
      <c r="AG120" s="8">
        <f t="shared" si="56"/>
        <v>45777</v>
      </c>
      <c r="AH120" s="8">
        <f t="shared" si="56"/>
        <v>45808</v>
      </c>
      <c r="AI120" s="8">
        <f t="shared" si="56"/>
        <v>45838</v>
      </c>
      <c r="AJ120" s="8">
        <f t="shared" si="56"/>
        <v>45869</v>
      </c>
      <c r="AK120" s="8">
        <f t="shared" si="56"/>
        <v>45900</v>
      </c>
      <c r="AL120" s="8">
        <f t="shared" si="56"/>
        <v>45930</v>
      </c>
      <c r="AM120" s="8">
        <f t="shared" si="56"/>
        <v>45961</v>
      </c>
      <c r="AN120" s="8">
        <f t="shared" si="56"/>
        <v>45991</v>
      </c>
      <c r="AO120" s="8">
        <f t="shared" si="56"/>
        <v>46022</v>
      </c>
      <c r="AP120" s="8">
        <f t="shared" si="56"/>
        <v>46053</v>
      </c>
      <c r="AQ120" s="8">
        <f t="shared" si="56"/>
        <v>46081</v>
      </c>
      <c r="AR120" s="8">
        <f t="shared" si="56"/>
        <v>46112</v>
      </c>
      <c r="AS120" s="8">
        <f t="shared" si="56"/>
        <v>46142</v>
      </c>
      <c r="AT120" s="8">
        <f t="shared" si="56"/>
        <v>46173</v>
      </c>
      <c r="AU120" s="8">
        <f t="shared" si="56"/>
        <v>46203</v>
      </c>
      <c r="AV120" s="8">
        <f t="shared" si="56"/>
        <v>46234</v>
      </c>
      <c r="AW120" s="8">
        <f t="shared" si="56"/>
        <v>46265</v>
      </c>
      <c r="AX120" s="8">
        <f t="shared" si="56"/>
        <v>46295</v>
      </c>
      <c r="AY120" s="8">
        <f t="shared" si="56"/>
        <v>46326</v>
      </c>
      <c r="AZ120" s="8">
        <f t="shared" si="56"/>
        <v>46356</v>
      </c>
      <c r="BA120" s="8">
        <f t="shared" si="56"/>
        <v>46387</v>
      </c>
      <c r="BB120" s="8">
        <f t="shared" si="56"/>
        <v>46418</v>
      </c>
      <c r="BC120" s="8">
        <f t="shared" si="56"/>
        <v>46446</v>
      </c>
      <c r="BD120" s="8">
        <f t="shared" si="56"/>
        <v>46477</v>
      </c>
      <c r="BE120" s="8">
        <f t="shared" si="56"/>
        <v>46507</v>
      </c>
      <c r="BF120" s="8">
        <f t="shared" si="56"/>
        <v>46538</v>
      </c>
      <c r="BG120" s="8">
        <f t="shared" si="56"/>
        <v>46568</v>
      </c>
      <c r="BH120" s="8">
        <f t="shared" si="56"/>
        <v>46599</v>
      </c>
      <c r="BI120" s="8">
        <f t="shared" si="56"/>
        <v>46630</v>
      </c>
      <c r="BJ120" s="8">
        <f t="shared" si="56"/>
        <v>46660</v>
      </c>
      <c r="BK120" s="8">
        <f t="shared" si="56"/>
        <v>46691</v>
      </c>
      <c r="BL120" s="8">
        <f t="shared" si="56"/>
        <v>46721</v>
      </c>
      <c r="BM120" s="8">
        <f t="shared" si="56"/>
        <v>46752</v>
      </c>
      <c r="BN120" s="8">
        <f t="shared" si="56"/>
        <v>46783</v>
      </c>
      <c r="BO120" s="8">
        <f t="shared" si="56"/>
        <v>46812</v>
      </c>
      <c r="BP120" s="8">
        <f t="shared" si="56"/>
        <v>46843</v>
      </c>
      <c r="BQ120" s="8">
        <f t="shared" si="56"/>
        <v>46873</v>
      </c>
    </row>
    <row r="121" spans="1:69" outlineLevel="2">
      <c r="E121" s="8" t="str">
        <f t="shared" ref="E121:BQ121" si="57" xml:space="preserve">  E$12</f>
        <v>Model period start</v>
      </c>
      <c r="F121" s="8">
        <f t="shared" si="57"/>
        <v>0</v>
      </c>
      <c r="G121" s="8" t="str">
        <f t="shared" si="57"/>
        <v>date</v>
      </c>
      <c r="H121" s="8">
        <f t="shared" si="57"/>
        <v>0</v>
      </c>
      <c r="I121" s="8">
        <f t="shared" si="57"/>
        <v>0</v>
      </c>
      <c r="J121" s="8">
        <f t="shared" si="57"/>
        <v>45047</v>
      </c>
      <c r="K121" s="8">
        <f t="shared" si="57"/>
        <v>45078</v>
      </c>
      <c r="L121" s="8">
        <f t="shared" si="57"/>
        <v>45108</v>
      </c>
      <c r="M121" s="8">
        <f t="shared" si="57"/>
        <v>45139</v>
      </c>
      <c r="N121" s="8">
        <f t="shared" si="57"/>
        <v>45170</v>
      </c>
      <c r="O121" s="8">
        <f t="shared" si="57"/>
        <v>45200</v>
      </c>
      <c r="P121" s="8">
        <f t="shared" si="57"/>
        <v>45231</v>
      </c>
      <c r="Q121" s="8">
        <f t="shared" si="57"/>
        <v>45261</v>
      </c>
      <c r="R121" s="8">
        <f t="shared" si="57"/>
        <v>45292</v>
      </c>
      <c r="S121" s="8">
        <f t="shared" si="57"/>
        <v>45323</v>
      </c>
      <c r="T121" s="8">
        <f t="shared" si="57"/>
        <v>45352</v>
      </c>
      <c r="U121" s="8">
        <f t="shared" si="57"/>
        <v>45383</v>
      </c>
      <c r="V121" s="8">
        <f t="shared" si="57"/>
        <v>45413</v>
      </c>
      <c r="W121" s="8">
        <f t="shared" si="57"/>
        <v>45444</v>
      </c>
      <c r="X121" s="8">
        <f t="shared" si="57"/>
        <v>45474</v>
      </c>
      <c r="Y121" s="8">
        <f t="shared" si="57"/>
        <v>45505</v>
      </c>
      <c r="Z121" s="8">
        <f t="shared" si="57"/>
        <v>45536</v>
      </c>
      <c r="AA121" s="8">
        <f t="shared" si="57"/>
        <v>45566</v>
      </c>
      <c r="AB121" s="8">
        <f t="shared" si="57"/>
        <v>45597</v>
      </c>
      <c r="AC121" s="8">
        <f t="shared" si="57"/>
        <v>45627</v>
      </c>
      <c r="AD121" s="8">
        <f t="shared" si="57"/>
        <v>45658</v>
      </c>
      <c r="AE121" s="8">
        <f t="shared" si="57"/>
        <v>45689</v>
      </c>
      <c r="AF121" s="8">
        <f t="shared" si="57"/>
        <v>45717</v>
      </c>
      <c r="AG121" s="8">
        <f t="shared" si="57"/>
        <v>45748</v>
      </c>
      <c r="AH121" s="8">
        <f t="shared" si="57"/>
        <v>45778</v>
      </c>
      <c r="AI121" s="8">
        <f t="shared" si="57"/>
        <v>45809</v>
      </c>
      <c r="AJ121" s="8">
        <f t="shared" si="57"/>
        <v>45839</v>
      </c>
      <c r="AK121" s="8">
        <f t="shared" si="57"/>
        <v>45870</v>
      </c>
      <c r="AL121" s="8">
        <f t="shared" si="57"/>
        <v>45901</v>
      </c>
      <c r="AM121" s="8">
        <f t="shared" si="57"/>
        <v>45931</v>
      </c>
      <c r="AN121" s="8">
        <f t="shared" si="57"/>
        <v>45962</v>
      </c>
      <c r="AO121" s="8">
        <f t="shared" si="57"/>
        <v>45992</v>
      </c>
      <c r="AP121" s="8">
        <f t="shared" si="57"/>
        <v>46023</v>
      </c>
      <c r="AQ121" s="8">
        <f t="shared" si="57"/>
        <v>46054</v>
      </c>
      <c r="AR121" s="8">
        <f t="shared" si="57"/>
        <v>46082</v>
      </c>
      <c r="AS121" s="8">
        <f t="shared" si="57"/>
        <v>46113</v>
      </c>
      <c r="AT121" s="8">
        <f t="shared" si="57"/>
        <v>46143</v>
      </c>
      <c r="AU121" s="8">
        <f t="shared" si="57"/>
        <v>46174</v>
      </c>
      <c r="AV121" s="8">
        <f t="shared" si="57"/>
        <v>46204</v>
      </c>
      <c r="AW121" s="8">
        <f t="shared" si="57"/>
        <v>46235</v>
      </c>
      <c r="AX121" s="8">
        <f t="shared" si="57"/>
        <v>46266</v>
      </c>
      <c r="AY121" s="8">
        <f t="shared" si="57"/>
        <v>46296</v>
      </c>
      <c r="AZ121" s="8">
        <f t="shared" si="57"/>
        <v>46327</v>
      </c>
      <c r="BA121" s="8">
        <f t="shared" si="57"/>
        <v>46357</v>
      </c>
      <c r="BB121" s="8">
        <f t="shared" si="57"/>
        <v>46388</v>
      </c>
      <c r="BC121" s="8">
        <f t="shared" si="57"/>
        <v>46419</v>
      </c>
      <c r="BD121" s="8">
        <f t="shared" si="57"/>
        <v>46447</v>
      </c>
      <c r="BE121" s="8">
        <f t="shared" si="57"/>
        <v>46478</v>
      </c>
      <c r="BF121" s="8">
        <f t="shared" si="57"/>
        <v>46508</v>
      </c>
      <c r="BG121" s="8">
        <f t="shared" si="57"/>
        <v>46539</v>
      </c>
      <c r="BH121" s="8">
        <f t="shared" si="57"/>
        <v>46569</v>
      </c>
      <c r="BI121" s="8">
        <f t="shared" si="57"/>
        <v>46600</v>
      </c>
      <c r="BJ121" s="8">
        <f t="shared" si="57"/>
        <v>46631</v>
      </c>
      <c r="BK121" s="8">
        <f t="shared" si="57"/>
        <v>46661</v>
      </c>
      <c r="BL121" s="8">
        <f t="shared" si="57"/>
        <v>46692</v>
      </c>
      <c r="BM121" s="8">
        <f t="shared" si="57"/>
        <v>46722</v>
      </c>
      <c r="BN121" s="8">
        <f t="shared" si="57"/>
        <v>46753</v>
      </c>
      <c r="BO121" s="8">
        <f t="shared" si="57"/>
        <v>46784</v>
      </c>
      <c r="BP121" s="8">
        <f t="shared" si="57"/>
        <v>46813</v>
      </c>
      <c r="BQ121" s="8">
        <f t="shared" si="57"/>
        <v>46844</v>
      </c>
    </row>
    <row r="122" spans="1:69" outlineLevel="2">
      <c r="E122" s="46" t="s">
        <v>291</v>
      </c>
      <c r="G122" s="46" t="s">
        <v>21</v>
      </c>
      <c r="H122" s="2">
        <f xml:space="preserve"> SUM( J122:BQ122 )</f>
        <v>1</v>
      </c>
      <c r="J122" s="2">
        <f t="shared" ref="J122:BQ122" si="58" xml:space="preserve">  IF( AND( J120 &gt;= $F119, J121 &lt;= $F119 ), 1, 0 )</f>
        <v>1</v>
      </c>
      <c r="K122" s="2">
        <f t="shared" si="58"/>
        <v>0</v>
      </c>
      <c r="L122" s="2">
        <f t="shared" si="58"/>
        <v>0</v>
      </c>
      <c r="M122" s="2">
        <f t="shared" si="58"/>
        <v>0</v>
      </c>
      <c r="N122" s="2">
        <f t="shared" si="58"/>
        <v>0</v>
      </c>
      <c r="O122" s="2">
        <f t="shared" si="58"/>
        <v>0</v>
      </c>
      <c r="P122" s="2">
        <f t="shared" si="58"/>
        <v>0</v>
      </c>
      <c r="Q122" s="2">
        <f t="shared" si="58"/>
        <v>0</v>
      </c>
      <c r="R122" s="2">
        <f t="shared" si="58"/>
        <v>0</v>
      </c>
      <c r="S122" s="2">
        <f t="shared" si="58"/>
        <v>0</v>
      </c>
      <c r="T122" s="2">
        <f t="shared" si="58"/>
        <v>0</v>
      </c>
      <c r="U122" s="2">
        <f t="shared" si="58"/>
        <v>0</v>
      </c>
      <c r="V122" s="2">
        <f t="shared" si="58"/>
        <v>0</v>
      </c>
      <c r="W122" s="2">
        <f t="shared" si="58"/>
        <v>0</v>
      </c>
      <c r="X122" s="2">
        <f t="shared" si="58"/>
        <v>0</v>
      </c>
      <c r="Y122" s="2">
        <f t="shared" si="58"/>
        <v>0</v>
      </c>
      <c r="Z122" s="2">
        <f t="shared" si="58"/>
        <v>0</v>
      </c>
      <c r="AA122" s="2">
        <f t="shared" si="58"/>
        <v>0</v>
      </c>
      <c r="AB122" s="2">
        <f t="shared" si="58"/>
        <v>0</v>
      </c>
      <c r="AC122" s="2">
        <f t="shared" si="58"/>
        <v>0</v>
      </c>
      <c r="AD122" s="2">
        <f t="shared" si="58"/>
        <v>0</v>
      </c>
      <c r="AE122" s="2">
        <f t="shared" si="58"/>
        <v>0</v>
      </c>
      <c r="AF122" s="2">
        <f t="shared" si="58"/>
        <v>0</v>
      </c>
      <c r="AG122" s="2">
        <f t="shared" si="58"/>
        <v>0</v>
      </c>
      <c r="AH122" s="2">
        <f t="shared" si="58"/>
        <v>0</v>
      </c>
      <c r="AI122" s="2">
        <f t="shared" si="58"/>
        <v>0</v>
      </c>
      <c r="AJ122" s="2">
        <f t="shared" si="58"/>
        <v>0</v>
      </c>
      <c r="AK122" s="2">
        <f t="shared" si="58"/>
        <v>0</v>
      </c>
      <c r="AL122" s="2">
        <f t="shared" si="58"/>
        <v>0</v>
      </c>
      <c r="AM122" s="2">
        <f t="shared" si="58"/>
        <v>0</v>
      </c>
      <c r="AN122" s="2">
        <f t="shared" si="58"/>
        <v>0</v>
      </c>
      <c r="AO122" s="2">
        <f t="shared" si="58"/>
        <v>0</v>
      </c>
      <c r="AP122" s="2">
        <f t="shared" si="58"/>
        <v>0</v>
      </c>
      <c r="AQ122" s="2">
        <f t="shared" si="58"/>
        <v>0</v>
      </c>
      <c r="AR122" s="2">
        <f t="shared" si="58"/>
        <v>0</v>
      </c>
      <c r="AS122" s="2">
        <f t="shared" si="58"/>
        <v>0</v>
      </c>
      <c r="AT122" s="2">
        <f t="shared" si="58"/>
        <v>0</v>
      </c>
      <c r="AU122" s="2">
        <f t="shared" si="58"/>
        <v>0</v>
      </c>
      <c r="AV122" s="2">
        <f t="shared" si="58"/>
        <v>0</v>
      </c>
      <c r="AW122" s="2">
        <f t="shared" si="58"/>
        <v>0</v>
      </c>
      <c r="AX122" s="2">
        <f t="shared" si="58"/>
        <v>0</v>
      </c>
      <c r="AY122" s="2">
        <f t="shared" si="58"/>
        <v>0</v>
      </c>
      <c r="AZ122" s="2">
        <f t="shared" si="58"/>
        <v>0</v>
      </c>
      <c r="BA122" s="2">
        <f t="shared" si="58"/>
        <v>0</v>
      </c>
      <c r="BB122" s="2">
        <f t="shared" si="58"/>
        <v>0</v>
      </c>
      <c r="BC122" s="2">
        <f t="shared" si="58"/>
        <v>0</v>
      </c>
      <c r="BD122" s="2">
        <f t="shared" si="58"/>
        <v>0</v>
      </c>
      <c r="BE122" s="2">
        <f t="shared" si="58"/>
        <v>0</v>
      </c>
      <c r="BF122" s="2">
        <f t="shared" si="58"/>
        <v>0</v>
      </c>
      <c r="BG122" s="2">
        <f t="shared" si="58"/>
        <v>0</v>
      </c>
      <c r="BH122" s="2">
        <f t="shared" si="58"/>
        <v>0</v>
      </c>
      <c r="BI122" s="2">
        <f t="shared" si="58"/>
        <v>0</v>
      </c>
      <c r="BJ122" s="2">
        <f t="shared" si="58"/>
        <v>0</v>
      </c>
      <c r="BK122" s="2">
        <f t="shared" si="58"/>
        <v>0</v>
      </c>
      <c r="BL122" s="2">
        <f t="shared" si="58"/>
        <v>0</v>
      </c>
      <c r="BM122" s="2">
        <f t="shared" si="58"/>
        <v>0</v>
      </c>
      <c r="BN122" s="2">
        <f t="shared" si="58"/>
        <v>0</v>
      </c>
      <c r="BO122" s="2">
        <f t="shared" si="58"/>
        <v>0</v>
      </c>
      <c r="BP122" s="2">
        <f t="shared" si="58"/>
        <v>0</v>
      </c>
      <c r="BQ122" s="2">
        <f t="shared" si="58"/>
        <v>0</v>
      </c>
    </row>
    <row r="123" spans="1:69" outlineLevel="1"/>
    <row r="124" spans="1:69" outlineLevel="1"/>
    <row r="125" spans="1:69" outlineLevel="1">
      <c r="B125" s="27" t="s">
        <v>102</v>
      </c>
    </row>
    <row r="126" spans="1:69" outlineLevel="2">
      <c r="E126" s="5" t="str">
        <f t="shared" ref="E126:BQ126" si="59" xml:space="preserve">  E$28</f>
        <v>Period number</v>
      </c>
      <c r="F126" s="5">
        <f t="shared" si="59"/>
        <v>0</v>
      </c>
      <c r="G126" s="5" t="str">
        <f t="shared" si="59"/>
        <v>Counter</v>
      </c>
      <c r="H126" s="5">
        <f t="shared" si="59"/>
        <v>0</v>
      </c>
      <c r="I126" s="5">
        <f t="shared" si="59"/>
        <v>0</v>
      </c>
      <c r="J126" s="5">
        <f t="shared" si="59"/>
        <v>1</v>
      </c>
      <c r="K126" s="5">
        <f t="shared" si="59"/>
        <v>2</v>
      </c>
      <c r="L126" s="5">
        <f t="shared" si="59"/>
        <v>3</v>
      </c>
      <c r="M126" s="5">
        <f t="shared" si="59"/>
        <v>4</v>
      </c>
      <c r="N126" s="5">
        <f t="shared" si="59"/>
        <v>5</v>
      </c>
      <c r="O126" s="5">
        <f t="shared" si="59"/>
        <v>6</v>
      </c>
      <c r="P126" s="5">
        <f t="shared" si="59"/>
        <v>7</v>
      </c>
      <c r="Q126" s="5">
        <f t="shared" si="59"/>
        <v>8</v>
      </c>
      <c r="R126" s="5">
        <f t="shared" si="59"/>
        <v>9</v>
      </c>
      <c r="S126" s="5">
        <f t="shared" si="59"/>
        <v>10</v>
      </c>
      <c r="T126" s="5">
        <f t="shared" si="59"/>
        <v>11</v>
      </c>
      <c r="U126" s="5">
        <f t="shared" si="59"/>
        <v>12</v>
      </c>
      <c r="V126" s="5">
        <f t="shared" si="59"/>
        <v>13</v>
      </c>
      <c r="W126" s="5">
        <f t="shared" si="59"/>
        <v>14</v>
      </c>
      <c r="X126" s="5">
        <f t="shared" si="59"/>
        <v>15</v>
      </c>
      <c r="Y126" s="5">
        <f t="shared" si="59"/>
        <v>16</v>
      </c>
      <c r="Z126" s="5">
        <f t="shared" si="59"/>
        <v>17</v>
      </c>
      <c r="AA126" s="5">
        <f t="shared" si="59"/>
        <v>18</v>
      </c>
      <c r="AB126" s="5">
        <f t="shared" si="59"/>
        <v>19</v>
      </c>
      <c r="AC126" s="5">
        <f t="shared" si="59"/>
        <v>20</v>
      </c>
      <c r="AD126" s="5">
        <f t="shared" si="59"/>
        <v>21</v>
      </c>
      <c r="AE126" s="5">
        <f t="shared" si="59"/>
        <v>22</v>
      </c>
      <c r="AF126" s="5">
        <f t="shared" si="59"/>
        <v>23</v>
      </c>
      <c r="AG126" s="5">
        <f t="shared" si="59"/>
        <v>24</v>
      </c>
      <c r="AH126" s="5">
        <f t="shared" si="59"/>
        <v>25</v>
      </c>
      <c r="AI126" s="5">
        <f t="shared" si="59"/>
        <v>26</v>
      </c>
      <c r="AJ126" s="5">
        <f t="shared" si="59"/>
        <v>27</v>
      </c>
      <c r="AK126" s="5">
        <f t="shared" si="59"/>
        <v>28</v>
      </c>
      <c r="AL126" s="5">
        <f t="shared" si="59"/>
        <v>29</v>
      </c>
      <c r="AM126" s="5">
        <f t="shared" si="59"/>
        <v>30</v>
      </c>
      <c r="AN126" s="5">
        <f t="shared" si="59"/>
        <v>31</v>
      </c>
      <c r="AO126" s="5">
        <f t="shared" si="59"/>
        <v>32</v>
      </c>
      <c r="AP126" s="5">
        <f t="shared" si="59"/>
        <v>33</v>
      </c>
      <c r="AQ126" s="5">
        <f t="shared" si="59"/>
        <v>34</v>
      </c>
      <c r="AR126" s="5">
        <f t="shared" si="59"/>
        <v>35</v>
      </c>
      <c r="AS126" s="5">
        <f t="shared" si="59"/>
        <v>36</v>
      </c>
      <c r="AT126" s="5">
        <f t="shared" si="59"/>
        <v>37</v>
      </c>
      <c r="AU126" s="5">
        <f t="shared" si="59"/>
        <v>38</v>
      </c>
      <c r="AV126" s="5">
        <f t="shared" si="59"/>
        <v>39</v>
      </c>
      <c r="AW126" s="5">
        <f t="shared" si="59"/>
        <v>40</v>
      </c>
      <c r="AX126" s="5">
        <f t="shared" si="59"/>
        <v>41</v>
      </c>
      <c r="AY126" s="5">
        <f t="shared" si="59"/>
        <v>42</v>
      </c>
      <c r="AZ126" s="5">
        <f t="shared" si="59"/>
        <v>43</v>
      </c>
      <c r="BA126" s="5">
        <f t="shared" si="59"/>
        <v>44</v>
      </c>
      <c r="BB126" s="5">
        <f t="shared" si="59"/>
        <v>45</v>
      </c>
      <c r="BC126" s="5">
        <f t="shared" si="59"/>
        <v>46</v>
      </c>
      <c r="BD126" s="5">
        <f t="shared" si="59"/>
        <v>47</v>
      </c>
      <c r="BE126" s="5">
        <f t="shared" si="59"/>
        <v>48</v>
      </c>
      <c r="BF126" s="5">
        <f t="shared" si="59"/>
        <v>49</v>
      </c>
      <c r="BG126" s="5">
        <f t="shared" si="59"/>
        <v>50</v>
      </c>
      <c r="BH126" s="5">
        <f t="shared" si="59"/>
        <v>51</v>
      </c>
      <c r="BI126" s="5">
        <f t="shared" si="59"/>
        <v>52</v>
      </c>
      <c r="BJ126" s="5">
        <f t="shared" si="59"/>
        <v>53</v>
      </c>
      <c r="BK126" s="5">
        <f t="shared" si="59"/>
        <v>54</v>
      </c>
      <c r="BL126" s="5">
        <f t="shared" si="59"/>
        <v>55</v>
      </c>
      <c r="BM126" s="5">
        <f t="shared" si="59"/>
        <v>56</v>
      </c>
      <c r="BN126" s="5">
        <f t="shared" si="59"/>
        <v>57</v>
      </c>
      <c r="BO126" s="5">
        <f t="shared" si="59"/>
        <v>58</v>
      </c>
      <c r="BP126" s="5">
        <f t="shared" si="59"/>
        <v>59</v>
      </c>
      <c r="BQ126" s="5">
        <f t="shared" si="59"/>
        <v>60</v>
      </c>
    </row>
    <row r="127" spans="1:69" outlineLevel="2">
      <c r="E127" s="2" t="str">
        <f t="shared" ref="E127:BQ127" si="60" xml:space="preserve">  E$122</f>
        <v>First Customer Order Growth escalation flag</v>
      </c>
      <c r="F127" s="2">
        <f t="shared" si="60"/>
        <v>0</v>
      </c>
      <c r="G127" s="2" t="str">
        <f t="shared" si="60"/>
        <v>flag</v>
      </c>
      <c r="H127" s="2">
        <f t="shared" si="60"/>
        <v>1</v>
      </c>
      <c r="I127" s="2">
        <f t="shared" si="60"/>
        <v>0</v>
      </c>
      <c r="J127" s="2">
        <f t="shared" si="60"/>
        <v>1</v>
      </c>
      <c r="K127" s="2">
        <f t="shared" si="60"/>
        <v>0</v>
      </c>
      <c r="L127" s="2">
        <f t="shared" si="60"/>
        <v>0</v>
      </c>
      <c r="M127" s="2">
        <f t="shared" si="60"/>
        <v>0</v>
      </c>
      <c r="N127" s="2">
        <f t="shared" si="60"/>
        <v>0</v>
      </c>
      <c r="O127" s="2">
        <f t="shared" si="60"/>
        <v>0</v>
      </c>
      <c r="P127" s="2">
        <f t="shared" si="60"/>
        <v>0</v>
      </c>
      <c r="Q127" s="2">
        <f t="shared" si="60"/>
        <v>0</v>
      </c>
      <c r="R127" s="2">
        <f t="shared" si="60"/>
        <v>0</v>
      </c>
      <c r="S127" s="2">
        <f t="shared" si="60"/>
        <v>0</v>
      </c>
      <c r="T127" s="2">
        <f t="shared" si="60"/>
        <v>0</v>
      </c>
      <c r="U127" s="2">
        <f t="shared" si="60"/>
        <v>0</v>
      </c>
      <c r="V127" s="2">
        <f t="shared" si="60"/>
        <v>0</v>
      </c>
      <c r="W127" s="2">
        <f t="shared" si="60"/>
        <v>0</v>
      </c>
      <c r="X127" s="2">
        <f t="shared" si="60"/>
        <v>0</v>
      </c>
      <c r="Y127" s="2">
        <f t="shared" si="60"/>
        <v>0</v>
      </c>
      <c r="Z127" s="2">
        <f t="shared" si="60"/>
        <v>0</v>
      </c>
      <c r="AA127" s="2">
        <f t="shared" si="60"/>
        <v>0</v>
      </c>
      <c r="AB127" s="2">
        <f t="shared" si="60"/>
        <v>0</v>
      </c>
      <c r="AC127" s="2">
        <f t="shared" si="60"/>
        <v>0</v>
      </c>
      <c r="AD127" s="2">
        <f t="shared" si="60"/>
        <v>0</v>
      </c>
      <c r="AE127" s="2">
        <f t="shared" si="60"/>
        <v>0</v>
      </c>
      <c r="AF127" s="2">
        <f t="shared" si="60"/>
        <v>0</v>
      </c>
      <c r="AG127" s="2">
        <f t="shared" si="60"/>
        <v>0</v>
      </c>
      <c r="AH127" s="2">
        <f t="shared" si="60"/>
        <v>0</v>
      </c>
      <c r="AI127" s="2">
        <f t="shared" si="60"/>
        <v>0</v>
      </c>
      <c r="AJ127" s="2">
        <f t="shared" si="60"/>
        <v>0</v>
      </c>
      <c r="AK127" s="2">
        <f t="shared" si="60"/>
        <v>0</v>
      </c>
      <c r="AL127" s="2">
        <f t="shared" si="60"/>
        <v>0</v>
      </c>
      <c r="AM127" s="2">
        <f t="shared" si="60"/>
        <v>0</v>
      </c>
      <c r="AN127" s="2">
        <f t="shared" si="60"/>
        <v>0</v>
      </c>
      <c r="AO127" s="2">
        <f t="shared" si="60"/>
        <v>0</v>
      </c>
      <c r="AP127" s="2">
        <f t="shared" si="60"/>
        <v>0</v>
      </c>
      <c r="AQ127" s="2">
        <f t="shared" si="60"/>
        <v>0</v>
      </c>
      <c r="AR127" s="2">
        <f t="shared" si="60"/>
        <v>0</v>
      </c>
      <c r="AS127" s="2">
        <f t="shared" si="60"/>
        <v>0</v>
      </c>
      <c r="AT127" s="2">
        <f t="shared" si="60"/>
        <v>0</v>
      </c>
      <c r="AU127" s="2">
        <f t="shared" si="60"/>
        <v>0</v>
      </c>
      <c r="AV127" s="2">
        <f t="shared" si="60"/>
        <v>0</v>
      </c>
      <c r="AW127" s="2">
        <f t="shared" si="60"/>
        <v>0</v>
      </c>
      <c r="AX127" s="2">
        <f t="shared" si="60"/>
        <v>0</v>
      </c>
      <c r="AY127" s="2">
        <f t="shared" si="60"/>
        <v>0</v>
      </c>
      <c r="AZ127" s="2">
        <f t="shared" si="60"/>
        <v>0</v>
      </c>
      <c r="BA127" s="2">
        <f t="shared" si="60"/>
        <v>0</v>
      </c>
      <c r="BB127" s="2">
        <f t="shared" si="60"/>
        <v>0</v>
      </c>
      <c r="BC127" s="2">
        <f t="shared" si="60"/>
        <v>0</v>
      </c>
      <c r="BD127" s="2">
        <f t="shared" si="60"/>
        <v>0</v>
      </c>
      <c r="BE127" s="2">
        <f t="shared" si="60"/>
        <v>0</v>
      </c>
      <c r="BF127" s="2">
        <f t="shared" si="60"/>
        <v>0</v>
      </c>
      <c r="BG127" s="2">
        <f t="shared" si="60"/>
        <v>0</v>
      </c>
      <c r="BH127" s="2">
        <f t="shared" si="60"/>
        <v>0</v>
      </c>
      <c r="BI127" s="2">
        <f t="shared" si="60"/>
        <v>0</v>
      </c>
      <c r="BJ127" s="2">
        <f t="shared" si="60"/>
        <v>0</v>
      </c>
      <c r="BK127" s="2">
        <f t="shared" si="60"/>
        <v>0</v>
      </c>
      <c r="BL127" s="2">
        <f t="shared" si="60"/>
        <v>0</v>
      </c>
      <c r="BM127" s="2">
        <f t="shared" si="60"/>
        <v>0</v>
      </c>
      <c r="BN127" s="2">
        <f t="shared" si="60"/>
        <v>0</v>
      </c>
      <c r="BO127" s="2">
        <f t="shared" si="60"/>
        <v>0</v>
      </c>
      <c r="BP127" s="2">
        <f t="shared" si="60"/>
        <v>0</v>
      </c>
      <c r="BQ127" s="2">
        <f t="shared" si="60"/>
        <v>0</v>
      </c>
    </row>
    <row r="128" spans="1:69" outlineLevel="2">
      <c r="E128" s="46" t="s">
        <v>102</v>
      </c>
      <c r="H128" s="2">
        <f xml:space="preserve"> SUM( J128:BQ128 )</f>
        <v>1</v>
      </c>
      <c r="J128" s="2">
        <f t="shared" ref="J128:BQ128" si="61" xml:space="preserve">  J126 * J127</f>
        <v>1</v>
      </c>
      <c r="K128" s="2">
        <f t="shared" si="61"/>
        <v>0</v>
      </c>
      <c r="L128" s="2">
        <f t="shared" si="61"/>
        <v>0</v>
      </c>
      <c r="M128" s="2">
        <f t="shared" si="61"/>
        <v>0</v>
      </c>
      <c r="N128" s="2">
        <f t="shared" si="61"/>
        <v>0</v>
      </c>
      <c r="O128" s="2">
        <f t="shared" si="61"/>
        <v>0</v>
      </c>
      <c r="P128" s="2">
        <f t="shared" si="61"/>
        <v>0</v>
      </c>
      <c r="Q128" s="2">
        <f t="shared" si="61"/>
        <v>0</v>
      </c>
      <c r="R128" s="2">
        <f t="shared" si="61"/>
        <v>0</v>
      </c>
      <c r="S128" s="2">
        <f t="shared" si="61"/>
        <v>0</v>
      </c>
      <c r="T128" s="2">
        <f t="shared" si="61"/>
        <v>0</v>
      </c>
      <c r="U128" s="2">
        <f t="shared" si="61"/>
        <v>0</v>
      </c>
      <c r="V128" s="2">
        <f t="shared" si="61"/>
        <v>0</v>
      </c>
      <c r="W128" s="2">
        <f t="shared" si="61"/>
        <v>0</v>
      </c>
      <c r="X128" s="2">
        <f t="shared" si="61"/>
        <v>0</v>
      </c>
      <c r="Y128" s="2">
        <f t="shared" si="61"/>
        <v>0</v>
      </c>
      <c r="Z128" s="2">
        <f t="shared" si="61"/>
        <v>0</v>
      </c>
      <c r="AA128" s="2">
        <f t="shared" si="61"/>
        <v>0</v>
      </c>
      <c r="AB128" s="2">
        <f t="shared" si="61"/>
        <v>0</v>
      </c>
      <c r="AC128" s="2">
        <f t="shared" si="61"/>
        <v>0</v>
      </c>
      <c r="AD128" s="2">
        <f t="shared" si="61"/>
        <v>0</v>
      </c>
      <c r="AE128" s="2">
        <f t="shared" si="61"/>
        <v>0</v>
      </c>
      <c r="AF128" s="2">
        <f t="shared" si="61"/>
        <v>0</v>
      </c>
      <c r="AG128" s="2">
        <f t="shared" si="61"/>
        <v>0</v>
      </c>
      <c r="AH128" s="2">
        <f t="shared" si="61"/>
        <v>0</v>
      </c>
      <c r="AI128" s="2">
        <f t="shared" si="61"/>
        <v>0</v>
      </c>
      <c r="AJ128" s="2">
        <f t="shared" si="61"/>
        <v>0</v>
      </c>
      <c r="AK128" s="2">
        <f t="shared" si="61"/>
        <v>0</v>
      </c>
      <c r="AL128" s="2">
        <f t="shared" si="61"/>
        <v>0</v>
      </c>
      <c r="AM128" s="2">
        <f t="shared" si="61"/>
        <v>0</v>
      </c>
      <c r="AN128" s="2">
        <f t="shared" si="61"/>
        <v>0</v>
      </c>
      <c r="AO128" s="2">
        <f t="shared" si="61"/>
        <v>0</v>
      </c>
      <c r="AP128" s="2">
        <f t="shared" si="61"/>
        <v>0</v>
      </c>
      <c r="AQ128" s="2">
        <f t="shared" si="61"/>
        <v>0</v>
      </c>
      <c r="AR128" s="2">
        <f t="shared" si="61"/>
        <v>0</v>
      </c>
      <c r="AS128" s="2">
        <f t="shared" si="61"/>
        <v>0</v>
      </c>
      <c r="AT128" s="2">
        <f t="shared" si="61"/>
        <v>0</v>
      </c>
      <c r="AU128" s="2">
        <f t="shared" si="61"/>
        <v>0</v>
      </c>
      <c r="AV128" s="2">
        <f t="shared" si="61"/>
        <v>0</v>
      </c>
      <c r="AW128" s="2">
        <f t="shared" si="61"/>
        <v>0</v>
      </c>
      <c r="AX128" s="2">
        <f t="shared" si="61"/>
        <v>0</v>
      </c>
      <c r="AY128" s="2">
        <f t="shared" si="61"/>
        <v>0</v>
      </c>
      <c r="AZ128" s="2">
        <f t="shared" si="61"/>
        <v>0</v>
      </c>
      <c r="BA128" s="2">
        <f t="shared" si="61"/>
        <v>0</v>
      </c>
      <c r="BB128" s="2">
        <f t="shared" si="61"/>
        <v>0</v>
      </c>
      <c r="BC128" s="2">
        <f t="shared" si="61"/>
        <v>0</v>
      </c>
      <c r="BD128" s="2">
        <f t="shared" si="61"/>
        <v>0</v>
      </c>
      <c r="BE128" s="2">
        <f t="shared" si="61"/>
        <v>0</v>
      </c>
      <c r="BF128" s="2">
        <f t="shared" si="61"/>
        <v>0</v>
      </c>
      <c r="BG128" s="2">
        <f t="shared" si="61"/>
        <v>0</v>
      </c>
      <c r="BH128" s="2">
        <f t="shared" si="61"/>
        <v>0</v>
      </c>
      <c r="BI128" s="2">
        <f t="shared" si="61"/>
        <v>0</v>
      </c>
      <c r="BJ128" s="2">
        <f t="shared" si="61"/>
        <v>0</v>
      </c>
      <c r="BK128" s="2">
        <f t="shared" si="61"/>
        <v>0</v>
      </c>
      <c r="BL128" s="2">
        <f t="shared" si="61"/>
        <v>0</v>
      </c>
      <c r="BM128" s="2">
        <f t="shared" si="61"/>
        <v>0</v>
      </c>
      <c r="BN128" s="2">
        <f t="shared" si="61"/>
        <v>0</v>
      </c>
      <c r="BO128" s="2">
        <f t="shared" si="61"/>
        <v>0</v>
      </c>
      <c r="BP128" s="2">
        <f t="shared" si="61"/>
        <v>0</v>
      </c>
      <c r="BQ128" s="2">
        <f t="shared" si="61"/>
        <v>0</v>
      </c>
    </row>
    <row r="129" spans="1:69" outlineLevel="1"/>
    <row r="130" spans="1:69" outlineLevel="1"/>
    <row r="131" spans="1:69" outlineLevel="1">
      <c r="B131" s="27" t="s">
        <v>103</v>
      </c>
    </row>
    <row r="132" spans="1:69" outlineLevel="2">
      <c r="E132" s="2" t="str">
        <f t="shared" ref="E132:BQ132" si="62" xml:space="preserve">  E$128</f>
        <v>First Customer Order Growth escalation period</v>
      </c>
      <c r="F132" s="2">
        <f t="shared" si="62"/>
        <v>0</v>
      </c>
      <c r="G132" s="2">
        <f t="shared" si="62"/>
        <v>0</v>
      </c>
      <c r="H132" s="2">
        <f t="shared" si="62"/>
        <v>1</v>
      </c>
      <c r="I132" s="2">
        <f t="shared" si="62"/>
        <v>0</v>
      </c>
      <c r="J132" s="2">
        <f t="shared" si="62"/>
        <v>1</v>
      </c>
      <c r="K132" s="2">
        <f t="shared" si="62"/>
        <v>0</v>
      </c>
      <c r="L132" s="2">
        <f t="shared" si="62"/>
        <v>0</v>
      </c>
      <c r="M132" s="2">
        <f t="shared" si="62"/>
        <v>0</v>
      </c>
      <c r="N132" s="2">
        <f t="shared" si="62"/>
        <v>0</v>
      </c>
      <c r="O132" s="2">
        <f t="shared" si="62"/>
        <v>0</v>
      </c>
      <c r="P132" s="2">
        <f t="shared" si="62"/>
        <v>0</v>
      </c>
      <c r="Q132" s="2">
        <f t="shared" si="62"/>
        <v>0</v>
      </c>
      <c r="R132" s="2">
        <f t="shared" si="62"/>
        <v>0</v>
      </c>
      <c r="S132" s="2">
        <f t="shared" si="62"/>
        <v>0</v>
      </c>
      <c r="T132" s="2">
        <f t="shared" si="62"/>
        <v>0</v>
      </c>
      <c r="U132" s="2">
        <f t="shared" si="62"/>
        <v>0</v>
      </c>
      <c r="V132" s="2">
        <f t="shared" si="62"/>
        <v>0</v>
      </c>
      <c r="W132" s="2">
        <f t="shared" si="62"/>
        <v>0</v>
      </c>
      <c r="X132" s="2">
        <f t="shared" si="62"/>
        <v>0</v>
      </c>
      <c r="Y132" s="2">
        <f t="shared" si="62"/>
        <v>0</v>
      </c>
      <c r="Z132" s="2">
        <f t="shared" si="62"/>
        <v>0</v>
      </c>
      <c r="AA132" s="2">
        <f t="shared" si="62"/>
        <v>0</v>
      </c>
      <c r="AB132" s="2">
        <f t="shared" si="62"/>
        <v>0</v>
      </c>
      <c r="AC132" s="2">
        <f t="shared" si="62"/>
        <v>0</v>
      </c>
      <c r="AD132" s="2">
        <f t="shared" si="62"/>
        <v>0</v>
      </c>
      <c r="AE132" s="2">
        <f t="shared" si="62"/>
        <v>0</v>
      </c>
      <c r="AF132" s="2">
        <f t="shared" si="62"/>
        <v>0</v>
      </c>
      <c r="AG132" s="2">
        <f t="shared" si="62"/>
        <v>0</v>
      </c>
      <c r="AH132" s="2">
        <f t="shared" si="62"/>
        <v>0</v>
      </c>
      <c r="AI132" s="2">
        <f t="shared" si="62"/>
        <v>0</v>
      </c>
      <c r="AJ132" s="2">
        <f t="shared" si="62"/>
        <v>0</v>
      </c>
      <c r="AK132" s="2">
        <f t="shared" si="62"/>
        <v>0</v>
      </c>
      <c r="AL132" s="2">
        <f t="shared" si="62"/>
        <v>0</v>
      </c>
      <c r="AM132" s="2">
        <f t="shared" si="62"/>
        <v>0</v>
      </c>
      <c r="AN132" s="2">
        <f t="shared" si="62"/>
        <v>0</v>
      </c>
      <c r="AO132" s="2">
        <f t="shared" si="62"/>
        <v>0</v>
      </c>
      <c r="AP132" s="2">
        <f t="shared" si="62"/>
        <v>0</v>
      </c>
      <c r="AQ132" s="2">
        <f t="shared" si="62"/>
        <v>0</v>
      </c>
      <c r="AR132" s="2">
        <f t="shared" si="62"/>
        <v>0</v>
      </c>
      <c r="AS132" s="2">
        <f t="shared" si="62"/>
        <v>0</v>
      </c>
      <c r="AT132" s="2">
        <f t="shared" si="62"/>
        <v>0</v>
      </c>
      <c r="AU132" s="2">
        <f t="shared" si="62"/>
        <v>0</v>
      </c>
      <c r="AV132" s="2">
        <f t="shared" si="62"/>
        <v>0</v>
      </c>
      <c r="AW132" s="2">
        <f t="shared" si="62"/>
        <v>0</v>
      </c>
      <c r="AX132" s="2">
        <f t="shared" si="62"/>
        <v>0</v>
      </c>
      <c r="AY132" s="2">
        <f t="shared" si="62"/>
        <v>0</v>
      </c>
      <c r="AZ132" s="2">
        <f t="shared" si="62"/>
        <v>0</v>
      </c>
      <c r="BA132" s="2">
        <f t="shared" si="62"/>
        <v>0</v>
      </c>
      <c r="BB132" s="2">
        <f t="shared" si="62"/>
        <v>0</v>
      </c>
      <c r="BC132" s="2">
        <f t="shared" si="62"/>
        <v>0</v>
      </c>
      <c r="BD132" s="2">
        <f t="shared" si="62"/>
        <v>0</v>
      </c>
      <c r="BE132" s="2">
        <f t="shared" si="62"/>
        <v>0</v>
      </c>
      <c r="BF132" s="2">
        <f t="shared" si="62"/>
        <v>0</v>
      </c>
      <c r="BG132" s="2">
        <f t="shared" si="62"/>
        <v>0</v>
      </c>
      <c r="BH132" s="2">
        <f t="shared" si="62"/>
        <v>0</v>
      </c>
      <c r="BI132" s="2">
        <f t="shared" si="62"/>
        <v>0</v>
      </c>
      <c r="BJ132" s="2">
        <f t="shared" si="62"/>
        <v>0</v>
      </c>
      <c r="BK132" s="2">
        <f t="shared" si="62"/>
        <v>0</v>
      </c>
      <c r="BL132" s="2">
        <f t="shared" si="62"/>
        <v>0</v>
      </c>
      <c r="BM132" s="2">
        <f t="shared" si="62"/>
        <v>0</v>
      </c>
      <c r="BN132" s="2">
        <f t="shared" si="62"/>
        <v>0</v>
      </c>
      <c r="BO132" s="2">
        <f t="shared" si="62"/>
        <v>0</v>
      </c>
      <c r="BP132" s="2">
        <f t="shared" si="62"/>
        <v>0</v>
      </c>
      <c r="BQ132" s="2">
        <f t="shared" si="62"/>
        <v>0</v>
      </c>
    </row>
    <row r="133" spans="1:69" outlineLevel="2">
      <c r="E133" s="46" t="s">
        <v>103</v>
      </c>
      <c r="F133" s="2">
        <f xml:space="preserve">  SUM( $J132:$BQ132 )</f>
        <v>1</v>
      </c>
      <c r="M133" s="2"/>
    </row>
    <row r="134" spans="1:69" outlineLevel="1"/>
    <row r="135" spans="1:69" outlineLevel="1"/>
    <row r="136" spans="1:69" outlineLevel="1">
      <c r="B136" s="27" t="s">
        <v>192</v>
      </c>
    </row>
    <row r="137" spans="1:69" outlineLevel="2">
      <c r="E137" s="2" t="str">
        <f t="shared" ref="E137:G137" si="63" xml:space="preserve">  E$133</f>
        <v>Period of first Customer Order Growth escalation</v>
      </c>
      <c r="F137" s="2">
        <f t="shared" si="63"/>
        <v>1</v>
      </c>
      <c r="G137" s="2">
        <f t="shared" si="63"/>
        <v>0</v>
      </c>
      <c r="M137" s="2"/>
    </row>
    <row r="138" spans="1:69" outlineLevel="2">
      <c r="A138" s="18"/>
      <c r="B138" s="18"/>
      <c r="C138" s="30"/>
      <c r="D138" s="31"/>
      <c r="E138" s="4" t="str">
        <f xml:space="preserve">  InpC!E$17</f>
        <v>Customer Order Growth escalation frequency</v>
      </c>
      <c r="F138" s="4">
        <f xml:space="preserve">  InpC!F$17</f>
        <v>1</v>
      </c>
      <c r="G138" s="4">
        <f xml:space="preserve">  InpC!G$17</f>
        <v>0</v>
      </c>
      <c r="M138" s="2"/>
    </row>
    <row r="139" spans="1:69" outlineLevel="2">
      <c r="A139" s="18"/>
      <c r="B139" s="18"/>
      <c r="C139" s="30"/>
      <c r="D139" s="31"/>
      <c r="E139" s="4" t="str">
        <f xml:space="preserve">  InpC!E$98</f>
        <v>Months per period (Primary)</v>
      </c>
      <c r="F139" s="4">
        <f xml:space="preserve">  InpC!F$98</f>
        <v>1</v>
      </c>
      <c r="G139" s="4" t="str">
        <f xml:space="preserve">  InpC!G$98</f>
        <v>Months</v>
      </c>
      <c r="M139" s="2"/>
    </row>
    <row r="140" spans="1:69" outlineLevel="2">
      <c r="E140" s="5" t="str">
        <f t="shared" ref="E140:BQ140" si="64" xml:space="preserve">  E$28</f>
        <v>Period number</v>
      </c>
      <c r="F140" s="5">
        <f t="shared" si="64"/>
        <v>0</v>
      </c>
      <c r="G140" s="5" t="str">
        <f t="shared" si="64"/>
        <v>Counter</v>
      </c>
      <c r="H140" s="5">
        <f t="shared" si="64"/>
        <v>0</v>
      </c>
      <c r="I140" s="5">
        <f t="shared" si="64"/>
        <v>0</v>
      </c>
      <c r="J140" s="5">
        <f t="shared" si="64"/>
        <v>1</v>
      </c>
      <c r="K140" s="5">
        <f t="shared" si="64"/>
        <v>2</v>
      </c>
      <c r="L140" s="5">
        <f t="shared" si="64"/>
        <v>3</v>
      </c>
      <c r="M140" s="5">
        <f t="shared" si="64"/>
        <v>4</v>
      </c>
      <c r="N140" s="5">
        <f t="shared" si="64"/>
        <v>5</v>
      </c>
      <c r="O140" s="5">
        <f t="shared" si="64"/>
        <v>6</v>
      </c>
      <c r="P140" s="5">
        <f t="shared" si="64"/>
        <v>7</v>
      </c>
      <c r="Q140" s="5">
        <f t="shared" si="64"/>
        <v>8</v>
      </c>
      <c r="R140" s="5">
        <f t="shared" si="64"/>
        <v>9</v>
      </c>
      <c r="S140" s="5">
        <f t="shared" si="64"/>
        <v>10</v>
      </c>
      <c r="T140" s="5">
        <f t="shared" si="64"/>
        <v>11</v>
      </c>
      <c r="U140" s="5">
        <f t="shared" si="64"/>
        <v>12</v>
      </c>
      <c r="V140" s="5">
        <f t="shared" si="64"/>
        <v>13</v>
      </c>
      <c r="W140" s="5">
        <f t="shared" si="64"/>
        <v>14</v>
      </c>
      <c r="X140" s="5">
        <f t="shared" si="64"/>
        <v>15</v>
      </c>
      <c r="Y140" s="5">
        <f t="shared" si="64"/>
        <v>16</v>
      </c>
      <c r="Z140" s="5">
        <f t="shared" si="64"/>
        <v>17</v>
      </c>
      <c r="AA140" s="5">
        <f t="shared" si="64"/>
        <v>18</v>
      </c>
      <c r="AB140" s="5">
        <f t="shared" si="64"/>
        <v>19</v>
      </c>
      <c r="AC140" s="5">
        <f t="shared" si="64"/>
        <v>20</v>
      </c>
      <c r="AD140" s="5">
        <f t="shared" si="64"/>
        <v>21</v>
      </c>
      <c r="AE140" s="5">
        <f t="shared" si="64"/>
        <v>22</v>
      </c>
      <c r="AF140" s="5">
        <f t="shared" si="64"/>
        <v>23</v>
      </c>
      <c r="AG140" s="5">
        <f t="shared" si="64"/>
        <v>24</v>
      </c>
      <c r="AH140" s="5">
        <f t="shared" si="64"/>
        <v>25</v>
      </c>
      <c r="AI140" s="5">
        <f t="shared" si="64"/>
        <v>26</v>
      </c>
      <c r="AJ140" s="5">
        <f t="shared" si="64"/>
        <v>27</v>
      </c>
      <c r="AK140" s="5">
        <f t="shared" si="64"/>
        <v>28</v>
      </c>
      <c r="AL140" s="5">
        <f t="shared" si="64"/>
        <v>29</v>
      </c>
      <c r="AM140" s="5">
        <f t="shared" si="64"/>
        <v>30</v>
      </c>
      <c r="AN140" s="5">
        <f t="shared" si="64"/>
        <v>31</v>
      </c>
      <c r="AO140" s="5">
        <f t="shared" si="64"/>
        <v>32</v>
      </c>
      <c r="AP140" s="5">
        <f t="shared" si="64"/>
        <v>33</v>
      </c>
      <c r="AQ140" s="5">
        <f t="shared" si="64"/>
        <v>34</v>
      </c>
      <c r="AR140" s="5">
        <f t="shared" si="64"/>
        <v>35</v>
      </c>
      <c r="AS140" s="5">
        <f t="shared" si="64"/>
        <v>36</v>
      </c>
      <c r="AT140" s="5">
        <f t="shared" si="64"/>
        <v>37</v>
      </c>
      <c r="AU140" s="5">
        <f t="shared" si="64"/>
        <v>38</v>
      </c>
      <c r="AV140" s="5">
        <f t="shared" si="64"/>
        <v>39</v>
      </c>
      <c r="AW140" s="5">
        <f t="shared" si="64"/>
        <v>40</v>
      </c>
      <c r="AX140" s="5">
        <f t="shared" si="64"/>
        <v>41</v>
      </c>
      <c r="AY140" s="5">
        <f t="shared" si="64"/>
        <v>42</v>
      </c>
      <c r="AZ140" s="5">
        <f t="shared" si="64"/>
        <v>43</v>
      </c>
      <c r="BA140" s="5">
        <f t="shared" si="64"/>
        <v>44</v>
      </c>
      <c r="BB140" s="5">
        <f t="shared" si="64"/>
        <v>45</v>
      </c>
      <c r="BC140" s="5">
        <f t="shared" si="64"/>
        <v>46</v>
      </c>
      <c r="BD140" s="5">
        <f t="shared" si="64"/>
        <v>47</v>
      </c>
      <c r="BE140" s="5">
        <f t="shared" si="64"/>
        <v>48</v>
      </c>
      <c r="BF140" s="5">
        <f t="shared" si="64"/>
        <v>49</v>
      </c>
      <c r="BG140" s="5">
        <f t="shared" si="64"/>
        <v>50</v>
      </c>
      <c r="BH140" s="5">
        <f t="shared" si="64"/>
        <v>51</v>
      </c>
      <c r="BI140" s="5">
        <f t="shared" si="64"/>
        <v>52</v>
      </c>
      <c r="BJ140" s="5">
        <f t="shared" si="64"/>
        <v>53</v>
      </c>
      <c r="BK140" s="5">
        <f t="shared" si="64"/>
        <v>54</v>
      </c>
      <c r="BL140" s="5">
        <f t="shared" si="64"/>
        <v>55</v>
      </c>
      <c r="BM140" s="5">
        <f t="shared" si="64"/>
        <v>56</v>
      </c>
      <c r="BN140" s="5">
        <f t="shared" si="64"/>
        <v>57</v>
      </c>
      <c r="BO140" s="5">
        <f t="shared" si="64"/>
        <v>58</v>
      </c>
      <c r="BP140" s="5">
        <f t="shared" si="64"/>
        <v>59</v>
      </c>
      <c r="BQ140" s="5">
        <f t="shared" si="64"/>
        <v>60</v>
      </c>
    </row>
    <row r="141" spans="1:69" outlineLevel="2">
      <c r="E141" s="2" t="str">
        <f t="shared" ref="E141:BQ141" si="65" xml:space="preserve">  E$115</f>
        <v>Customer Order Growth escalation duration flag</v>
      </c>
      <c r="F141" s="2">
        <f t="shared" si="65"/>
        <v>0</v>
      </c>
      <c r="G141" s="2" t="str">
        <f t="shared" si="65"/>
        <v>flag</v>
      </c>
      <c r="H141" s="2">
        <f t="shared" si="65"/>
        <v>60</v>
      </c>
      <c r="I141" s="2">
        <f t="shared" si="65"/>
        <v>0</v>
      </c>
      <c r="J141" s="2">
        <f t="shared" si="65"/>
        <v>1</v>
      </c>
      <c r="K141" s="2">
        <f t="shared" si="65"/>
        <v>1</v>
      </c>
      <c r="L141" s="2">
        <f t="shared" si="65"/>
        <v>1</v>
      </c>
      <c r="M141" s="2">
        <f t="shared" si="65"/>
        <v>1</v>
      </c>
      <c r="N141" s="2">
        <f t="shared" si="65"/>
        <v>1</v>
      </c>
      <c r="O141" s="2">
        <f t="shared" si="65"/>
        <v>1</v>
      </c>
      <c r="P141" s="2">
        <f t="shared" si="65"/>
        <v>1</v>
      </c>
      <c r="Q141" s="2">
        <f t="shared" si="65"/>
        <v>1</v>
      </c>
      <c r="R141" s="2">
        <f t="shared" si="65"/>
        <v>1</v>
      </c>
      <c r="S141" s="2">
        <f t="shared" si="65"/>
        <v>1</v>
      </c>
      <c r="T141" s="2">
        <f t="shared" si="65"/>
        <v>1</v>
      </c>
      <c r="U141" s="2">
        <f t="shared" si="65"/>
        <v>1</v>
      </c>
      <c r="V141" s="2">
        <f t="shared" si="65"/>
        <v>1</v>
      </c>
      <c r="W141" s="2">
        <f t="shared" si="65"/>
        <v>1</v>
      </c>
      <c r="X141" s="2">
        <f t="shared" si="65"/>
        <v>1</v>
      </c>
      <c r="Y141" s="2">
        <f t="shared" si="65"/>
        <v>1</v>
      </c>
      <c r="Z141" s="2">
        <f t="shared" si="65"/>
        <v>1</v>
      </c>
      <c r="AA141" s="2">
        <f t="shared" si="65"/>
        <v>1</v>
      </c>
      <c r="AB141" s="2">
        <f t="shared" si="65"/>
        <v>1</v>
      </c>
      <c r="AC141" s="2">
        <f t="shared" si="65"/>
        <v>1</v>
      </c>
      <c r="AD141" s="2">
        <f t="shared" si="65"/>
        <v>1</v>
      </c>
      <c r="AE141" s="2">
        <f t="shared" si="65"/>
        <v>1</v>
      </c>
      <c r="AF141" s="2">
        <f t="shared" si="65"/>
        <v>1</v>
      </c>
      <c r="AG141" s="2">
        <f t="shared" si="65"/>
        <v>1</v>
      </c>
      <c r="AH141" s="2">
        <f t="shared" si="65"/>
        <v>1</v>
      </c>
      <c r="AI141" s="2">
        <f t="shared" si="65"/>
        <v>1</v>
      </c>
      <c r="AJ141" s="2">
        <f t="shared" si="65"/>
        <v>1</v>
      </c>
      <c r="AK141" s="2">
        <f t="shared" si="65"/>
        <v>1</v>
      </c>
      <c r="AL141" s="2">
        <f t="shared" si="65"/>
        <v>1</v>
      </c>
      <c r="AM141" s="2">
        <f t="shared" si="65"/>
        <v>1</v>
      </c>
      <c r="AN141" s="2">
        <f t="shared" si="65"/>
        <v>1</v>
      </c>
      <c r="AO141" s="2">
        <f t="shared" si="65"/>
        <v>1</v>
      </c>
      <c r="AP141" s="2">
        <f t="shared" si="65"/>
        <v>1</v>
      </c>
      <c r="AQ141" s="2">
        <f t="shared" si="65"/>
        <v>1</v>
      </c>
      <c r="AR141" s="2">
        <f t="shared" si="65"/>
        <v>1</v>
      </c>
      <c r="AS141" s="2">
        <f t="shared" si="65"/>
        <v>1</v>
      </c>
      <c r="AT141" s="2">
        <f t="shared" si="65"/>
        <v>1</v>
      </c>
      <c r="AU141" s="2">
        <f t="shared" si="65"/>
        <v>1</v>
      </c>
      <c r="AV141" s="2">
        <f t="shared" si="65"/>
        <v>1</v>
      </c>
      <c r="AW141" s="2">
        <f t="shared" si="65"/>
        <v>1</v>
      </c>
      <c r="AX141" s="2">
        <f t="shared" si="65"/>
        <v>1</v>
      </c>
      <c r="AY141" s="2">
        <f t="shared" si="65"/>
        <v>1</v>
      </c>
      <c r="AZ141" s="2">
        <f t="shared" si="65"/>
        <v>1</v>
      </c>
      <c r="BA141" s="2">
        <f t="shared" si="65"/>
        <v>1</v>
      </c>
      <c r="BB141" s="2">
        <f t="shared" si="65"/>
        <v>1</v>
      </c>
      <c r="BC141" s="2">
        <f t="shared" si="65"/>
        <v>1</v>
      </c>
      <c r="BD141" s="2">
        <f t="shared" si="65"/>
        <v>1</v>
      </c>
      <c r="BE141" s="2">
        <f t="shared" si="65"/>
        <v>1</v>
      </c>
      <c r="BF141" s="2">
        <f t="shared" si="65"/>
        <v>1</v>
      </c>
      <c r="BG141" s="2">
        <f t="shared" si="65"/>
        <v>1</v>
      </c>
      <c r="BH141" s="2">
        <f t="shared" si="65"/>
        <v>1</v>
      </c>
      <c r="BI141" s="2">
        <f t="shared" si="65"/>
        <v>1</v>
      </c>
      <c r="BJ141" s="2">
        <f t="shared" si="65"/>
        <v>1</v>
      </c>
      <c r="BK141" s="2">
        <f t="shared" si="65"/>
        <v>1</v>
      </c>
      <c r="BL141" s="2">
        <f t="shared" si="65"/>
        <v>1</v>
      </c>
      <c r="BM141" s="2">
        <f t="shared" si="65"/>
        <v>1</v>
      </c>
      <c r="BN141" s="2">
        <f t="shared" si="65"/>
        <v>1</v>
      </c>
      <c r="BO141" s="2">
        <f t="shared" si="65"/>
        <v>1</v>
      </c>
      <c r="BP141" s="2">
        <f t="shared" si="65"/>
        <v>1</v>
      </c>
      <c r="BQ141" s="2">
        <f t="shared" si="65"/>
        <v>1</v>
      </c>
    </row>
    <row r="142" spans="1:69" outlineLevel="2">
      <c r="E142" s="46" t="s">
        <v>192</v>
      </c>
      <c r="G142" s="46" t="s">
        <v>21</v>
      </c>
      <c r="H142" s="2">
        <f xml:space="preserve"> SUM( J142:BQ142 )</f>
        <v>60</v>
      </c>
      <c r="J142" s="2">
        <f t="shared" ref="J142:BQ142" si="66" xml:space="preserve">  IF( MOD( J140 - $F137, $F138 / $F139 ) = 0, 1, 0 ) * J141</f>
        <v>1</v>
      </c>
      <c r="K142" s="2">
        <f t="shared" si="66"/>
        <v>1</v>
      </c>
      <c r="L142" s="2">
        <f t="shared" si="66"/>
        <v>1</v>
      </c>
      <c r="M142" s="2">
        <f t="shared" si="66"/>
        <v>1</v>
      </c>
      <c r="N142" s="2">
        <f t="shared" si="66"/>
        <v>1</v>
      </c>
      <c r="O142" s="2">
        <f t="shared" si="66"/>
        <v>1</v>
      </c>
      <c r="P142" s="2">
        <f t="shared" si="66"/>
        <v>1</v>
      </c>
      <c r="Q142" s="2">
        <f t="shared" si="66"/>
        <v>1</v>
      </c>
      <c r="R142" s="2">
        <f t="shared" si="66"/>
        <v>1</v>
      </c>
      <c r="S142" s="2">
        <f t="shared" si="66"/>
        <v>1</v>
      </c>
      <c r="T142" s="2">
        <f t="shared" si="66"/>
        <v>1</v>
      </c>
      <c r="U142" s="2">
        <f t="shared" si="66"/>
        <v>1</v>
      </c>
      <c r="V142" s="2">
        <f t="shared" si="66"/>
        <v>1</v>
      </c>
      <c r="W142" s="2">
        <f t="shared" si="66"/>
        <v>1</v>
      </c>
      <c r="X142" s="2">
        <f t="shared" si="66"/>
        <v>1</v>
      </c>
      <c r="Y142" s="2">
        <f t="shared" si="66"/>
        <v>1</v>
      </c>
      <c r="Z142" s="2">
        <f t="shared" si="66"/>
        <v>1</v>
      </c>
      <c r="AA142" s="2">
        <f t="shared" si="66"/>
        <v>1</v>
      </c>
      <c r="AB142" s="2">
        <f t="shared" si="66"/>
        <v>1</v>
      </c>
      <c r="AC142" s="2">
        <f t="shared" si="66"/>
        <v>1</v>
      </c>
      <c r="AD142" s="2">
        <f t="shared" si="66"/>
        <v>1</v>
      </c>
      <c r="AE142" s="2">
        <f t="shared" si="66"/>
        <v>1</v>
      </c>
      <c r="AF142" s="2">
        <f t="shared" si="66"/>
        <v>1</v>
      </c>
      <c r="AG142" s="2">
        <f t="shared" si="66"/>
        <v>1</v>
      </c>
      <c r="AH142" s="2">
        <f t="shared" si="66"/>
        <v>1</v>
      </c>
      <c r="AI142" s="2">
        <f t="shared" si="66"/>
        <v>1</v>
      </c>
      <c r="AJ142" s="2">
        <f t="shared" si="66"/>
        <v>1</v>
      </c>
      <c r="AK142" s="2">
        <f t="shared" si="66"/>
        <v>1</v>
      </c>
      <c r="AL142" s="2">
        <f t="shared" si="66"/>
        <v>1</v>
      </c>
      <c r="AM142" s="2">
        <f t="shared" si="66"/>
        <v>1</v>
      </c>
      <c r="AN142" s="2">
        <f t="shared" si="66"/>
        <v>1</v>
      </c>
      <c r="AO142" s="2">
        <f t="shared" si="66"/>
        <v>1</v>
      </c>
      <c r="AP142" s="2">
        <f t="shared" si="66"/>
        <v>1</v>
      </c>
      <c r="AQ142" s="2">
        <f t="shared" si="66"/>
        <v>1</v>
      </c>
      <c r="AR142" s="2">
        <f t="shared" si="66"/>
        <v>1</v>
      </c>
      <c r="AS142" s="2">
        <f t="shared" si="66"/>
        <v>1</v>
      </c>
      <c r="AT142" s="2">
        <f t="shared" si="66"/>
        <v>1</v>
      </c>
      <c r="AU142" s="2">
        <f t="shared" si="66"/>
        <v>1</v>
      </c>
      <c r="AV142" s="2">
        <f t="shared" si="66"/>
        <v>1</v>
      </c>
      <c r="AW142" s="2">
        <f t="shared" si="66"/>
        <v>1</v>
      </c>
      <c r="AX142" s="2">
        <f t="shared" si="66"/>
        <v>1</v>
      </c>
      <c r="AY142" s="2">
        <f t="shared" si="66"/>
        <v>1</v>
      </c>
      <c r="AZ142" s="2">
        <f t="shared" si="66"/>
        <v>1</v>
      </c>
      <c r="BA142" s="2">
        <f t="shared" si="66"/>
        <v>1</v>
      </c>
      <c r="BB142" s="2">
        <f t="shared" si="66"/>
        <v>1</v>
      </c>
      <c r="BC142" s="2">
        <f t="shared" si="66"/>
        <v>1</v>
      </c>
      <c r="BD142" s="2">
        <f t="shared" si="66"/>
        <v>1</v>
      </c>
      <c r="BE142" s="2">
        <f t="shared" si="66"/>
        <v>1</v>
      </c>
      <c r="BF142" s="2">
        <f t="shared" si="66"/>
        <v>1</v>
      </c>
      <c r="BG142" s="2">
        <f t="shared" si="66"/>
        <v>1</v>
      </c>
      <c r="BH142" s="2">
        <f t="shared" si="66"/>
        <v>1</v>
      </c>
      <c r="BI142" s="2">
        <f t="shared" si="66"/>
        <v>1</v>
      </c>
      <c r="BJ142" s="2">
        <f t="shared" si="66"/>
        <v>1</v>
      </c>
      <c r="BK142" s="2">
        <f t="shared" si="66"/>
        <v>1</v>
      </c>
      <c r="BL142" s="2">
        <f t="shared" si="66"/>
        <v>1</v>
      </c>
      <c r="BM142" s="2">
        <f t="shared" si="66"/>
        <v>1</v>
      </c>
      <c r="BN142" s="2">
        <f t="shared" si="66"/>
        <v>1</v>
      </c>
      <c r="BO142" s="2">
        <f t="shared" si="66"/>
        <v>1</v>
      </c>
      <c r="BP142" s="2">
        <f t="shared" si="66"/>
        <v>1</v>
      </c>
      <c r="BQ142" s="2">
        <f t="shared" si="66"/>
        <v>1</v>
      </c>
    </row>
    <row r="143" spans="1:69" outlineLevel="1"/>
    <row r="144" spans="1:69" outlineLevel="1"/>
    <row r="145" spans="1:69" outlineLevel="1">
      <c r="B145" s="27" t="s">
        <v>104</v>
      </c>
    </row>
    <row r="146" spans="1:69" outlineLevel="2">
      <c r="A146" s="18"/>
      <c r="B146" s="18"/>
      <c r="C146" s="30"/>
      <c r="D146" s="31"/>
      <c r="E146" s="19" t="str">
        <f xml:space="preserve">  InpC!E$100</f>
        <v>Start date</v>
      </c>
      <c r="F146" s="19">
        <f xml:space="preserve">  InpC!F$100</f>
        <v>45047</v>
      </c>
      <c r="G146" s="19" t="str">
        <f xml:space="preserve">  InpC!G$100</f>
        <v>date</v>
      </c>
      <c r="M146" s="8"/>
    </row>
    <row r="147" spans="1:69" outlineLevel="2">
      <c r="E147" s="8" t="str">
        <f t="shared" ref="E147:BQ147" si="67" xml:space="preserve">  E$19</f>
        <v>Model period end</v>
      </c>
      <c r="F147" s="8">
        <f t="shared" si="67"/>
        <v>0</v>
      </c>
      <c r="G147" s="8" t="str">
        <f t="shared" si="67"/>
        <v>date</v>
      </c>
      <c r="H147" s="8">
        <f t="shared" si="67"/>
        <v>0</v>
      </c>
      <c r="I147" s="8">
        <f t="shared" si="67"/>
        <v>0</v>
      </c>
      <c r="J147" s="8">
        <f t="shared" si="67"/>
        <v>45077</v>
      </c>
      <c r="K147" s="8">
        <f t="shared" si="67"/>
        <v>45107</v>
      </c>
      <c r="L147" s="8">
        <f t="shared" si="67"/>
        <v>45138</v>
      </c>
      <c r="M147" s="8">
        <f t="shared" si="67"/>
        <v>45169</v>
      </c>
      <c r="N147" s="8">
        <f t="shared" si="67"/>
        <v>45199</v>
      </c>
      <c r="O147" s="8">
        <f t="shared" si="67"/>
        <v>45230</v>
      </c>
      <c r="P147" s="8">
        <f t="shared" si="67"/>
        <v>45260</v>
      </c>
      <c r="Q147" s="8">
        <f t="shared" si="67"/>
        <v>45291</v>
      </c>
      <c r="R147" s="8">
        <f t="shared" si="67"/>
        <v>45322</v>
      </c>
      <c r="S147" s="8">
        <f t="shared" si="67"/>
        <v>45351</v>
      </c>
      <c r="T147" s="8">
        <f t="shared" si="67"/>
        <v>45382</v>
      </c>
      <c r="U147" s="8">
        <f t="shared" si="67"/>
        <v>45412</v>
      </c>
      <c r="V147" s="8">
        <f t="shared" si="67"/>
        <v>45443</v>
      </c>
      <c r="W147" s="8">
        <f t="shared" si="67"/>
        <v>45473</v>
      </c>
      <c r="X147" s="8">
        <f t="shared" si="67"/>
        <v>45504</v>
      </c>
      <c r="Y147" s="8">
        <f t="shared" si="67"/>
        <v>45535</v>
      </c>
      <c r="Z147" s="8">
        <f t="shared" si="67"/>
        <v>45565</v>
      </c>
      <c r="AA147" s="8">
        <f t="shared" si="67"/>
        <v>45596</v>
      </c>
      <c r="AB147" s="8">
        <f t="shared" si="67"/>
        <v>45626</v>
      </c>
      <c r="AC147" s="8">
        <f t="shared" si="67"/>
        <v>45657</v>
      </c>
      <c r="AD147" s="8">
        <f t="shared" si="67"/>
        <v>45688</v>
      </c>
      <c r="AE147" s="8">
        <f t="shared" si="67"/>
        <v>45716</v>
      </c>
      <c r="AF147" s="8">
        <f t="shared" si="67"/>
        <v>45747</v>
      </c>
      <c r="AG147" s="8">
        <f t="shared" si="67"/>
        <v>45777</v>
      </c>
      <c r="AH147" s="8">
        <f t="shared" si="67"/>
        <v>45808</v>
      </c>
      <c r="AI147" s="8">
        <f t="shared" si="67"/>
        <v>45838</v>
      </c>
      <c r="AJ147" s="8">
        <f t="shared" si="67"/>
        <v>45869</v>
      </c>
      <c r="AK147" s="8">
        <f t="shared" si="67"/>
        <v>45900</v>
      </c>
      <c r="AL147" s="8">
        <f t="shared" si="67"/>
        <v>45930</v>
      </c>
      <c r="AM147" s="8">
        <f t="shared" si="67"/>
        <v>45961</v>
      </c>
      <c r="AN147" s="8">
        <f t="shared" si="67"/>
        <v>45991</v>
      </c>
      <c r="AO147" s="8">
        <f t="shared" si="67"/>
        <v>46022</v>
      </c>
      <c r="AP147" s="8">
        <f t="shared" si="67"/>
        <v>46053</v>
      </c>
      <c r="AQ147" s="8">
        <f t="shared" si="67"/>
        <v>46081</v>
      </c>
      <c r="AR147" s="8">
        <f t="shared" si="67"/>
        <v>46112</v>
      </c>
      <c r="AS147" s="8">
        <f t="shared" si="67"/>
        <v>46142</v>
      </c>
      <c r="AT147" s="8">
        <f t="shared" si="67"/>
        <v>46173</v>
      </c>
      <c r="AU147" s="8">
        <f t="shared" si="67"/>
        <v>46203</v>
      </c>
      <c r="AV147" s="8">
        <f t="shared" si="67"/>
        <v>46234</v>
      </c>
      <c r="AW147" s="8">
        <f t="shared" si="67"/>
        <v>46265</v>
      </c>
      <c r="AX147" s="8">
        <f t="shared" si="67"/>
        <v>46295</v>
      </c>
      <c r="AY147" s="8">
        <f t="shared" si="67"/>
        <v>46326</v>
      </c>
      <c r="AZ147" s="8">
        <f t="shared" si="67"/>
        <v>46356</v>
      </c>
      <c r="BA147" s="8">
        <f t="shared" si="67"/>
        <v>46387</v>
      </c>
      <c r="BB147" s="8">
        <f t="shared" si="67"/>
        <v>46418</v>
      </c>
      <c r="BC147" s="8">
        <f t="shared" si="67"/>
        <v>46446</v>
      </c>
      <c r="BD147" s="8">
        <f t="shared" si="67"/>
        <v>46477</v>
      </c>
      <c r="BE147" s="8">
        <f t="shared" si="67"/>
        <v>46507</v>
      </c>
      <c r="BF147" s="8">
        <f t="shared" si="67"/>
        <v>46538</v>
      </c>
      <c r="BG147" s="8">
        <f t="shared" si="67"/>
        <v>46568</v>
      </c>
      <c r="BH147" s="8">
        <f t="shared" si="67"/>
        <v>46599</v>
      </c>
      <c r="BI147" s="8">
        <f t="shared" si="67"/>
        <v>46630</v>
      </c>
      <c r="BJ147" s="8">
        <f t="shared" si="67"/>
        <v>46660</v>
      </c>
      <c r="BK147" s="8">
        <f t="shared" si="67"/>
        <v>46691</v>
      </c>
      <c r="BL147" s="8">
        <f t="shared" si="67"/>
        <v>46721</v>
      </c>
      <c r="BM147" s="8">
        <f t="shared" si="67"/>
        <v>46752</v>
      </c>
      <c r="BN147" s="8">
        <f t="shared" si="67"/>
        <v>46783</v>
      </c>
      <c r="BO147" s="8">
        <f t="shared" si="67"/>
        <v>46812</v>
      </c>
      <c r="BP147" s="8">
        <f t="shared" si="67"/>
        <v>46843</v>
      </c>
      <c r="BQ147" s="8">
        <f t="shared" si="67"/>
        <v>46873</v>
      </c>
    </row>
    <row r="148" spans="1:69" outlineLevel="2">
      <c r="E148" s="2" t="str">
        <f t="shared" ref="E148:BQ148" si="68" xml:space="preserve">  E$142</f>
        <v>Customer Order Growth escalation step up frequency flag</v>
      </c>
      <c r="F148" s="2">
        <f t="shared" si="68"/>
        <v>0</v>
      </c>
      <c r="G148" s="2" t="str">
        <f t="shared" si="68"/>
        <v>flag</v>
      </c>
      <c r="H148" s="2">
        <f t="shared" si="68"/>
        <v>60</v>
      </c>
      <c r="I148" s="2">
        <f t="shared" si="68"/>
        <v>0</v>
      </c>
      <c r="J148" s="2">
        <f t="shared" si="68"/>
        <v>1</v>
      </c>
      <c r="K148" s="2">
        <f t="shared" si="68"/>
        <v>1</v>
      </c>
      <c r="L148" s="2">
        <f t="shared" si="68"/>
        <v>1</v>
      </c>
      <c r="M148" s="2">
        <f t="shared" si="68"/>
        <v>1</v>
      </c>
      <c r="N148" s="2">
        <f t="shared" si="68"/>
        <v>1</v>
      </c>
      <c r="O148" s="2">
        <f t="shared" si="68"/>
        <v>1</v>
      </c>
      <c r="P148" s="2">
        <f t="shared" si="68"/>
        <v>1</v>
      </c>
      <c r="Q148" s="2">
        <f t="shared" si="68"/>
        <v>1</v>
      </c>
      <c r="R148" s="2">
        <f t="shared" si="68"/>
        <v>1</v>
      </c>
      <c r="S148" s="2">
        <f t="shared" si="68"/>
        <v>1</v>
      </c>
      <c r="T148" s="2">
        <f t="shared" si="68"/>
        <v>1</v>
      </c>
      <c r="U148" s="2">
        <f t="shared" si="68"/>
        <v>1</v>
      </c>
      <c r="V148" s="2">
        <f t="shared" si="68"/>
        <v>1</v>
      </c>
      <c r="W148" s="2">
        <f t="shared" si="68"/>
        <v>1</v>
      </c>
      <c r="X148" s="2">
        <f t="shared" si="68"/>
        <v>1</v>
      </c>
      <c r="Y148" s="2">
        <f t="shared" si="68"/>
        <v>1</v>
      </c>
      <c r="Z148" s="2">
        <f t="shared" si="68"/>
        <v>1</v>
      </c>
      <c r="AA148" s="2">
        <f t="shared" si="68"/>
        <v>1</v>
      </c>
      <c r="AB148" s="2">
        <f t="shared" si="68"/>
        <v>1</v>
      </c>
      <c r="AC148" s="2">
        <f t="shared" si="68"/>
        <v>1</v>
      </c>
      <c r="AD148" s="2">
        <f t="shared" si="68"/>
        <v>1</v>
      </c>
      <c r="AE148" s="2">
        <f t="shared" si="68"/>
        <v>1</v>
      </c>
      <c r="AF148" s="2">
        <f t="shared" si="68"/>
        <v>1</v>
      </c>
      <c r="AG148" s="2">
        <f t="shared" si="68"/>
        <v>1</v>
      </c>
      <c r="AH148" s="2">
        <f t="shared" si="68"/>
        <v>1</v>
      </c>
      <c r="AI148" s="2">
        <f t="shared" si="68"/>
        <v>1</v>
      </c>
      <c r="AJ148" s="2">
        <f t="shared" si="68"/>
        <v>1</v>
      </c>
      <c r="AK148" s="2">
        <f t="shared" si="68"/>
        <v>1</v>
      </c>
      <c r="AL148" s="2">
        <f t="shared" si="68"/>
        <v>1</v>
      </c>
      <c r="AM148" s="2">
        <f t="shared" si="68"/>
        <v>1</v>
      </c>
      <c r="AN148" s="2">
        <f t="shared" si="68"/>
        <v>1</v>
      </c>
      <c r="AO148" s="2">
        <f t="shared" si="68"/>
        <v>1</v>
      </c>
      <c r="AP148" s="2">
        <f t="shared" si="68"/>
        <v>1</v>
      </c>
      <c r="AQ148" s="2">
        <f t="shared" si="68"/>
        <v>1</v>
      </c>
      <c r="AR148" s="2">
        <f t="shared" si="68"/>
        <v>1</v>
      </c>
      <c r="AS148" s="2">
        <f t="shared" si="68"/>
        <v>1</v>
      </c>
      <c r="AT148" s="2">
        <f t="shared" si="68"/>
        <v>1</v>
      </c>
      <c r="AU148" s="2">
        <f t="shared" si="68"/>
        <v>1</v>
      </c>
      <c r="AV148" s="2">
        <f t="shared" si="68"/>
        <v>1</v>
      </c>
      <c r="AW148" s="2">
        <f t="shared" si="68"/>
        <v>1</v>
      </c>
      <c r="AX148" s="2">
        <f t="shared" si="68"/>
        <v>1</v>
      </c>
      <c r="AY148" s="2">
        <f t="shared" si="68"/>
        <v>1</v>
      </c>
      <c r="AZ148" s="2">
        <f t="shared" si="68"/>
        <v>1</v>
      </c>
      <c r="BA148" s="2">
        <f t="shared" si="68"/>
        <v>1</v>
      </c>
      <c r="BB148" s="2">
        <f t="shared" si="68"/>
        <v>1</v>
      </c>
      <c r="BC148" s="2">
        <f t="shared" si="68"/>
        <v>1</v>
      </c>
      <c r="BD148" s="2">
        <f t="shared" si="68"/>
        <v>1</v>
      </c>
      <c r="BE148" s="2">
        <f t="shared" si="68"/>
        <v>1</v>
      </c>
      <c r="BF148" s="2">
        <f t="shared" si="68"/>
        <v>1</v>
      </c>
      <c r="BG148" s="2">
        <f t="shared" si="68"/>
        <v>1</v>
      </c>
      <c r="BH148" s="2">
        <f t="shared" si="68"/>
        <v>1</v>
      </c>
      <c r="BI148" s="2">
        <f t="shared" si="68"/>
        <v>1</v>
      </c>
      <c r="BJ148" s="2">
        <f t="shared" si="68"/>
        <v>1</v>
      </c>
      <c r="BK148" s="2">
        <f t="shared" si="68"/>
        <v>1</v>
      </c>
      <c r="BL148" s="2">
        <f t="shared" si="68"/>
        <v>1</v>
      </c>
      <c r="BM148" s="2">
        <f t="shared" si="68"/>
        <v>1</v>
      </c>
      <c r="BN148" s="2">
        <f t="shared" si="68"/>
        <v>1</v>
      </c>
      <c r="BO148" s="2">
        <f t="shared" si="68"/>
        <v>1</v>
      </c>
      <c r="BP148" s="2">
        <f t="shared" si="68"/>
        <v>1</v>
      </c>
      <c r="BQ148" s="2">
        <f t="shared" si="68"/>
        <v>1</v>
      </c>
    </row>
    <row r="149" spans="1:69" outlineLevel="2">
      <c r="E149" s="46" t="s">
        <v>104</v>
      </c>
      <c r="G149" s="46" t="s">
        <v>210</v>
      </c>
      <c r="J149" s="8">
        <f t="shared" ref="J149:BQ149" si="69" xml:space="preserve">  DATE( YEAR( J147 ), MONTH( J147 ), DAY( $F146 ) ) * J148</f>
        <v>45047</v>
      </c>
      <c r="K149" s="8">
        <f t="shared" si="69"/>
        <v>45078</v>
      </c>
      <c r="L149" s="8">
        <f t="shared" si="69"/>
        <v>45108</v>
      </c>
      <c r="M149" s="8">
        <f t="shared" si="69"/>
        <v>45139</v>
      </c>
      <c r="N149" s="8">
        <f t="shared" si="69"/>
        <v>45170</v>
      </c>
      <c r="O149" s="8">
        <f t="shared" si="69"/>
        <v>45200</v>
      </c>
      <c r="P149" s="8">
        <f t="shared" si="69"/>
        <v>45231</v>
      </c>
      <c r="Q149" s="8">
        <f t="shared" si="69"/>
        <v>45261</v>
      </c>
      <c r="R149" s="8">
        <f t="shared" si="69"/>
        <v>45292</v>
      </c>
      <c r="S149" s="8">
        <f t="shared" si="69"/>
        <v>45323</v>
      </c>
      <c r="T149" s="8">
        <f t="shared" si="69"/>
        <v>45352</v>
      </c>
      <c r="U149" s="8">
        <f t="shared" si="69"/>
        <v>45383</v>
      </c>
      <c r="V149" s="8">
        <f t="shared" si="69"/>
        <v>45413</v>
      </c>
      <c r="W149" s="8">
        <f t="shared" si="69"/>
        <v>45444</v>
      </c>
      <c r="X149" s="8">
        <f t="shared" si="69"/>
        <v>45474</v>
      </c>
      <c r="Y149" s="8">
        <f t="shared" si="69"/>
        <v>45505</v>
      </c>
      <c r="Z149" s="8">
        <f t="shared" si="69"/>
        <v>45536</v>
      </c>
      <c r="AA149" s="8">
        <f t="shared" si="69"/>
        <v>45566</v>
      </c>
      <c r="AB149" s="8">
        <f t="shared" si="69"/>
        <v>45597</v>
      </c>
      <c r="AC149" s="8">
        <f t="shared" si="69"/>
        <v>45627</v>
      </c>
      <c r="AD149" s="8">
        <f t="shared" si="69"/>
        <v>45658</v>
      </c>
      <c r="AE149" s="8">
        <f t="shared" si="69"/>
        <v>45689</v>
      </c>
      <c r="AF149" s="8">
        <f t="shared" si="69"/>
        <v>45717</v>
      </c>
      <c r="AG149" s="8">
        <f t="shared" si="69"/>
        <v>45748</v>
      </c>
      <c r="AH149" s="8">
        <f t="shared" si="69"/>
        <v>45778</v>
      </c>
      <c r="AI149" s="8">
        <f t="shared" si="69"/>
        <v>45809</v>
      </c>
      <c r="AJ149" s="8">
        <f t="shared" si="69"/>
        <v>45839</v>
      </c>
      <c r="AK149" s="8">
        <f t="shared" si="69"/>
        <v>45870</v>
      </c>
      <c r="AL149" s="8">
        <f t="shared" si="69"/>
        <v>45901</v>
      </c>
      <c r="AM149" s="8">
        <f t="shared" si="69"/>
        <v>45931</v>
      </c>
      <c r="AN149" s="8">
        <f t="shared" si="69"/>
        <v>45962</v>
      </c>
      <c r="AO149" s="8">
        <f t="shared" si="69"/>
        <v>45992</v>
      </c>
      <c r="AP149" s="8">
        <f t="shared" si="69"/>
        <v>46023</v>
      </c>
      <c r="AQ149" s="8">
        <f t="shared" si="69"/>
        <v>46054</v>
      </c>
      <c r="AR149" s="8">
        <f t="shared" si="69"/>
        <v>46082</v>
      </c>
      <c r="AS149" s="8">
        <f t="shared" si="69"/>
        <v>46113</v>
      </c>
      <c r="AT149" s="8">
        <f t="shared" si="69"/>
        <v>46143</v>
      </c>
      <c r="AU149" s="8">
        <f t="shared" si="69"/>
        <v>46174</v>
      </c>
      <c r="AV149" s="8">
        <f t="shared" si="69"/>
        <v>46204</v>
      </c>
      <c r="AW149" s="8">
        <f t="shared" si="69"/>
        <v>46235</v>
      </c>
      <c r="AX149" s="8">
        <f t="shared" si="69"/>
        <v>46266</v>
      </c>
      <c r="AY149" s="8">
        <f t="shared" si="69"/>
        <v>46296</v>
      </c>
      <c r="AZ149" s="8">
        <f t="shared" si="69"/>
        <v>46327</v>
      </c>
      <c r="BA149" s="8">
        <f t="shared" si="69"/>
        <v>46357</v>
      </c>
      <c r="BB149" s="8">
        <f t="shared" si="69"/>
        <v>46388</v>
      </c>
      <c r="BC149" s="8">
        <f t="shared" si="69"/>
        <v>46419</v>
      </c>
      <c r="BD149" s="8">
        <f t="shared" si="69"/>
        <v>46447</v>
      </c>
      <c r="BE149" s="8">
        <f t="shared" si="69"/>
        <v>46478</v>
      </c>
      <c r="BF149" s="8">
        <f t="shared" si="69"/>
        <v>46508</v>
      </c>
      <c r="BG149" s="8">
        <f t="shared" si="69"/>
        <v>46539</v>
      </c>
      <c r="BH149" s="8">
        <f t="shared" si="69"/>
        <v>46569</v>
      </c>
      <c r="BI149" s="8">
        <f t="shared" si="69"/>
        <v>46600</v>
      </c>
      <c r="BJ149" s="8">
        <f t="shared" si="69"/>
        <v>46631</v>
      </c>
      <c r="BK149" s="8">
        <f t="shared" si="69"/>
        <v>46661</v>
      </c>
      <c r="BL149" s="8">
        <f t="shared" si="69"/>
        <v>46692</v>
      </c>
      <c r="BM149" s="8">
        <f t="shared" si="69"/>
        <v>46722</v>
      </c>
      <c r="BN149" s="8">
        <f t="shared" si="69"/>
        <v>46753</v>
      </c>
      <c r="BO149" s="8">
        <f t="shared" si="69"/>
        <v>46784</v>
      </c>
      <c r="BP149" s="8">
        <f t="shared" si="69"/>
        <v>46813</v>
      </c>
      <c r="BQ149" s="8">
        <f t="shared" si="69"/>
        <v>46844</v>
      </c>
    </row>
    <row r="150" spans="1:69" outlineLevel="1"/>
    <row r="151" spans="1:69" outlineLevel="1"/>
    <row r="152" spans="1:69" outlineLevel="1">
      <c r="B152" s="27" t="s">
        <v>105</v>
      </c>
    </row>
    <row r="153" spans="1:69" outlineLevel="2">
      <c r="A153" s="18"/>
      <c r="B153" s="18"/>
      <c r="C153" s="30"/>
      <c r="D153" s="31"/>
      <c r="E153" s="19" t="str">
        <f xml:space="preserve">  InpC!E$100</f>
        <v>Start date</v>
      </c>
      <c r="F153" s="19">
        <f xml:space="preserve">  InpC!F$100</f>
        <v>45047</v>
      </c>
      <c r="G153" s="19" t="str">
        <f xml:space="preserve">  InpC!G$100</f>
        <v>date</v>
      </c>
      <c r="M153" s="8"/>
    </row>
    <row r="154" spans="1:69" outlineLevel="2">
      <c r="E154" s="8" t="str">
        <f t="shared" ref="E154:BQ154" si="70" xml:space="preserve">  E$149</f>
        <v>Day in period Customer Order Growth escalation occurs</v>
      </c>
      <c r="F154" s="8">
        <f t="shared" si="70"/>
        <v>0</v>
      </c>
      <c r="G154" s="8" t="str">
        <f t="shared" si="70"/>
        <v>date</v>
      </c>
      <c r="H154" s="8">
        <f t="shared" si="70"/>
        <v>0</v>
      </c>
      <c r="I154" s="8">
        <f t="shared" si="70"/>
        <v>0</v>
      </c>
      <c r="J154" s="8">
        <f t="shared" si="70"/>
        <v>45047</v>
      </c>
      <c r="K154" s="8">
        <f t="shared" si="70"/>
        <v>45078</v>
      </c>
      <c r="L154" s="8">
        <f t="shared" si="70"/>
        <v>45108</v>
      </c>
      <c r="M154" s="8">
        <f t="shared" si="70"/>
        <v>45139</v>
      </c>
      <c r="N154" s="8">
        <f t="shared" si="70"/>
        <v>45170</v>
      </c>
      <c r="O154" s="8">
        <f t="shared" si="70"/>
        <v>45200</v>
      </c>
      <c r="P154" s="8">
        <f t="shared" si="70"/>
        <v>45231</v>
      </c>
      <c r="Q154" s="8">
        <f t="shared" si="70"/>
        <v>45261</v>
      </c>
      <c r="R154" s="8">
        <f t="shared" si="70"/>
        <v>45292</v>
      </c>
      <c r="S154" s="8">
        <f t="shared" si="70"/>
        <v>45323</v>
      </c>
      <c r="T154" s="8">
        <f t="shared" si="70"/>
        <v>45352</v>
      </c>
      <c r="U154" s="8">
        <f t="shared" si="70"/>
        <v>45383</v>
      </c>
      <c r="V154" s="8">
        <f t="shared" si="70"/>
        <v>45413</v>
      </c>
      <c r="W154" s="8">
        <f t="shared" si="70"/>
        <v>45444</v>
      </c>
      <c r="X154" s="8">
        <f t="shared" si="70"/>
        <v>45474</v>
      </c>
      <c r="Y154" s="8">
        <f t="shared" si="70"/>
        <v>45505</v>
      </c>
      <c r="Z154" s="8">
        <f t="shared" si="70"/>
        <v>45536</v>
      </c>
      <c r="AA154" s="8">
        <f t="shared" si="70"/>
        <v>45566</v>
      </c>
      <c r="AB154" s="8">
        <f t="shared" si="70"/>
        <v>45597</v>
      </c>
      <c r="AC154" s="8">
        <f t="shared" si="70"/>
        <v>45627</v>
      </c>
      <c r="AD154" s="8">
        <f t="shared" si="70"/>
        <v>45658</v>
      </c>
      <c r="AE154" s="8">
        <f t="shared" si="70"/>
        <v>45689</v>
      </c>
      <c r="AF154" s="8">
        <f t="shared" si="70"/>
        <v>45717</v>
      </c>
      <c r="AG154" s="8">
        <f t="shared" si="70"/>
        <v>45748</v>
      </c>
      <c r="AH154" s="8">
        <f t="shared" si="70"/>
        <v>45778</v>
      </c>
      <c r="AI154" s="8">
        <f t="shared" si="70"/>
        <v>45809</v>
      </c>
      <c r="AJ154" s="8">
        <f t="shared" si="70"/>
        <v>45839</v>
      </c>
      <c r="AK154" s="8">
        <f t="shared" si="70"/>
        <v>45870</v>
      </c>
      <c r="AL154" s="8">
        <f t="shared" si="70"/>
        <v>45901</v>
      </c>
      <c r="AM154" s="8">
        <f t="shared" si="70"/>
        <v>45931</v>
      </c>
      <c r="AN154" s="8">
        <f t="shared" si="70"/>
        <v>45962</v>
      </c>
      <c r="AO154" s="8">
        <f t="shared" si="70"/>
        <v>45992</v>
      </c>
      <c r="AP154" s="8">
        <f t="shared" si="70"/>
        <v>46023</v>
      </c>
      <c r="AQ154" s="8">
        <f t="shared" si="70"/>
        <v>46054</v>
      </c>
      <c r="AR154" s="8">
        <f t="shared" si="70"/>
        <v>46082</v>
      </c>
      <c r="AS154" s="8">
        <f t="shared" si="70"/>
        <v>46113</v>
      </c>
      <c r="AT154" s="8">
        <f t="shared" si="70"/>
        <v>46143</v>
      </c>
      <c r="AU154" s="8">
        <f t="shared" si="70"/>
        <v>46174</v>
      </c>
      <c r="AV154" s="8">
        <f t="shared" si="70"/>
        <v>46204</v>
      </c>
      <c r="AW154" s="8">
        <f t="shared" si="70"/>
        <v>46235</v>
      </c>
      <c r="AX154" s="8">
        <f t="shared" si="70"/>
        <v>46266</v>
      </c>
      <c r="AY154" s="8">
        <f t="shared" si="70"/>
        <v>46296</v>
      </c>
      <c r="AZ154" s="8">
        <f t="shared" si="70"/>
        <v>46327</v>
      </c>
      <c r="BA154" s="8">
        <f t="shared" si="70"/>
        <v>46357</v>
      </c>
      <c r="BB154" s="8">
        <f t="shared" si="70"/>
        <v>46388</v>
      </c>
      <c r="BC154" s="8">
        <f t="shared" si="70"/>
        <v>46419</v>
      </c>
      <c r="BD154" s="8">
        <f t="shared" si="70"/>
        <v>46447</v>
      </c>
      <c r="BE154" s="8">
        <f t="shared" si="70"/>
        <v>46478</v>
      </c>
      <c r="BF154" s="8">
        <f t="shared" si="70"/>
        <v>46508</v>
      </c>
      <c r="BG154" s="8">
        <f t="shared" si="70"/>
        <v>46539</v>
      </c>
      <c r="BH154" s="8">
        <f t="shared" si="70"/>
        <v>46569</v>
      </c>
      <c r="BI154" s="8">
        <f t="shared" si="70"/>
        <v>46600</v>
      </c>
      <c r="BJ154" s="8">
        <f t="shared" si="70"/>
        <v>46631</v>
      </c>
      <c r="BK154" s="8">
        <f t="shared" si="70"/>
        <v>46661</v>
      </c>
      <c r="BL154" s="8">
        <f t="shared" si="70"/>
        <v>46692</v>
      </c>
      <c r="BM154" s="8">
        <f t="shared" si="70"/>
        <v>46722</v>
      </c>
      <c r="BN154" s="8">
        <f t="shared" si="70"/>
        <v>46753</v>
      </c>
      <c r="BO154" s="8">
        <f t="shared" si="70"/>
        <v>46784</v>
      </c>
      <c r="BP154" s="8">
        <f t="shared" si="70"/>
        <v>46813</v>
      </c>
      <c r="BQ154" s="8">
        <f t="shared" si="70"/>
        <v>46844</v>
      </c>
    </row>
    <row r="155" spans="1:69" outlineLevel="2">
      <c r="E155" s="2" t="str">
        <f t="shared" ref="E155:BQ155" si="71" xml:space="preserve">  E$142</f>
        <v>Customer Order Growth escalation step up frequency flag</v>
      </c>
      <c r="F155" s="2">
        <f t="shared" si="71"/>
        <v>0</v>
      </c>
      <c r="G155" s="2" t="str">
        <f t="shared" si="71"/>
        <v>flag</v>
      </c>
      <c r="H155" s="2">
        <f t="shared" si="71"/>
        <v>60</v>
      </c>
      <c r="I155" s="2">
        <f t="shared" si="71"/>
        <v>0</v>
      </c>
      <c r="J155" s="2">
        <f t="shared" si="71"/>
        <v>1</v>
      </c>
      <c r="K155" s="2">
        <f t="shared" si="71"/>
        <v>1</v>
      </c>
      <c r="L155" s="2">
        <f t="shared" si="71"/>
        <v>1</v>
      </c>
      <c r="M155" s="2">
        <f t="shared" si="71"/>
        <v>1</v>
      </c>
      <c r="N155" s="2">
        <f t="shared" si="71"/>
        <v>1</v>
      </c>
      <c r="O155" s="2">
        <f t="shared" si="71"/>
        <v>1</v>
      </c>
      <c r="P155" s="2">
        <f t="shared" si="71"/>
        <v>1</v>
      </c>
      <c r="Q155" s="2">
        <f t="shared" si="71"/>
        <v>1</v>
      </c>
      <c r="R155" s="2">
        <f t="shared" si="71"/>
        <v>1</v>
      </c>
      <c r="S155" s="2">
        <f t="shared" si="71"/>
        <v>1</v>
      </c>
      <c r="T155" s="2">
        <f t="shared" si="71"/>
        <v>1</v>
      </c>
      <c r="U155" s="2">
        <f t="shared" si="71"/>
        <v>1</v>
      </c>
      <c r="V155" s="2">
        <f t="shared" si="71"/>
        <v>1</v>
      </c>
      <c r="W155" s="2">
        <f t="shared" si="71"/>
        <v>1</v>
      </c>
      <c r="X155" s="2">
        <f t="shared" si="71"/>
        <v>1</v>
      </c>
      <c r="Y155" s="2">
        <f t="shared" si="71"/>
        <v>1</v>
      </c>
      <c r="Z155" s="2">
        <f t="shared" si="71"/>
        <v>1</v>
      </c>
      <c r="AA155" s="2">
        <f t="shared" si="71"/>
        <v>1</v>
      </c>
      <c r="AB155" s="2">
        <f t="shared" si="71"/>
        <v>1</v>
      </c>
      <c r="AC155" s="2">
        <f t="shared" si="71"/>
        <v>1</v>
      </c>
      <c r="AD155" s="2">
        <f t="shared" si="71"/>
        <v>1</v>
      </c>
      <c r="AE155" s="2">
        <f t="shared" si="71"/>
        <v>1</v>
      </c>
      <c r="AF155" s="2">
        <f t="shared" si="71"/>
        <v>1</v>
      </c>
      <c r="AG155" s="2">
        <f t="shared" si="71"/>
        <v>1</v>
      </c>
      <c r="AH155" s="2">
        <f t="shared" si="71"/>
        <v>1</v>
      </c>
      <c r="AI155" s="2">
        <f t="shared" si="71"/>
        <v>1</v>
      </c>
      <c r="AJ155" s="2">
        <f t="shared" si="71"/>
        <v>1</v>
      </c>
      <c r="AK155" s="2">
        <f t="shared" si="71"/>
        <v>1</v>
      </c>
      <c r="AL155" s="2">
        <f t="shared" si="71"/>
        <v>1</v>
      </c>
      <c r="AM155" s="2">
        <f t="shared" si="71"/>
        <v>1</v>
      </c>
      <c r="AN155" s="2">
        <f t="shared" si="71"/>
        <v>1</v>
      </c>
      <c r="AO155" s="2">
        <f t="shared" si="71"/>
        <v>1</v>
      </c>
      <c r="AP155" s="2">
        <f t="shared" si="71"/>
        <v>1</v>
      </c>
      <c r="AQ155" s="2">
        <f t="shared" si="71"/>
        <v>1</v>
      </c>
      <c r="AR155" s="2">
        <f t="shared" si="71"/>
        <v>1</v>
      </c>
      <c r="AS155" s="2">
        <f t="shared" si="71"/>
        <v>1</v>
      </c>
      <c r="AT155" s="2">
        <f t="shared" si="71"/>
        <v>1</v>
      </c>
      <c r="AU155" s="2">
        <f t="shared" si="71"/>
        <v>1</v>
      </c>
      <c r="AV155" s="2">
        <f t="shared" si="71"/>
        <v>1</v>
      </c>
      <c r="AW155" s="2">
        <f t="shared" si="71"/>
        <v>1</v>
      </c>
      <c r="AX155" s="2">
        <f t="shared" si="71"/>
        <v>1</v>
      </c>
      <c r="AY155" s="2">
        <f t="shared" si="71"/>
        <v>1</v>
      </c>
      <c r="AZ155" s="2">
        <f t="shared" si="71"/>
        <v>1</v>
      </c>
      <c r="BA155" s="2">
        <f t="shared" si="71"/>
        <v>1</v>
      </c>
      <c r="BB155" s="2">
        <f t="shared" si="71"/>
        <v>1</v>
      </c>
      <c r="BC155" s="2">
        <f t="shared" si="71"/>
        <v>1</v>
      </c>
      <c r="BD155" s="2">
        <f t="shared" si="71"/>
        <v>1</v>
      </c>
      <c r="BE155" s="2">
        <f t="shared" si="71"/>
        <v>1</v>
      </c>
      <c r="BF155" s="2">
        <f t="shared" si="71"/>
        <v>1</v>
      </c>
      <c r="BG155" s="2">
        <f t="shared" si="71"/>
        <v>1</v>
      </c>
      <c r="BH155" s="2">
        <f t="shared" si="71"/>
        <v>1</v>
      </c>
      <c r="BI155" s="2">
        <f t="shared" si="71"/>
        <v>1</v>
      </c>
      <c r="BJ155" s="2">
        <f t="shared" si="71"/>
        <v>1</v>
      </c>
      <c r="BK155" s="2">
        <f t="shared" si="71"/>
        <v>1</v>
      </c>
      <c r="BL155" s="2">
        <f t="shared" si="71"/>
        <v>1</v>
      </c>
      <c r="BM155" s="2">
        <f t="shared" si="71"/>
        <v>1</v>
      </c>
      <c r="BN155" s="2">
        <f t="shared" si="71"/>
        <v>1</v>
      </c>
      <c r="BO155" s="2">
        <f t="shared" si="71"/>
        <v>1</v>
      </c>
      <c r="BP155" s="2">
        <f t="shared" si="71"/>
        <v>1</v>
      </c>
      <c r="BQ155" s="2">
        <f t="shared" si="71"/>
        <v>1</v>
      </c>
    </row>
    <row r="156" spans="1:69" outlineLevel="2">
      <c r="E156" s="46" t="s">
        <v>105</v>
      </c>
      <c r="H156" s="2">
        <f xml:space="preserve"> SUM( J156:BQ156 )</f>
        <v>147.67225785730801</v>
      </c>
      <c r="J156" s="2">
        <f t="shared" ref="J156:BQ156" si="72" xml:space="preserve">  YEARFRAC( $F153, J154, 1 ) * J155</f>
        <v>0</v>
      </c>
      <c r="K156" s="2">
        <f t="shared" si="72"/>
        <v>8.4931506849315067E-2</v>
      </c>
      <c r="L156" s="2">
        <f t="shared" si="72"/>
        <v>0.16712328767123288</v>
      </c>
      <c r="M156" s="2">
        <f t="shared" si="72"/>
        <v>0.25205479452054796</v>
      </c>
      <c r="N156" s="2">
        <f t="shared" si="72"/>
        <v>0.33698630136986302</v>
      </c>
      <c r="O156" s="2">
        <f t="shared" si="72"/>
        <v>0.41917808219178082</v>
      </c>
      <c r="P156" s="2">
        <f t="shared" si="72"/>
        <v>0.50410958904109593</v>
      </c>
      <c r="Q156" s="2">
        <f t="shared" si="72"/>
        <v>0.58630136986301373</v>
      </c>
      <c r="R156" s="2">
        <f t="shared" si="72"/>
        <v>0.67123287671232879</v>
      </c>
      <c r="S156" s="2">
        <f t="shared" si="72"/>
        <v>0.75616438356164384</v>
      </c>
      <c r="T156" s="2">
        <f t="shared" si="72"/>
        <v>0.83333333333333337</v>
      </c>
      <c r="U156" s="2">
        <f t="shared" si="72"/>
        <v>0.91803278688524592</v>
      </c>
      <c r="V156" s="2">
        <f t="shared" si="72"/>
        <v>1</v>
      </c>
      <c r="W156" s="2">
        <f t="shared" si="72"/>
        <v>1.0861833105335157</v>
      </c>
      <c r="X156" s="2">
        <f t="shared" si="72"/>
        <v>1.1682626538987688</v>
      </c>
      <c r="Y156" s="2">
        <f t="shared" si="72"/>
        <v>1.2530779753761969</v>
      </c>
      <c r="Z156" s="2">
        <f t="shared" si="72"/>
        <v>1.3378932968536252</v>
      </c>
      <c r="AA156" s="2">
        <f t="shared" si="72"/>
        <v>1.4199726402188781</v>
      </c>
      <c r="AB156" s="2">
        <f t="shared" si="72"/>
        <v>1.5047879616963065</v>
      </c>
      <c r="AC156" s="2">
        <f t="shared" si="72"/>
        <v>1.5868673050615596</v>
      </c>
      <c r="AD156" s="2">
        <f t="shared" si="72"/>
        <v>1.6724452554744527</v>
      </c>
      <c r="AE156" s="2">
        <f t="shared" si="72"/>
        <v>1.7572992700729928</v>
      </c>
      <c r="AF156" s="2">
        <f t="shared" si="72"/>
        <v>1.8339416058394162</v>
      </c>
      <c r="AG156" s="2">
        <f t="shared" si="72"/>
        <v>1.9187956204379564</v>
      </c>
      <c r="AH156" s="2">
        <f t="shared" si="72"/>
        <v>2.0009124087591244</v>
      </c>
      <c r="AI156" s="2">
        <f t="shared" si="72"/>
        <v>2.0857664233576645</v>
      </c>
      <c r="AJ156" s="2">
        <f t="shared" si="72"/>
        <v>2.167883211678832</v>
      </c>
      <c r="AK156" s="2">
        <f t="shared" si="72"/>
        <v>2.2527372262773722</v>
      </c>
      <c r="AL156" s="2">
        <f t="shared" si="72"/>
        <v>2.3375912408759127</v>
      </c>
      <c r="AM156" s="2">
        <f t="shared" si="72"/>
        <v>2.4197080291970803</v>
      </c>
      <c r="AN156" s="2">
        <f t="shared" si="72"/>
        <v>2.5045620437956204</v>
      </c>
      <c r="AO156" s="2">
        <f t="shared" si="72"/>
        <v>2.5866788321167884</v>
      </c>
      <c r="AP156" s="2">
        <f t="shared" si="72"/>
        <v>2.6721423682409307</v>
      </c>
      <c r="AQ156" s="2">
        <f t="shared" si="72"/>
        <v>2.7570157426420261</v>
      </c>
      <c r="AR156" s="2">
        <f t="shared" si="72"/>
        <v>2.8336755646817249</v>
      </c>
      <c r="AS156" s="2">
        <f t="shared" si="72"/>
        <v>2.9185489390828199</v>
      </c>
      <c r="AT156" s="2">
        <f t="shared" si="72"/>
        <v>3.0006844626967832</v>
      </c>
      <c r="AU156" s="2">
        <f t="shared" si="72"/>
        <v>3.0855578370978782</v>
      </c>
      <c r="AV156" s="2">
        <f t="shared" si="72"/>
        <v>3.1676933607118412</v>
      </c>
      <c r="AW156" s="2">
        <f t="shared" si="72"/>
        <v>3.2525667351129361</v>
      </c>
      <c r="AX156" s="2">
        <f t="shared" si="72"/>
        <v>3.3374401095140316</v>
      </c>
      <c r="AY156" s="2">
        <f t="shared" si="72"/>
        <v>3.4195756331279945</v>
      </c>
      <c r="AZ156" s="2">
        <f t="shared" si="72"/>
        <v>3.5044490075290895</v>
      </c>
      <c r="BA156" s="2">
        <f t="shared" si="72"/>
        <v>3.5865845311430529</v>
      </c>
      <c r="BB156" s="2">
        <f t="shared" si="72"/>
        <v>3.6719605695509312</v>
      </c>
      <c r="BC156" s="2">
        <f t="shared" si="72"/>
        <v>3.7568455640744798</v>
      </c>
      <c r="BD156" s="2">
        <f t="shared" si="72"/>
        <v>3.833515881708653</v>
      </c>
      <c r="BE156" s="2">
        <f t="shared" si="72"/>
        <v>3.9184008762322016</v>
      </c>
      <c r="BF156" s="2">
        <f t="shared" si="72"/>
        <v>4.0005476451259581</v>
      </c>
      <c r="BG156" s="2">
        <f t="shared" si="72"/>
        <v>4.0854326396495075</v>
      </c>
      <c r="BH156" s="2">
        <f t="shared" si="72"/>
        <v>4.167579408543264</v>
      </c>
      <c r="BI156" s="2">
        <f t="shared" si="72"/>
        <v>4.2524644030668126</v>
      </c>
      <c r="BJ156" s="2">
        <f t="shared" si="72"/>
        <v>4.3373493975903612</v>
      </c>
      <c r="BK156" s="2">
        <f t="shared" si="72"/>
        <v>4.4194961664841186</v>
      </c>
      <c r="BL156" s="2">
        <f t="shared" si="72"/>
        <v>4.5043811610076672</v>
      </c>
      <c r="BM156" s="2">
        <f t="shared" si="72"/>
        <v>4.5865279299014237</v>
      </c>
      <c r="BN156" s="2">
        <f t="shared" si="72"/>
        <v>4.6697080291970803</v>
      </c>
      <c r="BO156" s="2">
        <f t="shared" si="72"/>
        <v>4.7545620437956204</v>
      </c>
      <c r="BP156" s="2">
        <f t="shared" si="72"/>
        <v>4.8339416058394162</v>
      </c>
      <c r="BQ156" s="2">
        <f t="shared" si="72"/>
        <v>4.9187956204379564</v>
      </c>
    </row>
    <row r="157" spans="1:69" outlineLevel="1"/>
    <row r="158" spans="1:69" outlineLevel="1"/>
    <row r="159" spans="1:69" outlineLevel="1">
      <c r="B159" s="27" t="s">
        <v>167</v>
      </c>
    </row>
    <row r="160" spans="1:69" outlineLevel="2">
      <c r="A160" s="18"/>
      <c r="B160" s="18"/>
      <c r="C160" s="30"/>
      <c r="D160" s="31"/>
      <c r="E160" s="44" t="str">
        <f xml:space="preserve">  InpC!E$16</f>
        <v>Customer Order Growth annual start escalation rate</v>
      </c>
      <c r="F160" s="44">
        <f xml:space="preserve">  InpC!F$16</f>
        <v>1</v>
      </c>
      <c r="G160" s="44" t="str">
        <f xml:space="preserve">  InpC!G$16</f>
        <v>%</v>
      </c>
      <c r="M160" s="58"/>
    </row>
    <row r="161" spans="1:69" outlineLevel="2">
      <c r="E161" s="2" t="str">
        <f t="shared" ref="E161:BQ161" si="73" xml:space="preserve">  E$156</f>
        <v>years since Customer Order Growth base date</v>
      </c>
      <c r="F161" s="2">
        <f t="shared" si="73"/>
        <v>0</v>
      </c>
      <c r="G161" s="2">
        <f t="shared" si="73"/>
        <v>0</v>
      </c>
      <c r="H161" s="2">
        <f t="shared" si="73"/>
        <v>147.67225785730801</v>
      </c>
      <c r="I161" s="2">
        <f t="shared" si="73"/>
        <v>0</v>
      </c>
      <c r="J161" s="2">
        <f t="shared" si="73"/>
        <v>0</v>
      </c>
      <c r="K161" s="2">
        <f t="shared" si="73"/>
        <v>8.4931506849315067E-2</v>
      </c>
      <c r="L161" s="2">
        <f t="shared" si="73"/>
        <v>0.16712328767123288</v>
      </c>
      <c r="M161" s="2">
        <f t="shared" si="73"/>
        <v>0.25205479452054796</v>
      </c>
      <c r="N161" s="2">
        <f t="shared" si="73"/>
        <v>0.33698630136986302</v>
      </c>
      <c r="O161" s="2">
        <f t="shared" si="73"/>
        <v>0.41917808219178082</v>
      </c>
      <c r="P161" s="2">
        <f t="shared" si="73"/>
        <v>0.50410958904109593</v>
      </c>
      <c r="Q161" s="2">
        <f t="shared" si="73"/>
        <v>0.58630136986301373</v>
      </c>
      <c r="R161" s="2">
        <f t="shared" si="73"/>
        <v>0.67123287671232879</v>
      </c>
      <c r="S161" s="2">
        <f t="shared" si="73"/>
        <v>0.75616438356164384</v>
      </c>
      <c r="T161" s="2">
        <f t="shared" si="73"/>
        <v>0.83333333333333337</v>
      </c>
      <c r="U161" s="2">
        <f t="shared" si="73"/>
        <v>0.91803278688524592</v>
      </c>
      <c r="V161" s="2">
        <f t="shared" si="73"/>
        <v>1</v>
      </c>
      <c r="W161" s="2">
        <f t="shared" si="73"/>
        <v>1.0861833105335157</v>
      </c>
      <c r="X161" s="2">
        <f t="shared" si="73"/>
        <v>1.1682626538987688</v>
      </c>
      <c r="Y161" s="2">
        <f t="shared" si="73"/>
        <v>1.2530779753761969</v>
      </c>
      <c r="Z161" s="2">
        <f t="shared" si="73"/>
        <v>1.3378932968536252</v>
      </c>
      <c r="AA161" s="2">
        <f t="shared" si="73"/>
        <v>1.4199726402188781</v>
      </c>
      <c r="AB161" s="2">
        <f t="shared" si="73"/>
        <v>1.5047879616963065</v>
      </c>
      <c r="AC161" s="2">
        <f t="shared" si="73"/>
        <v>1.5868673050615596</v>
      </c>
      <c r="AD161" s="2">
        <f t="shared" si="73"/>
        <v>1.6724452554744527</v>
      </c>
      <c r="AE161" s="2">
        <f t="shared" si="73"/>
        <v>1.7572992700729928</v>
      </c>
      <c r="AF161" s="2">
        <f t="shared" si="73"/>
        <v>1.8339416058394162</v>
      </c>
      <c r="AG161" s="2">
        <f t="shared" si="73"/>
        <v>1.9187956204379564</v>
      </c>
      <c r="AH161" s="2">
        <f t="shared" si="73"/>
        <v>2.0009124087591244</v>
      </c>
      <c r="AI161" s="2">
        <f t="shared" si="73"/>
        <v>2.0857664233576645</v>
      </c>
      <c r="AJ161" s="2">
        <f t="shared" si="73"/>
        <v>2.167883211678832</v>
      </c>
      <c r="AK161" s="2">
        <f t="shared" si="73"/>
        <v>2.2527372262773722</v>
      </c>
      <c r="AL161" s="2">
        <f t="shared" si="73"/>
        <v>2.3375912408759127</v>
      </c>
      <c r="AM161" s="2">
        <f t="shared" si="73"/>
        <v>2.4197080291970803</v>
      </c>
      <c r="AN161" s="2">
        <f t="shared" si="73"/>
        <v>2.5045620437956204</v>
      </c>
      <c r="AO161" s="2">
        <f t="shared" si="73"/>
        <v>2.5866788321167884</v>
      </c>
      <c r="AP161" s="2">
        <f t="shared" si="73"/>
        <v>2.6721423682409307</v>
      </c>
      <c r="AQ161" s="2">
        <f t="shared" si="73"/>
        <v>2.7570157426420261</v>
      </c>
      <c r="AR161" s="2">
        <f t="shared" si="73"/>
        <v>2.8336755646817249</v>
      </c>
      <c r="AS161" s="2">
        <f t="shared" si="73"/>
        <v>2.9185489390828199</v>
      </c>
      <c r="AT161" s="2">
        <f t="shared" si="73"/>
        <v>3.0006844626967832</v>
      </c>
      <c r="AU161" s="2">
        <f t="shared" si="73"/>
        <v>3.0855578370978782</v>
      </c>
      <c r="AV161" s="2">
        <f t="shared" si="73"/>
        <v>3.1676933607118412</v>
      </c>
      <c r="AW161" s="2">
        <f t="shared" si="73"/>
        <v>3.2525667351129361</v>
      </c>
      <c r="AX161" s="2">
        <f t="shared" si="73"/>
        <v>3.3374401095140316</v>
      </c>
      <c r="AY161" s="2">
        <f t="shared" si="73"/>
        <v>3.4195756331279945</v>
      </c>
      <c r="AZ161" s="2">
        <f t="shared" si="73"/>
        <v>3.5044490075290895</v>
      </c>
      <c r="BA161" s="2">
        <f t="shared" si="73"/>
        <v>3.5865845311430529</v>
      </c>
      <c r="BB161" s="2">
        <f t="shared" si="73"/>
        <v>3.6719605695509312</v>
      </c>
      <c r="BC161" s="2">
        <f t="shared" si="73"/>
        <v>3.7568455640744798</v>
      </c>
      <c r="BD161" s="2">
        <f t="shared" si="73"/>
        <v>3.833515881708653</v>
      </c>
      <c r="BE161" s="2">
        <f t="shared" si="73"/>
        <v>3.9184008762322016</v>
      </c>
      <c r="BF161" s="2">
        <f t="shared" si="73"/>
        <v>4.0005476451259581</v>
      </c>
      <c r="BG161" s="2">
        <f t="shared" si="73"/>
        <v>4.0854326396495075</v>
      </c>
      <c r="BH161" s="2">
        <f t="shared" si="73"/>
        <v>4.167579408543264</v>
      </c>
      <c r="BI161" s="2">
        <f t="shared" si="73"/>
        <v>4.2524644030668126</v>
      </c>
      <c r="BJ161" s="2">
        <f t="shared" si="73"/>
        <v>4.3373493975903612</v>
      </c>
      <c r="BK161" s="2">
        <f t="shared" si="73"/>
        <v>4.4194961664841186</v>
      </c>
      <c r="BL161" s="2">
        <f t="shared" si="73"/>
        <v>4.5043811610076672</v>
      </c>
      <c r="BM161" s="2">
        <f t="shared" si="73"/>
        <v>4.5865279299014237</v>
      </c>
      <c r="BN161" s="2">
        <f t="shared" si="73"/>
        <v>4.6697080291970803</v>
      </c>
      <c r="BO161" s="2">
        <f t="shared" si="73"/>
        <v>4.7545620437956204</v>
      </c>
      <c r="BP161" s="2">
        <f t="shared" si="73"/>
        <v>4.8339416058394162</v>
      </c>
      <c r="BQ161" s="2">
        <f t="shared" si="73"/>
        <v>4.9187956204379564</v>
      </c>
    </row>
    <row r="162" spans="1:69" outlineLevel="2">
      <c r="E162" s="2" t="str">
        <f t="shared" ref="E162:BQ162" si="74" xml:space="preserve">  E$115</f>
        <v>Customer Order Growth escalation duration flag</v>
      </c>
      <c r="F162" s="2">
        <f t="shared" si="74"/>
        <v>0</v>
      </c>
      <c r="G162" s="2" t="str">
        <f t="shared" si="74"/>
        <v>flag</v>
      </c>
      <c r="H162" s="2">
        <f t="shared" si="74"/>
        <v>60</v>
      </c>
      <c r="I162" s="2">
        <f t="shared" si="74"/>
        <v>0</v>
      </c>
      <c r="J162" s="2">
        <f t="shared" si="74"/>
        <v>1</v>
      </c>
      <c r="K162" s="2">
        <f t="shared" si="74"/>
        <v>1</v>
      </c>
      <c r="L162" s="2">
        <f t="shared" si="74"/>
        <v>1</v>
      </c>
      <c r="M162" s="2">
        <f t="shared" si="74"/>
        <v>1</v>
      </c>
      <c r="N162" s="2">
        <f t="shared" si="74"/>
        <v>1</v>
      </c>
      <c r="O162" s="2">
        <f t="shared" si="74"/>
        <v>1</v>
      </c>
      <c r="P162" s="2">
        <f t="shared" si="74"/>
        <v>1</v>
      </c>
      <c r="Q162" s="2">
        <f t="shared" si="74"/>
        <v>1</v>
      </c>
      <c r="R162" s="2">
        <f t="shared" si="74"/>
        <v>1</v>
      </c>
      <c r="S162" s="2">
        <f t="shared" si="74"/>
        <v>1</v>
      </c>
      <c r="T162" s="2">
        <f t="shared" si="74"/>
        <v>1</v>
      </c>
      <c r="U162" s="2">
        <f t="shared" si="74"/>
        <v>1</v>
      </c>
      <c r="V162" s="2">
        <f t="shared" si="74"/>
        <v>1</v>
      </c>
      <c r="W162" s="2">
        <f t="shared" si="74"/>
        <v>1</v>
      </c>
      <c r="X162" s="2">
        <f t="shared" si="74"/>
        <v>1</v>
      </c>
      <c r="Y162" s="2">
        <f t="shared" si="74"/>
        <v>1</v>
      </c>
      <c r="Z162" s="2">
        <f t="shared" si="74"/>
        <v>1</v>
      </c>
      <c r="AA162" s="2">
        <f t="shared" si="74"/>
        <v>1</v>
      </c>
      <c r="AB162" s="2">
        <f t="shared" si="74"/>
        <v>1</v>
      </c>
      <c r="AC162" s="2">
        <f t="shared" si="74"/>
        <v>1</v>
      </c>
      <c r="AD162" s="2">
        <f t="shared" si="74"/>
        <v>1</v>
      </c>
      <c r="AE162" s="2">
        <f t="shared" si="74"/>
        <v>1</v>
      </c>
      <c r="AF162" s="2">
        <f t="shared" si="74"/>
        <v>1</v>
      </c>
      <c r="AG162" s="2">
        <f t="shared" si="74"/>
        <v>1</v>
      </c>
      <c r="AH162" s="2">
        <f t="shared" si="74"/>
        <v>1</v>
      </c>
      <c r="AI162" s="2">
        <f t="shared" si="74"/>
        <v>1</v>
      </c>
      <c r="AJ162" s="2">
        <f t="shared" si="74"/>
        <v>1</v>
      </c>
      <c r="AK162" s="2">
        <f t="shared" si="74"/>
        <v>1</v>
      </c>
      <c r="AL162" s="2">
        <f t="shared" si="74"/>
        <v>1</v>
      </c>
      <c r="AM162" s="2">
        <f t="shared" si="74"/>
        <v>1</v>
      </c>
      <c r="AN162" s="2">
        <f t="shared" si="74"/>
        <v>1</v>
      </c>
      <c r="AO162" s="2">
        <f t="shared" si="74"/>
        <v>1</v>
      </c>
      <c r="AP162" s="2">
        <f t="shared" si="74"/>
        <v>1</v>
      </c>
      <c r="AQ162" s="2">
        <f t="shared" si="74"/>
        <v>1</v>
      </c>
      <c r="AR162" s="2">
        <f t="shared" si="74"/>
        <v>1</v>
      </c>
      <c r="AS162" s="2">
        <f t="shared" si="74"/>
        <v>1</v>
      </c>
      <c r="AT162" s="2">
        <f t="shared" si="74"/>
        <v>1</v>
      </c>
      <c r="AU162" s="2">
        <f t="shared" si="74"/>
        <v>1</v>
      </c>
      <c r="AV162" s="2">
        <f t="shared" si="74"/>
        <v>1</v>
      </c>
      <c r="AW162" s="2">
        <f t="shared" si="74"/>
        <v>1</v>
      </c>
      <c r="AX162" s="2">
        <f t="shared" si="74"/>
        <v>1</v>
      </c>
      <c r="AY162" s="2">
        <f t="shared" si="74"/>
        <v>1</v>
      </c>
      <c r="AZ162" s="2">
        <f t="shared" si="74"/>
        <v>1</v>
      </c>
      <c r="BA162" s="2">
        <f t="shared" si="74"/>
        <v>1</v>
      </c>
      <c r="BB162" s="2">
        <f t="shared" si="74"/>
        <v>1</v>
      </c>
      <c r="BC162" s="2">
        <f t="shared" si="74"/>
        <v>1</v>
      </c>
      <c r="BD162" s="2">
        <f t="shared" si="74"/>
        <v>1</v>
      </c>
      <c r="BE162" s="2">
        <f t="shared" si="74"/>
        <v>1</v>
      </c>
      <c r="BF162" s="2">
        <f t="shared" si="74"/>
        <v>1</v>
      </c>
      <c r="BG162" s="2">
        <f t="shared" si="74"/>
        <v>1</v>
      </c>
      <c r="BH162" s="2">
        <f t="shared" si="74"/>
        <v>1</v>
      </c>
      <c r="BI162" s="2">
        <f t="shared" si="74"/>
        <v>1</v>
      </c>
      <c r="BJ162" s="2">
        <f t="shared" si="74"/>
        <v>1</v>
      </c>
      <c r="BK162" s="2">
        <f t="shared" si="74"/>
        <v>1</v>
      </c>
      <c r="BL162" s="2">
        <f t="shared" si="74"/>
        <v>1</v>
      </c>
      <c r="BM162" s="2">
        <f t="shared" si="74"/>
        <v>1</v>
      </c>
      <c r="BN162" s="2">
        <f t="shared" si="74"/>
        <v>1</v>
      </c>
      <c r="BO162" s="2">
        <f t="shared" si="74"/>
        <v>1</v>
      </c>
      <c r="BP162" s="2">
        <f t="shared" si="74"/>
        <v>1</v>
      </c>
      <c r="BQ162" s="2">
        <f t="shared" si="74"/>
        <v>1</v>
      </c>
    </row>
    <row r="163" spans="1:69" outlineLevel="2">
      <c r="E163" s="2" t="str">
        <f t="shared" ref="E163:BQ163" si="75" xml:space="preserve">  E$142</f>
        <v>Customer Order Growth escalation step up frequency flag</v>
      </c>
      <c r="F163" s="2">
        <f t="shared" si="75"/>
        <v>0</v>
      </c>
      <c r="G163" s="2" t="str">
        <f t="shared" si="75"/>
        <v>flag</v>
      </c>
      <c r="H163" s="2">
        <f t="shared" si="75"/>
        <v>60</v>
      </c>
      <c r="I163" s="2">
        <f t="shared" si="75"/>
        <v>0</v>
      </c>
      <c r="J163" s="2">
        <f t="shared" si="75"/>
        <v>1</v>
      </c>
      <c r="K163" s="2">
        <f t="shared" si="75"/>
        <v>1</v>
      </c>
      <c r="L163" s="2">
        <f t="shared" si="75"/>
        <v>1</v>
      </c>
      <c r="M163" s="2">
        <f t="shared" si="75"/>
        <v>1</v>
      </c>
      <c r="N163" s="2">
        <f t="shared" si="75"/>
        <v>1</v>
      </c>
      <c r="O163" s="2">
        <f t="shared" si="75"/>
        <v>1</v>
      </c>
      <c r="P163" s="2">
        <f t="shared" si="75"/>
        <v>1</v>
      </c>
      <c r="Q163" s="2">
        <f t="shared" si="75"/>
        <v>1</v>
      </c>
      <c r="R163" s="2">
        <f t="shared" si="75"/>
        <v>1</v>
      </c>
      <c r="S163" s="2">
        <f t="shared" si="75"/>
        <v>1</v>
      </c>
      <c r="T163" s="2">
        <f t="shared" si="75"/>
        <v>1</v>
      </c>
      <c r="U163" s="2">
        <f t="shared" si="75"/>
        <v>1</v>
      </c>
      <c r="V163" s="2">
        <f t="shared" si="75"/>
        <v>1</v>
      </c>
      <c r="W163" s="2">
        <f t="shared" si="75"/>
        <v>1</v>
      </c>
      <c r="X163" s="2">
        <f t="shared" si="75"/>
        <v>1</v>
      </c>
      <c r="Y163" s="2">
        <f t="shared" si="75"/>
        <v>1</v>
      </c>
      <c r="Z163" s="2">
        <f t="shared" si="75"/>
        <v>1</v>
      </c>
      <c r="AA163" s="2">
        <f t="shared" si="75"/>
        <v>1</v>
      </c>
      <c r="AB163" s="2">
        <f t="shared" si="75"/>
        <v>1</v>
      </c>
      <c r="AC163" s="2">
        <f t="shared" si="75"/>
        <v>1</v>
      </c>
      <c r="AD163" s="2">
        <f t="shared" si="75"/>
        <v>1</v>
      </c>
      <c r="AE163" s="2">
        <f t="shared" si="75"/>
        <v>1</v>
      </c>
      <c r="AF163" s="2">
        <f t="shared" si="75"/>
        <v>1</v>
      </c>
      <c r="AG163" s="2">
        <f t="shared" si="75"/>
        <v>1</v>
      </c>
      <c r="AH163" s="2">
        <f t="shared" si="75"/>
        <v>1</v>
      </c>
      <c r="AI163" s="2">
        <f t="shared" si="75"/>
        <v>1</v>
      </c>
      <c r="AJ163" s="2">
        <f t="shared" si="75"/>
        <v>1</v>
      </c>
      <c r="AK163" s="2">
        <f t="shared" si="75"/>
        <v>1</v>
      </c>
      <c r="AL163" s="2">
        <f t="shared" si="75"/>
        <v>1</v>
      </c>
      <c r="AM163" s="2">
        <f t="shared" si="75"/>
        <v>1</v>
      </c>
      <c r="AN163" s="2">
        <f t="shared" si="75"/>
        <v>1</v>
      </c>
      <c r="AO163" s="2">
        <f t="shared" si="75"/>
        <v>1</v>
      </c>
      <c r="AP163" s="2">
        <f t="shared" si="75"/>
        <v>1</v>
      </c>
      <c r="AQ163" s="2">
        <f t="shared" si="75"/>
        <v>1</v>
      </c>
      <c r="AR163" s="2">
        <f t="shared" si="75"/>
        <v>1</v>
      </c>
      <c r="AS163" s="2">
        <f t="shared" si="75"/>
        <v>1</v>
      </c>
      <c r="AT163" s="2">
        <f t="shared" si="75"/>
        <v>1</v>
      </c>
      <c r="AU163" s="2">
        <f t="shared" si="75"/>
        <v>1</v>
      </c>
      <c r="AV163" s="2">
        <f t="shared" si="75"/>
        <v>1</v>
      </c>
      <c r="AW163" s="2">
        <f t="shared" si="75"/>
        <v>1</v>
      </c>
      <c r="AX163" s="2">
        <f t="shared" si="75"/>
        <v>1</v>
      </c>
      <c r="AY163" s="2">
        <f t="shared" si="75"/>
        <v>1</v>
      </c>
      <c r="AZ163" s="2">
        <f t="shared" si="75"/>
        <v>1</v>
      </c>
      <c r="BA163" s="2">
        <f t="shared" si="75"/>
        <v>1</v>
      </c>
      <c r="BB163" s="2">
        <f t="shared" si="75"/>
        <v>1</v>
      </c>
      <c r="BC163" s="2">
        <f t="shared" si="75"/>
        <v>1</v>
      </c>
      <c r="BD163" s="2">
        <f t="shared" si="75"/>
        <v>1</v>
      </c>
      <c r="BE163" s="2">
        <f t="shared" si="75"/>
        <v>1</v>
      </c>
      <c r="BF163" s="2">
        <f t="shared" si="75"/>
        <v>1</v>
      </c>
      <c r="BG163" s="2">
        <f t="shared" si="75"/>
        <v>1</v>
      </c>
      <c r="BH163" s="2">
        <f t="shared" si="75"/>
        <v>1</v>
      </c>
      <c r="BI163" s="2">
        <f t="shared" si="75"/>
        <v>1</v>
      </c>
      <c r="BJ163" s="2">
        <f t="shared" si="75"/>
        <v>1</v>
      </c>
      <c r="BK163" s="2">
        <f t="shared" si="75"/>
        <v>1</v>
      </c>
      <c r="BL163" s="2">
        <f t="shared" si="75"/>
        <v>1</v>
      </c>
      <c r="BM163" s="2">
        <f t="shared" si="75"/>
        <v>1</v>
      </c>
      <c r="BN163" s="2">
        <f t="shared" si="75"/>
        <v>1</v>
      </c>
      <c r="BO163" s="2">
        <f t="shared" si="75"/>
        <v>1</v>
      </c>
      <c r="BP163" s="2">
        <f t="shared" si="75"/>
        <v>1</v>
      </c>
      <c r="BQ163" s="2">
        <f t="shared" si="75"/>
        <v>1</v>
      </c>
    </row>
    <row r="164" spans="1:69" outlineLevel="2">
      <c r="A164" s="36"/>
      <c r="B164" s="36"/>
      <c r="C164" s="65"/>
      <c r="D164" s="64"/>
      <c r="E164" s="21" t="s">
        <v>167</v>
      </c>
      <c r="F164" s="21"/>
      <c r="G164" s="21" t="s">
        <v>39</v>
      </c>
      <c r="H164" s="21"/>
      <c r="I164" s="21"/>
      <c r="J164" s="25">
        <f t="shared" ref="J164:BQ164" si="76" xml:space="preserve">  IF( J162 = 0, 1, IF( J163 = 1, ( 1 + $F160 ) ^ J161, I164 ) )</f>
        <v>1</v>
      </c>
      <c r="K164" s="25">
        <f t="shared" si="76"/>
        <v>1.0606373855281319</v>
      </c>
      <c r="L164" s="25">
        <f t="shared" si="76"/>
        <v>1.1228173700183663</v>
      </c>
      <c r="M164" s="25">
        <f t="shared" si="76"/>
        <v>1.1909020797618532</v>
      </c>
      <c r="N164" s="25">
        <f t="shared" si="76"/>
        <v>1.2631152682986266</v>
      </c>
      <c r="O164" s="25">
        <f t="shared" si="76"/>
        <v>1.3371655411476067</v>
      </c>
      <c r="P164" s="25">
        <f t="shared" si="76"/>
        <v>1.4182477635811073</v>
      </c>
      <c r="Q164" s="25">
        <f t="shared" si="76"/>
        <v>1.5013926961905415</v>
      </c>
      <c r="R164" s="25">
        <f t="shared" si="76"/>
        <v>1.5924332239385688</v>
      </c>
      <c r="S164" s="25">
        <f t="shared" si="76"/>
        <v>1.6889942112663376</v>
      </c>
      <c r="T164" s="25">
        <f t="shared" si="76"/>
        <v>1.7817974362806785</v>
      </c>
      <c r="U164" s="25">
        <f t="shared" si="76"/>
        <v>1.8895370233838522</v>
      </c>
      <c r="V164" s="25">
        <f t="shared" si="76"/>
        <v>2</v>
      </c>
      <c r="W164" s="25">
        <f t="shared" si="76"/>
        <v>2.123116166406207</v>
      </c>
      <c r="X164" s="25">
        <f t="shared" si="76"/>
        <v>2.2474089271664077</v>
      </c>
      <c r="Y164" s="25">
        <f t="shared" si="76"/>
        <v>2.3834939697312532</v>
      </c>
      <c r="Z164" s="25">
        <f t="shared" si="76"/>
        <v>2.5278192299912496</v>
      </c>
      <c r="AA164" s="25">
        <f t="shared" si="76"/>
        <v>2.6758043641867868</v>
      </c>
      <c r="AB164" s="25">
        <f t="shared" si="76"/>
        <v>2.8378295952846591</v>
      </c>
      <c r="AC164" s="25">
        <f t="shared" si="76"/>
        <v>3.0039635452521662</v>
      </c>
      <c r="AD164" s="25">
        <f t="shared" si="76"/>
        <v>3.1875439973292665</v>
      </c>
      <c r="AE164" s="25">
        <f t="shared" si="76"/>
        <v>3.3806467402188143</v>
      </c>
      <c r="AF164" s="25">
        <f t="shared" si="76"/>
        <v>3.565097680673023</v>
      </c>
      <c r="AG164" s="25">
        <f t="shared" si="76"/>
        <v>3.7810727829410813</v>
      </c>
      <c r="AH164" s="25">
        <f t="shared" si="76"/>
        <v>4.002530534348697</v>
      </c>
      <c r="AI164" s="25">
        <f t="shared" si="76"/>
        <v>4.245005501072133</v>
      </c>
      <c r="AJ164" s="25">
        <f t="shared" si="76"/>
        <v>4.4936358308615398</v>
      </c>
      <c r="AK164" s="25">
        <f t="shared" si="76"/>
        <v>4.7658621609806406</v>
      </c>
      <c r="AL164" s="25">
        <f t="shared" si="76"/>
        <v>5.0545800755537291</v>
      </c>
      <c r="AM164" s="25">
        <f t="shared" si="76"/>
        <v>5.3506272563676252</v>
      </c>
      <c r="AN164" s="25">
        <f t="shared" si="76"/>
        <v>5.674770483959108</v>
      </c>
      <c r="AO164" s="25">
        <f t="shared" si="76"/>
        <v>6.0071422692370309</v>
      </c>
      <c r="AP164" s="25">
        <f t="shared" si="76"/>
        <v>6.3737497145436315</v>
      </c>
      <c r="AQ164" s="25">
        <f t="shared" si="76"/>
        <v>6.7599648394172203</v>
      </c>
      <c r="AR164" s="25">
        <f t="shared" si="76"/>
        <v>7.1288806340588637</v>
      </c>
      <c r="AS164" s="25">
        <f t="shared" si="76"/>
        <v>7.5608526517252477</v>
      </c>
      <c r="AT164" s="25">
        <f t="shared" si="76"/>
        <v>8.003796367598353</v>
      </c>
      <c r="AU164" s="25">
        <f t="shared" si="76"/>
        <v>8.4887835967832839</v>
      </c>
      <c r="AV164" s="25">
        <f t="shared" si="76"/>
        <v>8.9860890625555676</v>
      </c>
      <c r="AW164" s="25">
        <f t="shared" si="76"/>
        <v>9.5305979725149506</v>
      </c>
      <c r="AX164" s="25">
        <f t="shared" si="76"/>
        <v>10.108101208588977</v>
      </c>
      <c r="AY164" s="25">
        <f t="shared" si="76"/>
        <v>10.700272504075359</v>
      </c>
      <c r="AZ164" s="25">
        <f t="shared" si="76"/>
        <v>11.348651757486126</v>
      </c>
      <c r="BA164" s="25">
        <f t="shared" si="76"/>
        <v>12.013499256989205</v>
      </c>
      <c r="BB164" s="25">
        <f t="shared" si="76"/>
        <v>12.745893176469126</v>
      </c>
      <c r="BC164" s="25">
        <f t="shared" si="76"/>
        <v>13.518334978287017</v>
      </c>
      <c r="BD164" s="25">
        <f t="shared" si="76"/>
        <v>14.256183252216472</v>
      </c>
      <c r="BE164" s="25">
        <f t="shared" si="76"/>
        <v>15.120153452336938</v>
      </c>
      <c r="BF164" s="25">
        <f t="shared" si="76"/>
        <v>16.006074731707191</v>
      </c>
      <c r="BG164" s="25">
        <f t="shared" si="76"/>
        <v>16.976093939824924</v>
      </c>
      <c r="BH164" s="25">
        <f t="shared" si="76"/>
        <v>17.970758637460968</v>
      </c>
      <c r="BI164" s="25">
        <f t="shared" si="76"/>
        <v>19.059843960063692</v>
      </c>
      <c r="BJ164" s="25">
        <f t="shared" si="76"/>
        <v>20.214931328759011</v>
      </c>
      <c r="BK164" s="25">
        <f t="shared" si="76"/>
        <v>21.399366254079712</v>
      </c>
      <c r="BL164" s="25">
        <f t="shared" si="76"/>
        <v>22.696236139791509</v>
      </c>
      <c r="BM164" s="25">
        <f t="shared" si="76"/>
        <v>24.026055881451988</v>
      </c>
      <c r="BN164" s="25">
        <f t="shared" si="76"/>
        <v>25.452016011999472</v>
      </c>
      <c r="BO164" s="25">
        <f t="shared" si="76"/>
        <v>26.993909742126416</v>
      </c>
      <c r="BP164" s="25">
        <f t="shared" si="76"/>
        <v>28.520781445384184</v>
      </c>
      <c r="BQ164" s="25">
        <f t="shared" si="76"/>
        <v>30.248582263528654</v>
      </c>
    </row>
    <row r="165" spans="1:69" outlineLevel="1"/>
    <row r="167" spans="1:69">
      <c r="A167" s="27" t="s">
        <v>236</v>
      </c>
    </row>
    <row r="168" spans="1:69" outlineLevel="1">
      <c r="B168" s="27" t="s">
        <v>106</v>
      </c>
    </row>
    <row r="169" spans="1:69" outlineLevel="2">
      <c r="A169" s="18"/>
      <c r="B169" s="18"/>
      <c r="C169" s="30"/>
      <c r="D169" s="31"/>
      <c r="E169" s="19" t="str">
        <f xml:space="preserve">  InpC!E$100</f>
        <v>Start date</v>
      </c>
      <c r="F169" s="19">
        <f xml:space="preserve">  InpC!F$100</f>
        <v>45047</v>
      </c>
      <c r="G169" s="19" t="str">
        <f xml:space="preserve">  InpC!G$100</f>
        <v>date</v>
      </c>
      <c r="M169" s="8"/>
    </row>
    <row r="170" spans="1:69" outlineLevel="2">
      <c r="E170" s="8" t="str">
        <f t="shared" ref="E170:BQ170" si="77" xml:space="preserve">  E$19</f>
        <v>Model period end</v>
      </c>
      <c r="F170" s="8">
        <f t="shared" si="77"/>
        <v>0</v>
      </c>
      <c r="G170" s="8" t="str">
        <f t="shared" si="77"/>
        <v>date</v>
      </c>
      <c r="H170" s="8">
        <f t="shared" si="77"/>
        <v>0</v>
      </c>
      <c r="I170" s="8">
        <f t="shared" si="77"/>
        <v>0</v>
      </c>
      <c r="J170" s="8">
        <f t="shared" si="77"/>
        <v>45077</v>
      </c>
      <c r="K170" s="8">
        <f t="shared" si="77"/>
        <v>45107</v>
      </c>
      <c r="L170" s="8">
        <f t="shared" si="77"/>
        <v>45138</v>
      </c>
      <c r="M170" s="8">
        <f t="shared" si="77"/>
        <v>45169</v>
      </c>
      <c r="N170" s="8">
        <f t="shared" si="77"/>
        <v>45199</v>
      </c>
      <c r="O170" s="8">
        <f t="shared" si="77"/>
        <v>45230</v>
      </c>
      <c r="P170" s="8">
        <f t="shared" si="77"/>
        <v>45260</v>
      </c>
      <c r="Q170" s="8">
        <f t="shared" si="77"/>
        <v>45291</v>
      </c>
      <c r="R170" s="8">
        <f t="shared" si="77"/>
        <v>45322</v>
      </c>
      <c r="S170" s="8">
        <f t="shared" si="77"/>
        <v>45351</v>
      </c>
      <c r="T170" s="8">
        <f t="shared" si="77"/>
        <v>45382</v>
      </c>
      <c r="U170" s="8">
        <f t="shared" si="77"/>
        <v>45412</v>
      </c>
      <c r="V170" s="8">
        <f t="shared" si="77"/>
        <v>45443</v>
      </c>
      <c r="W170" s="8">
        <f t="shared" si="77"/>
        <v>45473</v>
      </c>
      <c r="X170" s="8">
        <f t="shared" si="77"/>
        <v>45504</v>
      </c>
      <c r="Y170" s="8">
        <f t="shared" si="77"/>
        <v>45535</v>
      </c>
      <c r="Z170" s="8">
        <f t="shared" si="77"/>
        <v>45565</v>
      </c>
      <c r="AA170" s="8">
        <f t="shared" si="77"/>
        <v>45596</v>
      </c>
      <c r="AB170" s="8">
        <f t="shared" si="77"/>
        <v>45626</v>
      </c>
      <c r="AC170" s="8">
        <f t="shared" si="77"/>
        <v>45657</v>
      </c>
      <c r="AD170" s="8">
        <f t="shared" si="77"/>
        <v>45688</v>
      </c>
      <c r="AE170" s="8">
        <f t="shared" si="77"/>
        <v>45716</v>
      </c>
      <c r="AF170" s="8">
        <f t="shared" si="77"/>
        <v>45747</v>
      </c>
      <c r="AG170" s="8">
        <f t="shared" si="77"/>
        <v>45777</v>
      </c>
      <c r="AH170" s="8">
        <f t="shared" si="77"/>
        <v>45808</v>
      </c>
      <c r="AI170" s="8">
        <f t="shared" si="77"/>
        <v>45838</v>
      </c>
      <c r="AJ170" s="8">
        <f t="shared" si="77"/>
        <v>45869</v>
      </c>
      <c r="AK170" s="8">
        <f t="shared" si="77"/>
        <v>45900</v>
      </c>
      <c r="AL170" s="8">
        <f t="shared" si="77"/>
        <v>45930</v>
      </c>
      <c r="AM170" s="8">
        <f t="shared" si="77"/>
        <v>45961</v>
      </c>
      <c r="AN170" s="8">
        <f t="shared" si="77"/>
        <v>45991</v>
      </c>
      <c r="AO170" s="8">
        <f t="shared" si="77"/>
        <v>46022</v>
      </c>
      <c r="AP170" s="8">
        <f t="shared" si="77"/>
        <v>46053</v>
      </c>
      <c r="AQ170" s="8">
        <f t="shared" si="77"/>
        <v>46081</v>
      </c>
      <c r="AR170" s="8">
        <f t="shared" si="77"/>
        <v>46112</v>
      </c>
      <c r="AS170" s="8">
        <f t="shared" si="77"/>
        <v>46142</v>
      </c>
      <c r="AT170" s="8">
        <f t="shared" si="77"/>
        <v>46173</v>
      </c>
      <c r="AU170" s="8">
        <f t="shared" si="77"/>
        <v>46203</v>
      </c>
      <c r="AV170" s="8">
        <f t="shared" si="77"/>
        <v>46234</v>
      </c>
      <c r="AW170" s="8">
        <f t="shared" si="77"/>
        <v>46265</v>
      </c>
      <c r="AX170" s="8">
        <f t="shared" si="77"/>
        <v>46295</v>
      </c>
      <c r="AY170" s="8">
        <f t="shared" si="77"/>
        <v>46326</v>
      </c>
      <c r="AZ170" s="8">
        <f t="shared" si="77"/>
        <v>46356</v>
      </c>
      <c r="BA170" s="8">
        <f t="shared" si="77"/>
        <v>46387</v>
      </c>
      <c r="BB170" s="8">
        <f t="shared" si="77"/>
        <v>46418</v>
      </c>
      <c r="BC170" s="8">
        <f t="shared" si="77"/>
        <v>46446</v>
      </c>
      <c r="BD170" s="8">
        <f t="shared" si="77"/>
        <v>46477</v>
      </c>
      <c r="BE170" s="8">
        <f t="shared" si="77"/>
        <v>46507</v>
      </c>
      <c r="BF170" s="8">
        <f t="shared" si="77"/>
        <v>46538</v>
      </c>
      <c r="BG170" s="8">
        <f t="shared" si="77"/>
        <v>46568</v>
      </c>
      <c r="BH170" s="8">
        <f t="shared" si="77"/>
        <v>46599</v>
      </c>
      <c r="BI170" s="8">
        <f t="shared" si="77"/>
        <v>46630</v>
      </c>
      <c r="BJ170" s="8">
        <f t="shared" si="77"/>
        <v>46660</v>
      </c>
      <c r="BK170" s="8">
        <f t="shared" si="77"/>
        <v>46691</v>
      </c>
      <c r="BL170" s="8">
        <f t="shared" si="77"/>
        <v>46721</v>
      </c>
      <c r="BM170" s="8">
        <f t="shared" si="77"/>
        <v>46752</v>
      </c>
      <c r="BN170" s="8">
        <f t="shared" si="77"/>
        <v>46783</v>
      </c>
      <c r="BO170" s="8">
        <f t="shared" si="77"/>
        <v>46812</v>
      </c>
      <c r="BP170" s="8">
        <f t="shared" si="77"/>
        <v>46843</v>
      </c>
      <c r="BQ170" s="8">
        <f t="shared" si="77"/>
        <v>46873</v>
      </c>
    </row>
    <row r="171" spans="1:69" outlineLevel="2">
      <c r="E171" s="46" t="s">
        <v>106</v>
      </c>
      <c r="G171" s="46" t="s">
        <v>21</v>
      </c>
      <c r="H171" s="2">
        <f xml:space="preserve"> SUM( J171:BQ171 )</f>
        <v>60</v>
      </c>
      <c r="J171" s="2">
        <f t="shared" ref="J171:BQ171" si="78" xml:space="preserve">  IF( $F169 &lt; J170, 1, 0 )</f>
        <v>1</v>
      </c>
      <c r="K171" s="2">
        <f t="shared" si="78"/>
        <v>1</v>
      </c>
      <c r="L171" s="2">
        <f t="shared" si="78"/>
        <v>1</v>
      </c>
      <c r="M171" s="2">
        <f t="shared" si="78"/>
        <v>1</v>
      </c>
      <c r="N171" s="2">
        <f t="shared" si="78"/>
        <v>1</v>
      </c>
      <c r="O171" s="2">
        <f t="shared" si="78"/>
        <v>1</v>
      </c>
      <c r="P171" s="2">
        <f t="shared" si="78"/>
        <v>1</v>
      </c>
      <c r="Q171" s="2">
        <f t="shared" si="78"/>
        <v>1</v>
      </c>
      <c r="R171" s="2">
        <f t="shared" si="78"/>
        <v>1</v>
      </c>
      <c r="S171" s="2">
        <f t="shared" si="78"/>
        <v>1</v>
      </c>
      <c r="T171" s="2">
        <f t="shared" si="78"/>
        <v>1</v>
      </c>
      <c r="U171" s="2">
        <f t="shared" si="78"/>
        <v>1</v>
      </c>
      <c r="V171" s="2">
        <f t="shared" si="78"/>
        <v>1</v>
      </c>
      <c r="W171" s="2">
        <f t="shared" si="78"/>
        <v>1</v>
      </c>
      <c r="X171" s="2">
        <f t="shared" si="78"/>
        <v>1</v>
      </c>
      <c r="Y171" s="2">
        <f t="shared" si="78"/>
        <v>1</v>
      </c>
      <c r="Z171" s="2">
        <f t="shared" si="78"/>
        <v>1</v>
      </c>
      <c r="AA171" s="2">
        <f t="shared" si="78"/>
        <v>1</v>
      </c>
      <c r="AB171" s="2">
        <f t="shared" si="78"/>
        <v>1</v>
      </c>
      <c r="AC171" s="2">
        <f t="shared" si="78"/>
        <v>1</v>
      </c>
      <c r="AD171" s="2">
        <f t="shared" si="78"/>
        <v>1</v>
      </c>
      <c r="AE171" s="2">
        <f t="shared" si="78"/>
        <v>1</v>
      </c>
      <c r="AF171" s="2">
        <f t="shared" si="78"/>
        <v>1</v>
      </c>
      <c r="AG171" s="2">
        <f t="shared" si="78"/>
        <v>1</v>
      </c>
      <c r="AH171" s="2">
        <f t="shared" si="78"/>
        <v>1</v>
      </c>
      <c r="AI171" s="2">
        <f t="shared" si="78"/>
        <v>1</v>
      </c>
      <c r="AJ171" s="2">
        <f t="shared" si="78"/>
        <v>1</v>
      </c>
      <c r="AK171" s="2">
        <f t="shared" si="78"/>
        <v>1</v>
      </c>
      <c r="AL171" s="2">
        <f t="shared" si="78"/>
        <v>1</v>
      </c>
      <c r="AM171" s="2">
        <f t="shared" si="78"/>
        <v>1</v>
      </c>
      <c r="AN171" s="2">
        <f t="shared" si="78"/>
        <v>1</v>
      </c>
      <c r="AO171" s="2">
        <f t="shared" si="78"/>
        <v>1</v>
      </c>
      <c r="AP171" s="2">
        <f t="shared" si="78"/>
        <v>1</v>
      </c>
      <c r="AQ171" s="2">
        <f t="shared" si="78"/>
        <v>1</v>
      </c>
      <c r="AR171" s="2">
        <f t="shared" si="78"/>
        <v>1</v>
      </c>
      <c r="AS171" s="2">
        <f t="shared" si="78"/>
        <v>1</v>
      </c>
      <c r="AT171" s="2">
        <f t="shared" si="78"/>
        <v>1</v>
      </c>
      <c r="AU171" s="2">
        <f t="shared" si="78"/>
        <v>1</v>
      </c>
      <c r="AV171" s="2">
        <f t="shared" si="78"/>
        <v>1</v>
      </c>
      <c r="AW171" s="2">
        <f t="shared" si="78"/>
        <v>1</v>
      </c>
      <c r="AX171" s="2">
        <f t="shared" si="78"/>
        <v>1</v>
      </c>
      <c r="AY171" s="2">
        <f t="shared" si="78"/>
        <v>1</v>
      </c>
      <c r="AZ171" s="2">
        <f t="shared" si="78"/>
        <v>1</v>
      </c>
      <c r="BA171" s="2">
        <f t="shared" si="78"/>
        <v>1</v>
      </c>
      <c r="BB171" s="2">
        <f t="shared" si="78"/>
        <v>1</v>
      </c>
      <c r="BC171" s="2">
        <f t="shared" si="78"/>
        <v>1</v>
      </c>
      <c r="BD171" s="2">
        <f t="shared" si="78"/>
        <v>1</v>
      </c>
      <c r="BE171" s="2">
        <f t="shared" si="78"/>
        <v>1</v>
      </c>
      <c r="BF171" s="2">
        <f t="shared" si="78"/>
        <v>1</v>
      </c>
      <c r="BG171" s="2">
        <f t="shared" si="78"/>
        <v>1</v>
      </c>
      <c r="BH171" s="2">
        <f t="shared" si="78"/>
        <v>1</v>
      </c>
      <c r="BI171" s="2">
        <f t="shared" si="78"/>
        <v>1</v>
      </c>
      <c r="BJ171" s="2">
        <f t="shared" si="78"/>
        <v>1</v>
      </c>
      <c r="BK171" s="2">
        <f t="shared" si="78"/>
        <v>1</v>
      </c>
      <c r="BL171" s="2">
        <f t="shared" si="78"/>
        <v>1</v>
      </c>
      <c r="BM171" s="2">
        <f t="shared" si="78"/>
        <v>1</v>
      </c>
      <c r="BN171" s="2">
        <f t="shared" si="78"/>
        <v>1</v>
      </c>
      <c r="BO171" s="2">
        <f t="shared" si="78"/>
        <v>1</v>
      </c>
      <c r="BP171" s="2">
        <f t="shared" si="78"/>
        <v>1</v>
      </c>
      <c r="BQ171" s="2">
        <f t="shared" si="78"/>
        <v>1</v>
      </c>
    </row>
    <row r="172" spans="1:69" outlineLevel="1"/>
    <row r="173" spans="1:69" outlineLevel="1"/>
    <row r="174" spans="1:69" outlineLevel="1">
      <c r="B174" s="27" t="s">
        <v>292</v>
      </c>
    </row>
    <row r="175" spans="1:69" outlineLevel="2">
      <c r="A175" s="18"/>
      <c r="B175" s="18"/>
      <c r="C175" s="30"/>
      <c r="D175" s="31"/>
      <c r="E175" s="19" t="str">
        <f xml:space="preserve">  InpC!E$100</f>
        <v>Start date</v>
      </c>
      <c r="F175" s="19">
        <f xml:space="preserve">  InpC!F$100</f>
        <v>45047</v>
      </c>
      <c r="G175" s="19" t="str">
        <f xml:space="preserve">  InpC!G$100</f>
        <v>date</v>
      </c>
      <c r="M175" s="8"/>
    </row>
    <row r="176" spans="1:69" outlineLevel="2">
      <c r="E176" s="8" t="str">
        <f t="shared" ref="E176:BQ176" si="79" xml:space="preserve">  E$19</f>
        <v>Model period end</v>
      </c>
      <c r="F176" s="8">
        <f t="shared" si="79"/>
        <v>0</v>
      </c>
      <c r="G176" s="8" t="str">
        <f t="shared" si="79"/>
        <v>date</v>
      </c>
      <c r="H176" s="8">
        <f t="shared" si="79"/>
        <v>0</v>
      </c>
      <c r="I176" s="8">
        <f t="shared" si="79"/>
        <v>0</v>
      </c>
      <c r="J176" s="8">
        <f t="shared" si="79"/>
        <v>45077</v>
      </c>
      <c r="K176" s="8">
        <f t="shared" si="79"/>
        <v>45107</v>
      </c>
      <c r="L176" s="8">
        <f t="shared" si="79"/>
        <v>45138</v>
      </c>
      <c r="M176" s="8">
        <f t="shared" si="79"/>
        <v>45169</v>
      </c>
      <c r="N176" s="8">
        <f t="shared" si="79"/>
        <v>45199</v>
      </c>
      <c r="O176" s="8">
        <f t="shared" si="79"/>
        <v>45230</v>
      </c>
      <c r="P176" s="8">
        <f t="shared" si="79"/>
        <v>45260</v>
      </c>
      <c r="Q176" s="8">
        <f t="shared" si="79"/>
        <v>45291</v>
      </c>
      <c r="R176" s="8">
        <f t="shared" si="79"/>
        <v>45322</v>
      </c>
      <c r="S176" s="8">
        <f t="shared" si="79"/>
        <v>45351</v>
      </c>
      <c r="T176" s="8">
        <f t="shared" si="79"/>
        <v>45382</v>
      </c>
      <c r="U176" s="8">
        <f t="shared" si="79"/>
        <v>45412</v>
      </c>
      <c r="V176" s="8">
        <f t="shared" si="79"/>
        <v>45443</v>
      </c>
      <c r="W176" s="8">
        <f t="shared" si="79"/>
        <v>45473</v>
      </c>
      <c r="X176" s="8">
        <f t="shared" si="79"/>
        <v>45504</v>
      </c>
      <c r="Y176" s="8">
        <f t="shared" si="79"/>
        <v>45535</v>
      </c>
      <c r="Z176" s="8">
        <f t="shared" si="79"/>
        <v>45565</v>
      </c>
      <c r="AA176" s="8">
        <f t="shared" si="79"/>
        <v>45596</v>
      </c>
      <c r="AB176" s="8">
        <f t="shared" si="79"/>
        <v>45626</v>
      </c>
      <c r="AC176" s="8">
        <f t="shared" si="79"/>
        <v>45657</v>
      </c>
      <c r="AD176" s="8">
        <f t="shared" si="79"/>
        <v>45688</v>
      </c>
      <c r="AE176" s="8">
        <f t="shared" si="79"/>
        <v>45716</v>
      </c>
      <c r="AF176" s="8">
        <f t="shared" si="79"/>
        <v>45747</v>
      </c>
      <c r="AG176" s="8">
        <f t="shared" si="79"/>
        <v>45777</v>
      </c>
      <c r="AH176" s="8">
        <f t="shared" si="79"/>
        <v>45808</v>
      </c>
      <c r="AI176" s="8">
        <f t="shared" si="79"/>
        <v>45838</v>
      </c>
      <c r="AJ176" s="8">
        <f t="shared" si="79"/>
        <v>45869</v>
      </c>
      <c r="AK176" s="8">
        <f t="shared" si="79"/>
        <v>45900</v>
      </c>
      <c r="AL176" s="8">
        <f t="shared" si="79"/>
        <v>45930</v>
      </c>
      <c r="AM176" s="8">
        <f t="shared" si="79"/>
        <v>45961</v>
      </c>
      <c r="AN176" s="8">
        <f t="shared" si="79"/>
        <v>45991</v>
      </c>
      <c r="AO176" s="8">
        <f t="shared" si="79"/>
        <v>46022</v>
      </c>
      <c r="AP176" s="8">
        <f t="shared" si="79"/>
        <v>46053</v>
      </c>
      <c r="AQ176" s="8">
        <f t="shared" si="79"/>
        <v>46081</v>
      </c>
      <c r="AR176" s="8">
        <f t="shared" si="79"/>
        <v>46112</v>
      </c>
      <c r="AS176" s="8">
        <f t="shared" si="79"/>
        <v>46142</v>
      </c>
      <c r="AT176" s="8">
        <f t="shared" si="79"/>
        <v>46173</v>
      </c>
      <c r="AU176" s="8">
        <f t="shared" si="79"/>
        <v>46203</v>
      </c>
      <c r="AV176" s="8">
        <f t="shared" si="79"/>
        <v>46234</v>
      </c>
      <c r="AW176" s="8">
        <f t="shared" si="79"/>
        <v>46265</v>
      </c>
      <c r="AX176" s="8">
        <f t="shared" si="79"/>
        <v>46295</v>
      </c>
      <c r="AY176" s="8">
        <f t="shared" si="79"/>
        <v>46326</v>
      </c>
      <c r="AZ176" s="8">
        <f t="shared" si="79"/>
        <v>46356</v>
      </c>
      <c r="BA176" s="8">
        <f t="shared" si="79"/>
        <v>46387</v>
      </c>
      <c r="BB176" s="8">
        <f t="shared" si="79"/>
        <v>46418</v>
      </c>
      <c r="BC176" s="8">
        <f t="shared" si="79"/>
        <v>46446</v>
      </c>
      <c r="BD176" s="8">
        <f t="shared" si="79"/>
        <v>46477</v>
      </c>
      <c r="BE176" s="8">
        <f t="shared" si="79"/>
        <v>46507</v>
      </c>
      <c r="BF176" s="8">
        <f t="shared" si="79"/>
        <v>46538</v>
      </c>
      <c r="BG176" s="8">
        <f t="shared" si="79"/>
        <v>46568</v>
      </c>
      <c r="BH176" s="8">
        <f t="shared" si="79"/>
        <v>46599</v>
      </c>
      <c r="BI176" s="8">
        <f t="shared" si="79"/>
        <v>46630</v>
      </c>
      <c r="BJ176" s="8">
        <f t="shared" si="79"/>
        <v>46660</v>
      </c>
      <c r="BK176" s="8">
        <f t="shared" si="79"/>
        <v>46691</v>
      </c>
      <c r="BL176" s="8">
        <f t="shared" si="79"/>
        <v>46721</v>
      </c>
      <c r="BM176" s="8">
        <f t="shared" si="79"/>
        <v>46752</v>
      </c>
      <c r="BN176" s="8">
        <f t="shared" si="79"/>
        <v>46783</v>
      </c>
      <c r="BO176" s="8">
        <f t="shared" si="79"/>
        <v>46812</v>
      </c>
      <c r="BP176" s="8">
        <f t="shared" si="79"/>
        <v>46843</v>
      </c>
      <c r="BQ176" s="8">
        <f t="shared" si="79"/>
        <v>46873</v>
      </c>
    </row>
    <row r="177" spans="2:69" outlineLevel="2">
      <c r="E177" s="8" t="str">
        <f t="shared" ref="E177:BQ177" si="80" xml:space="preserve">  E$12</f>
        <v>Model period start</v>
      </c>
      <c r="F177" s="8">
        <f t="shared" si="80"/>
        <v>0</v>
      </c>
      <c r="G177" s="8" t="str">
        <f t="shared" si="80"/>
        <v>date</v>
      </c>
      <c r="H177" s="8">
        <f t="shared" si="80"/>
        <v>0</v>
      </c>
      <c r="I177" s="8">
        <f t="shared" si="80"/>
        <v>0</v>
      </c>
      <c r="J177" s="8">
        <f t="shared" si="80"/>
        <v>45047</v>
      </c>
      <c r="K177" s="8">
        <f t="shared" si="80"/>
        <v>45078</v>
      </c>
      <c r="L177" s="8">
        <f t="shared" si="80"/>
        <v>45108</v>
      </c>
      <c r="M177" s="8">
        <f t="shared" si="80"/>
        <v>45139</v>
      </c>
      <c r="N177" s="8">
        <f t="shared" si="80"/>
        <v>45170</v>
      </c>
      <c r="O177" s="8">
        <f t="shared" si="80"/>
        <v>45200</v>
      </c>
      <c r="P177" s="8">
        <f t="shared" si="80"/>
        <v>45231</v>
      </c>
      <c r="Q177" s="8">
        <f t="shared" si="80"/>
        <v>45261</v>
      </c>
      <c r="R177" s="8">
        <f t="shared" si="80"/>
        <v>45292</v>
      </c>
      <c r="S177" s="8">
        <f t="shared" si="80"/>
        <v>45323</v>
      </c>
      <c r="T177" s="8">
        <f t="shared" si="80"/>
        <v>45352</v>
      </c>
      <c r="U177" s="8">
        <f t="shared" si="80"/>
        <v>45383</v>
      </c>
      <c r="V177" s="8">
        <f t="shared" si="80"/>
        <v>45413</v>
      </c>
      <c r="W177" s="8">
        <f t="shared" si="80"/>
        <v>45444</v>
      </c>
      <c r="X177" s="8">
        <f t="shared" si="80"/>
        <v>45474</v>
      </c>
      <c r="Y177" s="8">
        <f t="shared" si="80"/>
        <v>45505</v>
      </c>
      <c r="Z177" s="8">
        <f t="shared" si="80"/>
        <v>45536</v>
      </c>
      <c r="AA177" s="8">
        <f t="shared" si="80"/>
        <v>45566</v>
      </c>
      <c r="AB177" s="8">
        <f t="shared" si="80"/>
        <v>45597</v>
      </c>
      <c r="AC177" s="8">
        <f t="shared" si="80"/>
        <v>45627</v>
      </c>
      <c r="AD177" s="8">
        <f t="shared" si="80"/>
        <v>45658</v>
      </c>
      <c r="AE177" s="8">
        <f t="shared" si="80"/>
        <v>45689</v>
      </c>
      <c r="AF177" s="8">
        <f t="shared" si="80"/>
        <v>45717</v>
      </c>
      <c r="AG177" s="8">
        <f t="shared" si="80"/>
        <v>45748</v>
      </c>
      <c r="AH177" s="8">
        <f t="shared" si="80"/>
        <v>45778</v>
      </c>
      <c r="AI177" s="8">
        <f t="shared" si="80"/>
        <v>45809</v>
      </c>
      <c r="AJ177" s="8">
        <f t="shared" si="80"/>
        <v>45839</v>
      </c>
      <c r="AK177" s="8">
        <f t="shared" si="80"/>
        <v>45870</v>
      </c>
      <c r="AL177" s="8">
        <f t="shared" si="80"/>
        <v>45901</v>
      </c>
      <c r="AM177" s="8">
        <f t="shared" si="80"/>
        <v>45931</v>
      </c>
      <c r="AN177" s="8">
        <f t="shared" si="80"/>
        <v>45962</v>
      </c>
      <c r="AO177" s="8">
        <f t="shared" si="80"/>
        <v>45992</v>
      </c>
      <c r="AP177" s="8">
        <f t="shared" si="80"/>
        <v>46023</v>
      </c>
      <c r="AQ177" s="8">
        <f t="shared" si="80"/>
        <v>46054</v>
      </c>
      <c r="AR177" s="8">
        <f t="shared" si="80"/>
        <v>46082</v>
      </c>
      <c r="AS177" s="8">
        <f t="shared" si="80"/>
        <v>46113</v>
      </c>
      <c r="AT177" s="8">
        <f t="shared" si="80"/>
        <v>46143</v>
      </c>
      <c r="AU177" s="8">
        <f t="shared" si="80"/>
        <v>46174</v>
      </c>
      <c r="AV177" s="8">
        <f t="shared" si="80"/>
        <v>46204</v>
      </c>
      <c r="AW177" s="8">
        <f t="shared" si="80"/>
        <v>46235</v>
      </c>
      <c r="AX177" s="8">
        <f t="shared" si="80"/>
        <v>46266</v>
      </c>
      <c r="AY177" s="8">
        <f t="shared" si="80"/>
        <v>46296</v>
      </c>
      <c r="AZ177" s="8">
        <f t="shared" si="80"/>
        <v>46327</v>
      </c>
      <c r="BA177" s="8">
        <f t="shared" si="80"/>
        <v>46357</v>
      </c>
      <c r="BB177" s="8">
        <f t="shared" si="80"/>
        <v>46388</v>
      </c>
      <c r="BC177" s="8">
        <f t="shared" si="80"/>
        <v>46419</v>
      </c>
      <c r="BD177" s="8">
        <f t="shared" si="80"/>
        <v>46447</v>
      </c>
      <c r="BE177" s="8">
        <f t="shared" si="80"/>
        <v>46478</v>
      </c>
      <c r="BF177" s="8">
        <f t="shared" si="80"/>
        <v>46508</v>
      </c>
      <c r="BG177" s="8">
        <f t="shared" si="80"/>
        <v>46539</v>
      </c>
      <c r="BH177" s="8">
        <f t="shared" si="80"/>
        <v>46569</v>
      </c>
      <c r="BI177" s="8">
        <f t="shared" si="80"/>
        <v>46600</v>
      </c>
      <c r="BJ177" s="8">
        <f t="shared" si="80"/>
        <v>46631</v>
      </c>
      <c r="BK177" s="8">
        <f t="shared" si="80"/>
        <v>46661</v>
      </c>
      <c r="BL177" s="8">
        <f t="shared" si="80"/>
        <v>46692</v>
      </c>
      <c r="BM177" s="8">
        <f t="shared" si="80"/>
        <v>46722</v>
      </c>
      <c r="BN177" s="8">
        <f t="shared" si="80"/>
        <v>46753</v>
      </c>
      <c r="BO177" s="8">
        <f t="shared" si="80"/>
        <v>46784</v>
      </c>
      <c r="BP177" s="8">
        <f t="shared" si="80"/>
        <v>46813</v>
      </c>
      <c r="BQ177" s="8">
        <f t="shared" si="80"/>
        <v>46844</v>
      </c>
    </row>
    <row r="178" spans="2:69" outlineLevel="2">
      <c r="E178" s="46" t="s">
        <v>292</v>
      </c>
      <c r="G178" s="46" t="s">
        <v>21</v>
      </c>
      <c r="H178" s="2">
        <f xml:space="preserve"> SUM( J178:BQ178 )</f>
        <v>1</v>
      </c>
      <c r="J178" s="2">
        <f t="shared" ref="J178:BQ178" si="81" xml:space="preserve">  IF( AND( J176 &gt;= $F175, J177 &lt;= $F175 ), 1, 0 )</f>
        <v>1</v>
      </c>
      <c r="K178" s="2">
        <f t="shared" si="81"/>
        <v>0</v>
      </c>
      <c r="L178" s="2">
        <f t="shared" si="81"/>
        <v>0</v>
      </c>
      <c r="M178" s="2">
        <f t="shared" si="81"/>
        <v>0</v>
      </c>
      <c r="N178" s="2">
        <f t="shared" si="81"/>
        <v>0</v>
      </c>
      <c r="O178" s="2">
        <f t="shared" si="81"/>
        <v>0</v>
      </c>
      <c r="P178" s="2">
        <f t="shared" si="81"/>
        <v>0</v>
      </c>
      <c r="Q178" s="2">
        <f t="shared" si="81"/>
        <v>0</v>
      </c>
      <c r="R178" s="2">
        <f t="shared" si="81"/>
        <v>0</v>
      </c>
      <c r="S178" s="2">
        <f t="shared" si="81"/>
        <v>0</v>
      </c>
      <c r="T178" s="2">
        <f t="shared" si="81"/>
        <v>0</v>
      </c>
      <c r="U178" s="2">
        <f t="shared" si="81"/>
        <v>0</v>
      </c>
      <c r="V178" s="2">
        <f t="shared" si="81"/>
        <v>0</v>
      </c>
      <c r="W178" s="2">
        <f t="shared" si="81"/>
        <v>0</v>
      </c>
      <c r="X178" s="2">
        <f t="shared" si="81"/>
        <v>0</v>
      </c>
      <c r="Y178" s="2">
        <f t="shared" si="81"/>
        <v>0</v>
      </c>
      <c r="Z178" s="2">
        <f t="shared" si="81"/>
        <v>0</v>
      </c>
      <c r="AA178" s="2">
        <f t="shared" si="81"/>
        <v>0</v>
      </c>
      <c r="AB178" s="2">
        <f t="shared" si="81"/>
        <v>0</v>
      </c>
      <c r="AC178" s="2">
        <f t="shared" si="81"/>
        <v>0</v>
      </c>
      <c r="AD178" s="2">
        <f t="shared" si="81"/>
        <v>0</v>
      </c>
      <c r="AE178" s="2">
        <f t="shared" si="81"/>
        <v>0</v>
      </c>
      <c r="AF178" s="2">
        <f t="shared" si="81"/>
        <v>0</v>
      </c>
      <c r="AG178" s="2">
        <f t="shared" si="81"/>
        <v>0</v>
      </c>
      <c r="AH178" s="2">
        <f t="shared" si="81"/>
        <v>0</v>
      </c>
      <c r="AI178" s="2">
        <f t="shared" si="81"/>
        <v>0</v>
      </c>
      <c r="AJ178" s="2">
        <f t="shared" si="81"/>
        <v>0</v>
      </c>
      <c r="AK178" s="2">
        <f t="shared" si="81"/>
        <v>0</v>
      </c>
      <c r="AL178" s="2">
        <f t="shared" si="81"/>
        <v>0</v>
      </c>
      <c r="AM178" s="2">
        <f t="shared" si="81"/>
        <v>0</v>
      </c>
      <c r="AN178" s="2">
        <f t="shared" si="81"/>
        <v>0</v>
      </c>
      <c r="AO178" s="2">
        <f t="shared" si="81"/>
        <v>0</v>
      </c>
      <c r="AP178" s="2">
        <f t="shared" si="81"/>
        <v>0</v>
      </c>
      <c r="AQ178" s="2">
        <f t="shared" si="81"/>
        <v>0</v>
      </c>
      <c r="AR178" s="2">
        <f t="shared" si="81"/>
        <v>0</v>
      </c>
      <c r="AS178" s="2">
        <f t="shared" si="81"/>
        <v>0</v>
      </c>
      <c r="AT178" s="2">
        <f t="shared" si="81"/>
        <v>0</v>
      </c>
      <c r="AU178" s="2">
        <f t="shared" si="81"/>
        <v>0</v>
      </c>
      <c r="AV178" s="2">
        <f t="shared" si="81"/>
        <v>0</v>
      </c>
      <c r="AW178" s="2">
        <f t="shared" si="81"/>
        <v>0</v>
      </c>
      <c r="AX178" s="2">
        <f t="shared" si="81"/>
        <v>0</v>
      </c>
      <c r="AY178" s="2">
        <f t="shared" si="81"/>
        <v>0</v>
      </c>
      <c r="AZ178" s="2">
        <f t="shared" si="81"/>
        <v>0</v>
      </c>
      <c r="BA178" s="2">
        <f t="shared" si="81"/>
        <v>0</v>
      </c>
      <c r="BB178" s="2">
        <f t="shared" si="81"/>
        <v>0</v>
      </c>
      <c r="BC178" s="2">
        <f t="shared" si="81"/>
        <v>0</v>
      </c>
      <c r="BD178" s="2">
        <f t="shared" si="81"/>
        <v>0</v>
      </c>
      <c r="BE178" s="2">
        <f t="shared" si="81"/>
        <v>0</v>
      </c>
      <c r="BF178" s="2">
        <f t="shared" si="81"/>
        <v>0</v>
      </c>
      <c r="BG178" s="2">
        <f t="shared" si="81"/>
        <v>0</v>
      </c>
      <c r="BH178" s="2">
        <f t="shared" si="81"/>
        <v>0</v>
      </c>
      <c r="BI178" s="2">
        <f t="shared" si="81"/>
        <v>0</v>
      </c>
      <c r="BJ178" s="2">
        <f t="shared" si="81"/>
        <v>0</v>
      </c>
      <c r="BK178" s="2">
        <f t="shared" si="81"/>
        <v>0</v>
      </c>
      <c r="BL178" s="2">
        <f t="shared" si="81"/>
        <v>0</v>
      </c>
      <c r="BM178" s="2">
        <f t="shared" si="81"/>
        <v>0</v>
      </c>
      <c r="BN178" s="2">
        <f t="shared" si="81"/>
        <v>0</v>
      </c>
      <c r="BO178" s="2">
        <f t="shared" si="81"/>
        <v>0</v>
      </c>
      <c r="BP178" s="2">
        <f t="shared" si="81"/>
        <v>0</v>
      </c>
      <c r="BQ178" s="2">
        <f t="shared" si="81"/>
        <v>0</v>
      </c>
    </row>
    <row r="179" spans="2:69" outlineLevel="1"/>
    <row r="180" spans="2:69" outlineLevel="1"/>
    <row r="181" spans="2:69" outlineLevel="1">
      <c r="B181" s="27" t="s">
        <v>276</v>
      </c>
    </row>
    <row r="182" spans="2:69" outlineLevel="2">
      <c r="E182" s="5" t="str">
        <f t="shared" ref="E182:BQ182" si="82" xml:space="preserve">  E$28</f>
        <v>Period number</v>
      </c>
      <c r="F182" s="5">
        <f t="shared" si="82"/>
        <v>0</v>
      </c>
      <c r="G182" s="5" t="str">
        <f t="shared" si="82"/>
        <v>Counter</v>
      </c>
      <c r="H182" s="5">
        <f t="shared" si="82"/>
        <v>0</v>
      </c>
      <c r="I182" s="5">
        <f t="shared" si="82"/>
        <v>0</v>
      </c>
      <c r="J182" s="5">
        <f t="shared" si="82"/>
        <v>1</v>
      </c>
      <c r="K182" s="5">
        <f t="shared" si="82"/>
        <v>2</v>
      </c>
      <c r="L182" s="5">
        <f t="shared" si="82"/>
        <v>3</v>
      </c>
      <c r="M182" s="5">
        <f t="shared" si="82"/>
        <v>4</v>
      </c>
      <c r="N182" s="5">
        <f t="shared" si="82"/>
        <v>5</v>
      </c>
      <c r="O182" s="5">
        <f t="shared" si="82"/>
        <v>6</v>
      </c>
      <c r="P182" s="5">
        <f t="shared" si="82"/>
        <v>7</v>
      </c>
      <c r="Q182" s="5">
        <f t="shared" si="82"/>
        <v>8</v>
      </c>
      <c r="R182" s="5">
        <f t="shared" si="82"/>
        <v>9</v>
      </c>
      <c r="S182" s="5">
        <f t="shared" si="82"/>
        <v>10</v>
      </c>
      <c r="T182" s="5">
        <f t="shared" si="82"/>
        <v>11</v>
      </c>
      <c r="U182" s="5">
        <f t="shared" si="82"/>
        <v>12</v>
      </c>
      <c r="V182" s="5">
        <f t="shared" si="82"/>
        <v>13</v>
      </c>
      <c r="W182" s="5">
        <f t="shared" si="82"/>
        <v>14</v>
      </c>
      <c r="X182" s="5">
        <f t="shared" si="82"/>
        <v>15</v>
      </c>
      <c r="Y182" s="5">
        <f t="shared" si="82"/>
        <v>16</v>
      </c>
      <c r="Z182" s="5">
        <f t="shared" si="82"/>
        <v>17</v>
      </c>
      <c r="AA182" s="5">
        <f t="shared" si="82"/>
        <v>18</v>
      </c>
      <c r="AB182" s="5">
        <f t="shared" si="82"/>
        <v>19</v>
      </c>
      <c r="AC182" s="5">
        <f t="shared" si="82"/>
        <v>20</v>
      </c>
      <c r="AD182" s="5">
        <f t="shared" si="82"/>
        <v>21</v>
      </c>
      <c r="AE182" s="5">
        <f t="shared" si="82"/>
        <v>22</v>
      </c>
      <c r="AF182" s="5">
        <f t="shared" si="82"/>
        <v>23</v>
      </c>
      <c r="AG182" s="5">
        <f t="shared" si="82"/>
        <v>24</v>
      </c>
      <c r="AH182" s="5">
        <f t="shared" si="82"/>
        <v>25</v>
      </c>
      <c r="AI182" s="5">
        <f t="shared" si="82"/>
        <v>26</v>
      </c>
      <c r="AJ182" s="5">
        <f t="shared" si="82"/>
        <v>27</v>
      </c>
      <c r="AK182" s="5">
        <f t="shared" si="82"/>
        <v>28</v>
      </c>
      <c r="AL182" s="5">
        <f t="shared" si="82"/>
        <v>29</v>
      </c>
      <c r="AM182" s="5">
        <f t="shared" si="82"/>
        <v>30</v>
      </c>
      <c r="AN182" s="5">
        <f t="shared" si="82"/>
        <v>31</v>
      </c>
      <c r="AO182" s="5">
        <f t="shared" si="82"/>
        <v>32</v>
      </c>
      <c r="AP182" s="5">
        <f t="shared" si="82"/>
        <v>33</v>
      </c>
      <c r="AQ182" s="5">
        <f t="shared" si="82"/>
        <v>34</v>
      </c>
      <c r="AR182" s="5">
        <f t="shared" si="82"/>
        <v>35</v>
      </c>
      <c r="AS182" s="5">
        <f t="shared" si="82"/>
        <v>36</v>
      </c>
      <c r="AT182" s="5">
        <f t="shared" si="82"/>
        <v>37</v>
      </c>
      <c r="AU182" s="5">
        <f t="shared" si="82"/>
        <v>38</v>
      </c>
      <c r="AV182" s="5">
        <f t="shared" si="82"/>
        <v>39</v>
      </c>
      <c r="AW182" s="5">
        <f t="shared" si="82"/>
        <v>40</v>
      </c>
      <c r="AX182" s="5">
        <f t="shared" si="82"/>
        <v>41</v>
      </c>
      <c r="AY182" s="5">
        <f t="shared" si="82"/>
        <v>42</v>
      </c>
      <c r="AZ182" s="5">
        <f t="shared" si="82"/>
        <v>43</v>
      </c>
      <c r="BA182" s="5">
        <f t="shared" si="82"/>
        <v>44</v>
      </c>
      <c r="BB182" s="5">
        <f t="shared" si="82"/>
        <v>45</v>
      </c>
      <c r="BC182" s="5">
        <f t="shared" si="82"/>
        <v>46</v>
      </c>
      <c r="BD182" s="5">
        <f t="shared" si="82"/>
        <v>47</v>
      </c>
      <c r="BE182" s="5">
        <f t="shared" si="82"/>
        <v>48</v>
      </c>
      <c r="BF182" s="5">
        <f t="shared" si="82"/>
        <v>49</v>
      </c>
      <c r="BG182" s="5">
        <f t="shared" si="82"/>
        <v>50</v>
      </c>
      <c r="BH182" s="5">
        <f t="shared" si="82"/>
        <v>51</v>
      </c>
      <c r="BI182" s="5">
        <f t="shared" si="82"/>
        <v>52</v>
      </c>
      <c r="BJ182" s="5">
        <f t="shared" si="82"/>
        <v>53</v>
      </c>
      <c r="BK182" s="5">
        <f t="shared" si="82"/>
        <v>54</v>
      </c>
      <c r="BL182" s="5">
        <f t="shared" si="82"/>
        <v>55</v>
      </c>
      <c r="BM182" s="5">
        <f t="shared" si="82"/>
        <v>56</v>
      </c>
      <c r="BN182" s="5">
        <f t="shared" si="82"/>
        <v>57</v>
      </c>
      <c r="BO182" s="5">
        <f t="shared" si="82"/>
        <v>58</v>
      </c>
      <c r="BP182" s="5">
        <f t="shared" si="82"/>
        <v>59</v>
      </c>
      <c r="BQ182" s="5">
        <f t="shared" si="82"/>
        <v>60</v>
      </c>
    </row>
    <row r="183" spans="2:69" outlineLevel="2">
      <c r="E183" s="2" t="str">
        <f t="shared" ref="E183:BQ183" si="83" xml:space="preserve">  E$178</f>
        <v>First Fixed Operating Cost Growth Rate escalation flag</v>
      </c>
      <c r="F183" s="2">
        <f t="shared" si="83"/>
        <v>0</v>
      </c>
      <c r="G183" s="2" t="str">
        <f t="shared" si="83"/>
        <v>flag</v>
      </c>
      <c r="H183" s="2">
        <f t="shared" si="83"/>
        <v>1</v>
      </c>
      <c r="I183" s="2">
        <f t="shared" si="83"/>
        <v>0</v>
      </c>
      <c r="J183" s="2">
        <f t="shared" si="83"/>
        <v>1</v>
      </c>
      <c r="K183" s="2">
        <f t="shared" si="83"/>
        <v>0</v>
      </c>
      <c r="L183" s="2">
        <f t="shared" si="83"/>
        <v>0</v>
      </c>
      <c r="M183" s="2">
        <f t="shared" si="83"/>
        <v>0</v>
      </c>
      <c r="N183" s="2">
        <f t="shared" si="83"/>
        <v>0</v>
      </c>
      <c r="O183" s="2">
        <f t="shared" si="83"/>
        <v>0</v>
      </c>
      <c r="P183" s="2">
        <f t="shared" si="83"/>
        <v>0</v>
      </c>
      <c r="Q183" s="2">
        <f t="shared" si="83"/>
        <v>0</v>
      </c>
      <c r="R183" s="2">
        <f t="shared" si="83"/>
        <v>0</v>
      </c>
      <c r="S183" s="2">
        <f t="shared" si="83"/>
        <v>0</v>
      </c>
      <c r="T183" s="2">
        <f t="shared" si="83"/>
        <v>0</v>
      </c>
      <c r="U183" s="2">
        <f t="shared" si="83"/>
        <v>0</v>
      </c>
      <c r="V183" s="2">
        <f t="shared" si="83"/>
        <v>0</v>
      </c>
      <c r="W183" s="2">
        <f t="shared" si="83"/>
        <v>0</v>
      </c>
      <c r="X183" s="2">
        <f t="shared" si="83"/>
        <v>0</v>
      </c>
      <c r="Y183" s="2">
        <f t="shared" si="83"/>
        <v>0</v>
      </c>
      <c r="Z183" s="2">
        <f t="shared" si="83"/>
        <v>0</v>
      </c>
      <c r="AA183" s="2">
        <f t="shared" si="83"/>
        <v>0</v>
      </c>
      <c r="AB183" s="2">
        <f t="shared" si="83"/>
        <v>0</v>
      </c>
      <c r="AC183" s="2">
        <f t="shared" si="83"/>
        <v>0</v>
      </c>
      <c r="AD183" s="2">
        <f t="shared" si="83"/>
        <v>0</v>
      </c>
      <c r="AE183" s="2">
        <f t="shared" si="83"/>
        <v>0</v>
      </c>
      <c r="AF183" s="2">
        <f t="shared" si="83"/>
        <v>0</v>
      </c>
      <c r="AG183" s="2">
        <f t="shared" si="83"/>
        <v>0</v>
      </c>
      <c r="AH183" s="2">
        <f t="shared" si="83"/>
        <v>0</v>
      </c>
      <c r="AI183" s="2">
        <f t="shared" si="83"/>
        <v>0</v>
      </c>
      <c r="AJ183" s="2">
        <f t="shared" si="83"/>
        <v>0</v>
      </c>
      <c r="AK183" s="2">
        <f t="shared" si="83"/>
        <v>0</v>
      </c>
      <c r="AL183" s="2">
        <f t="shared" si="83"/>
        <v>0</v>
      </c>
      <c r="AM183" s="2">
        <f t="shared" si="83"/>
        <v>0</v>
      </c>
      <c r="AN183" s="2">
        <f t="shared" si="83"/>
        <v>0</v>
      </c>
      <c r="AO183" s="2">
        <f t="shared" si="83"/>
        <v>0</v>
      </c>
      <c r="AP183" s="2">
        <f t="shared" si="83"/>
        <v>0</v>
      </c>
      <c r="AQ183" s="2">
        <f t="shared" si="83"/>
        <v>0</v>
      </c>
      <c r="AR183" s="2">
        <f t="shared" si="83"/>
        <v>0</v>
      </c>
      <c r="AS183" s="2">
        <f t="shared" si="83"/>
        <v>0</v>
      </c>
      <c r="AT183" s="2">
        <f t="shared" si="83"/>
        <v>0</v>
      </c>
      <c r="AU183" s="2">
        <f t="shared" si="83"/>
        <v>0</v>
      </c>
      <c r="AV183" s="2">
        <f t="shared" si="83"/>
        <v>0</v>
      </c>
      <c r="AW183" s="2">
        <f t="shared" si="83"/>
        <v>0</v>
      </c>
      <c r="AX183" s="2">
        <f t="shared" si="83"/>
        <v>0</v>
      </c>
      <c r="AY183" s="2">
        <f t="shared" si="83"/>
        <v>0</v>
      </c>
      <c r="AZ183" s="2">
        <f t="shared" si="83"/>
        <v>0</v>
      </c>
      <c r="BA183" s="2">
        <f t="shared" si="83"/>
        <v>0</v>
      </c>
      <c r="BB183" s="2">
        <f t="shared" si="83"/>
        <v>0</v>
      </c>
      <c r="BC183" s="2">
        <f t="shared" si="83"/>
        <v>0</v>
      </c>
      <c r="BD183" s="2">
        <f t="shared" si="83"/>
        <v>0</v>
      </c>
      <c r="BE183" s="2">
        <f t="shared" si="83"/>
        <v>0</v>
      </c>
      <c r="BF183" s="2">
        <f t="shared" si="83"/>
        <v>0</v>
      </c>
      <c r="BG183" s="2">
        <f t="shared" si="83"/>
        <v>0</v>
      </c>
      <c r="BH183" s="2">
        <f t="shared" si="83"/>
        <v>0</v>
      </c>
      <c r="BI183" s="2">
        <f t="shared" si="83"/>
        <v>0</v>
      </c>
      <c r="BJ183" s="2">
        <f t="shared" si="83"/>
        <v>0</v>
      </c>
      <c r="BK183" s="2">
        <f t="shared" si="83"/>
        <v>0</v>
      </c>
      <c r="BL183" s="2">
        <f t="shared" si="83"/>
        <v>0</v>
      </c>
      <c r="BM183" s="2">
        <f t="shared" si="83"/>
        <v>0</v>
      </c>
      <c r="BN183" s="2">
        <f t="shared" si="83"/>
        <v>0</v>
      </c>
      <c r="BO183" s="2">
        <f t="shared" si="83"/>
        <v>0</v>
      </c>
      <c r="BP183" s="2">
        <f t="shared" si="83"/>
        <v>0</v>
      </c>
      <c r="BQ183" s="2">
        <f t="shared" si="83"/>
        <v>0</v>
      </c>
    </row>
    <row r="184" spans="2:69" outlineLevel="2">
      <c r="E184" s="46" t="s">
        <v>276</v>
      </c>
      <c r="H184" s="2">
        <f xml:space="preserve"> SUM( J184:BQ184 )</f>
        <v>1</v>
      </c>
      <c r="J184" s="2">
        <f t="shared" ref="J184:BQ184" si="84" xml:space="preserve">  J182 * J183</f>
        <v>1</v>
      </c>
      <c r="K184" s="2">
        <f t="shared" si="84"/>
        <v>0</v>
      </c>
      <c r="L184" s="2">
        <f t="shared" si="84"/>
        <v>0</v>
      </c>
      <c r="M184" s="2">
        <f t="shared" si="84"/>
        <v>0</v>
      </c>
      <c r="N184" s="2">
        <f t="shared" si="84"/>
        <v>0</v>
      </c>
      <c r="O184" s="2">
        <f t="shared" si="84"/>
        <v>0</v>
      </c>
      <c r="P184" s="2">
        <f t="shared" si="84"/>
        <v>0</v>
      </c>
      <c r="Q184" s="2">
        <f t="shared" si="84"/>
        <v>0</v>
      </c>
      <c r="R184" s="2">
        <f t="shared" si="84"/>
        <v>0</v>
      </c>
      <c r="S184" s="2">
        <f t="shared" si="84"/>
        <v>0</v>
      </c>
      <c r="T184" s="2">
        <f t="shared" si="84"/>
        <v>0</v>
      </c>
      <c r="U184" s="2">
        <f t="shared" si="84"/>
        <v>0</v>
      </c>
      <c r="V184" s="2">
        <f t="shared" si="84"/>
        <v>0</v>
      </c>
      <c r="W184" s="2">
        <f t="shared" si="84"/>
        <v>0</v>
      </c>
      <c r="X184" s="2">
        <f t="shared" si="84"/>
        <v>0</v>
      </c>
      <c r="Y184" s="2">
        <f t="shared" si="84"/>
        <v>0</v>
      </c>
      <c r="Z184" s="2">
        <f t="shared" si="84"/>
        <v>0</v>
      </c>
      <c r="AA184" s="2">
        <f t="shared" si="84"/>
        <v>0</v>
      </c>
      <c r="AB184" s="2">
        <f t="shared" si="84"/>
        <v>0</v>
      </c>
      <c r="AC184" s="2">
        <f t="shared" si="84"/>
        <v>0</v>
      </c>
      <c r="AD184" s="2">
        <f t="shared" si="84"/>
        <v>0</v>
      </c>
      <c r="AE184" s="2">
        <f t="shared" si="84"/>
        <v>0</v>
      </c>
      <c r="AF184" s="2">
        <f t="shared" si="84"/>
        <v>0</v>
      </c>
      <c r="AG184" s="2">
        <f t="shared" si="84"/>
        <v>0</v>
      </c>
      <c r="AH184" s="2">
        <f t="shared" si="84"/>
        <v>0</v>
      </c>
      <c r="AI184" s="2">
        <f t="shared" si="84"/>
        <v>0</v>
      </c>
      <c r="AJ184" s="2">
        <f t="shared" si="84"/>
        <v>0</v>
      </c>
      <c r="AK184" s="2">
        <f t="shared" si="84"/>
        <v>0</v>
      </c>
      <c r="AL184" s="2">
        <f t="shared" si="84"/>
        <v>0</v>
      </c>
      <c r="AM184" s="2">
        <f t="shared" si="84"/>
        <v>0</v>
      </c>
      <c r="AN184" s="2">
        <f t="shared" si="84"/>
        <v>0</v>
      </c>
      <c r="AO184" s="2">
        <f t="shared" si="84"/>
        <v>0</v>
      </c>
      <c r="AP184" s="2">
        <f t="shared" si="84"/>
        <v>0</v>
      </c>
      <c r="AQ184" s="2">
        <f t="shared" si="84"/>
        <v>0</v>
      </c>
      <c r="AR184" s="2">
        <f t="shared" si="84"/>
        <v>0</v>
      </c>
      <c r="AS184" s="2">
        <f t="shared" si="84"/>
        <v>0</v>
      </c>
      <c r="AT184" s="2">
        <f t="shared" si="84"/>
        <v>0</v>
      </c>
      <c r="AU184" s="2">
        <f t="shared" si="84"/>
        <v>0</v>
      </c>
      <c r="AV184" s="2">
        <f t="shared" si="84"/>
        <v>0</v>
      </c>
      <c r="AW184" s="2">
        <f t="shared" si="84"/>
        <v>0</v>
      </c>
      <c r="AX184" s="2">
        <f t="shared" si="84"/>
        <v>0</v>
      </c>
      <c r="AY184" s="2">
        <f t="shared" si="84"/>
        <v>0</v>
      </c>
      <c r="AZ184" s="2">
        <f t="shared" si="84"/>
        <v>0</v>
      </c>
      <c r="BA184" s="2">
        <f t="shared" si="84"/>
        <v>0</v>
      </c>
      <c r="BB184" s="2">
        <f t="shared" si="84"/>
        <v>0</v>
      </c>
      <c r="BC184" s="2">
        <f t="shared" si="84"/>
        <v>0</v>
      </c>
      <c r="BD184" s="2">
        <f t="shared" si="84"/>
        <v>0</v>
      </c>
      <c r="BE184" s="2">
        <f t="shared" si="84"/>
        <v>0</v>
      </c>
      <c r="BF184" s="2">
        <f t="shared" si="84"/>
        <v>0</v>
      </c>
      <c r="BG184" s="2">
        <f t="shared" si="84"/>
        <v>0</v>
      </c>
      <c r="BH184" s="2">
        <f t="shared" si="84"/>
        <v>0</v>
      </c>
      <c r="BI184" s="2">
        <f t="shared" si="84"/>
        <v>0</v>
      </c>
      <c r="BJ184" s="2">
        <f t="shared" si="84"/>
        <v>0</v>
      </c>
      <c r="BK184" s="2">
        <f t="shared" si="84"/>
        <v>0</v>
      </c>
      <c r="BL184" s="2">
        <f t="shared" si="84"/>
        <v>0</v>
      </c>
      <c r="BM184" s="2">
        <f t="shared" si="84"/>
        <v>0</v>
      </c>
      <c r="BN184" s="2">
        <f t="shared" si="84"/>
        <v>0</v>
      </c>
      <c r="BO184" s="2">
        <f t="shared" si="84"/>
        <v>0</v>
      </c>
      <c r="BP184" s="2">
        <f t="shared" si="84"/>
        <v>0</v>
      </c>
      <c r="BQ184" s="2">
        <f t="shared" si="84"/>
        <v>0</v>
      </c>
    </row>
    <row r="185" spans="2:69" outlineLevel="1"/>
    <row r="186" spans="2:69" outlineLevel="1"/>
    <row r="187" spans="2:69" outlineLevel="1">
      <c r="B187" s="27" t="s">
        <v>193</v>
      </c>
    </row>
    <row r="188" spans="2:69" outlineLevel="2">
      <c r="E188" s="2" t="str">
        <f t="shared" ref="E188:BQ188" si="85" xml:space="preserve">  E$184</f>
        <v>First Fixed Operating Cost Growth Rate escalation period</v>
      </c>
      <c r="F188" s="2">
        <f t="shared" si="85"/>
        <v>0</v>
      </c>
      <c r="G188" s="2">
        <f t="shared" si="85"/>
        <v>0</v>
      </c>
      <c r="H188" s="2">
        <f t="shared" si="85"/>
        <v>1</v>
      </c>
      <c r="I188" s="2">
        <f t="shared" si="85"/>
        <v>0</v>
      </c>
      <c r="J188" s="2">
        <f t="shared" si="85"/>
        <v>1</v>
      </c>
      <c r="K188" s="2">
        <f t="shared" si="85"/>
        <v>0</v>
      </c>
      <c r="L188" s="2">
        <f t="shared" si="85"/>
        <v>0</v>
      </c>
      <c r="M188" s="2">
        <f t="shared" si="85"/>
        <v>0</v>
      </c>
      <c r="N188" s="2">
        <f t="shared" si="85"/>
        <v>0</v>
      </c>
      <c r="O188" s="2">
        <f t="shared" si="85"/>
        <v>0</v>
      </c>
      <c r="P188" s="2">
        <f t="shared" si="85"/>
        <v>0</v>
      </c>
      <c r="Q188" s="2">
        <f t="shared" si="85"/>
        <v>0</v>
      </c>
      <c r="R188" s="2">
        <f t="shared" si="85"/>
        <v>0</v>
      </c>
      <c r="S188" s="2">
        <f t="shared" si="85"/>
        <v>0</v>
      </c>
      <c r="T188" s="2">
        <f t="shared" si="85"/>
        <v>0</v>
      </c>
      <c r="U188" s="2">
        <f t="shared" si="85"/>
        <v>0</v>
      </c>
      <c r="V188" s="2">
        <f t="shared" si="85"/>
        <v>0</v>
      </c>
      <c r="W188" s="2">
        <f t="shared" si="85"/>
        <v>0</v>
      </c>
      <c r="X188" s="2">
        <f t="shared" si="85"/>
        <v>0</v>
      </c>
      <c r="Y188" s="2">
        <f t="shared" si="85"/>
        <v>0</v>
      </c>
      <c r="Z188" s="2">
        <f t="shared" si="85"/>
        <v>0</v>
      </c>
      <c r="AA188" s="2">
        <f t="shared" si="85"/>
        <v>0</v>
      </c>
      <c r="AB188" s="2">
        <f t="shared" si="85"/>
        <v>0</v>
      </c>
      <c r="AC188" s="2">
        <f t="shared" si="85"/>
        <v>0</v>
      </c>
      <c r="AD188" s="2">
        <f t="shared" si="85"/>
        <v>0</v>
      </c>
      <c r="AE188" s="2">
        <f t="shared" si="85"/>
        <v>0</v>
      </c>
      <c r="AF188" s="2">
        <f t="shared" si="85"/>
        <v>0</v>
      </c>
      <c r="AG188" s="2">
        <f t="shared" si="85"/>
        <v>0</v>
      </c>
      <c r="AH188" s="2">
        <f t="shared" si="85"/>
        <v>0</v>
      </c>
      <c r="AI188" s="2">
        <f t="shared" si="85"/>
        <v>0</v>
      </c>
      <c r="AJ188" s="2">
        <f t="shared" si="85"/>
        <v>0</v>
      </c>
      <c r="AK188" s="2">
        <f t="shared" si="85"/>
        <v>0</v>
      </c>
      <c r="AL188" s="2">
        <f t="shared" si="85"/>
        <v>0</v>
      </c>
      <c r="AM188" s="2">
        <f t="shared" si="85"/>
        <v>0</v>
      </c>
      <c r="AN188" s="2">
        <f t="shared" si="85"/>
        <v>0</v>
      </c>
      <c r="AO188" s="2">
        <f t="shared" si="85"/>
        <v>0</v>
      </c>
      <c r="AP188" s="2">
        <f t="shared" si="85"/>
        <v>0</v>
      </c>
      <c r="AQ188" s="2">
        <f t="shared" si="85"/>
        <v>0</v>
      </c>
      <c r="AR188" s="2">
        <f t="shared" si="85"/>
        <v>0</v>
      </c>
      <c r="AS188" s="2">
        <f t="shared" si="85"/>
        <v>0</v>
      </c>
      <c r="AT188" s="2">
        <f t="shared" si="85"/>
        <v>0</v>
      </c>
      <c r="AU188" s="2">
        <f t="shared" si="85"/>
        <v>0</v>
      </c>
      <c r="AV188" s="2">
        <f t="shared" si="85"/>
        <v>0</v>
      </c>
      <c r="AW188" s="2">
        <f t="shared" si="85"/>
        <v>0</v>
      </c>
      <c r="AX188" s="2">
        <f t="shared" si="85"/>
        <v>0</v>
      </c>
      <c r="AY188" s="2">
        <f t="shared" si="85"/>
        <v>0</v>
      </c>
      <c r="AZ188" s="2">
        <f t="shared" si="85"/>
        <v>0</v>
      </c>
      <c r="BA188" s="2">
        <f t="shared" si="85"/>
        <v>0</v>
      </c>
      <c r="BB188" s="2">
        <f t="shared" si="85"/>
        <v>0</v>
      </c>
      <c r="BC188" s="2">
        <f t="shared" si="85"/>
        <v>0</v>
      </c>
      <c r="BD188" s="2">
        <f t="shared" si="85"/>
        <v>0</v>
      </c>
      <c r="BE188" s="2">
        <f t="shared" si="85"/>
        <v>0</v>
      </c>
      <c r="BF188" s="2">
        <f t="shared" si="85"/>
        <v>0</v>
      </c>
      <c r="BG188" s="2">
        <f t="shared" si="85"/>
        <v>0</v>
      </c>
      <c r="BH188" s="2">
        <f t="shared" si="85"/>
        <v>0</v>
      </c>
      <c r="BI188" s="2">
        <f t="shared" si="85"/>
        <v>0</v>
      </c>
      <c r="BJ188" s="2">
        <f t="shared" si="85"/>
        <v>0</v>
      </c>
      <c r="BK188" s="2">
        <f t="shared" si="85"/>
        <v>0</v>
      </c>
      <c r="BL188" s="2">
        <f t="shared" si="85"/>
        <v>0</v>
      </c>
      <c r="BM188" s="2">
        <f t="shared" si="85"/>
        <v>0</v>
      </c>
      <c r="BN188" s="2">
        <f t="shared" si="85"/>
        <v>0</v>
      </c>
      <c r="BO188" s="2">
        <f t="shared" si="85"/>
        <v>0</v>
      </c>
      <c r="BP188" s="2">
        <f t="shared" si="85"/>
        <v>0</v>
      </c>
      <c r="BQ188" s="2">
        <f t="shared" si="85"/>
        <v>0</v>
      </c>
    </row>
    <row r="189" spans="2:69" outlineLevel="2">
      <c r="E189" s="46" t="s">
        <v>193</v>
      </c>
      <c r="F189" s="2">
        <f xml:space="preserve">  SUM( $J188:$BQ188 )</f>
        <v>1</v>
      </c>
      <c r="M189" s="2"/>
    </row>
    <row r="190" spans="2:69" outlineLevel="1"/>
    <row r="191" spans="2:69" outlineLevel="1"/>
    <row r="192" spans="2:69" outlineLevel="1">
      <c r="B192" s="27" t="s">
        <v>128</v>
      </c>
    </row>
    <row r="193" spans="1:69" outlineLevel="2">
      <c r="E193" s="2" t="str">
        <f t="shared" ref="E193:G193" si="86" xml:space="preserve">  E$189</f>
        <v>Period of first Fixed Operating Cost Growth Rate escalation</v>
      </c>
      <c r="F193" s="2">
        <f t="shared" si="86"/>
        <v>1</v>
      </c>
      <c r="G193" s="2">
        <f t="shared" si="86"/>
        <v>0</v>
      </c>
      <c r="M193" s="2"/>
    </row>
    <row r="194" spans="1:69" outlineLevel="2">
      <c r="A194" s="18"/>
      <c r="B194" s="18"/>
      <c r="C194" s="30"/>
      <c r="D194" s="31"/>
      <c r="E194" s="4" t="str">
        <f xml:space="preserve">  InpC!E$27</f>
        <v>Fixed Operating Cost Growth Rate escalation frequency</v>
      </c>
      <c r="F194" s="4">
        <f xml:space="preserve">  InpC!F$27</f>
        <v>3</v>
      </c>
      <c r="G194" s="4" t="str">
        <f xml:space="preserve">  InpC!G$27</f>
        <v>Months</v>
      </c>
      <c r="M194" s="2"/>
    </row>
    <row r="195" spans="1:69" outlineLevel="2">
      <c r="A195" s="18"/>
      <c r="B195" s="18"/>
      <c r="C195" s="30"/>
      <c r="D195" s="31"/>
      <c r="E195" s="4" t="str">
        <f xml:space="preserve">  InpC!E$98</f>
        <v>Months per period (Primary)</v>
      </c>
      <c r="F195" s="4">
        <f xml:space="preserve">  InpC!F$98</f>
        <v>1</v>
      </c>
      <c r="G195" s="4" t="str">
        <f xml:space="preserve">  InpC!G$98</f>
        <v>Months</v>
      </c>
      <c r="M195" s="2"/>
    </row>
    <row r="196" spans="1:69" outlineLevel="2">
      <c r="E196" s="5" t="str">
        <f t="shared" ref="E196:BQ196" si="87" xml:space="preserve">  E$28</f>
        <v>Period number</v>
      </c>
      <c r="F196" s="5">
        <f t="shared" si="87"/>
        <v>0</v>
      </c>
      <c r="G196" s="5" t="str">
        <f t="shared" si="87"/>
        <v>Counter</v>
      </c>
      <c r="H196" s="5">
        <f t="shared" si="87"/>
        <v>0</v>
      </c>
      <c r="I196" s="5">
        <f t="shared" si="87"/>
        <v>0</v>
      </c>
      <c r="J196" s="5">
        <f t="shared" si="87"/>
        <v>1</v>
      </c>
      <c r="K196" s="5">
        <f t="shared" si="87"/>
        <v>2</v>
      </c>
      <c r="L196" s="5">
        <f t="shared" si="87"/>
        <v>3</v>
      </c>
      <c r="M196" s="5">
        <f t="shared" si="87"/>
        <v>4</v>
      </c>
      <c r="N196" s="5">
        <f t="shared" si="87"/>
        <v>5</v>
      </c>
      <c r="O196" s="5">
        <f t="shared" si="87"/>
        <v>6</v>
      </c>
      <c r="P196" s="5">
        <f t="shared" si="87"/>
        <v>7</v>
      </c>
      <c r="Q196" s="5">
        <f t="shared" si="87"/>
        <v>8</v>
      </c>
      <c r="R196" s="5">
        <f t="shared" si="87"/>
        <v>9</v>
      </c>
      <c r="S196" s="5">
        <f t="shared" si="87"/>
        <v>10</v>
      </c>
      <c r="T196" s="5">
        <f t="shared" si="87"/>
        <v>11</v>
      </c>
      <c r="U196" s="5">
        <f t="shared" si="87"/>
        <v>12</v>
      </c>
      <c r="V196" s="5">
        <f t="shared" si="87"/>
        <v>13</v>
      </c>
      <c r="W196" s="5">
        <f t="shared" si="87"/>
        <v>14</v>
      </c>
      <c r="X196" s="5">
        <f t="shared" si="87"/>
        <v>15</v>
      </c>
      <c r="Y196" s="5">
        <f t="shared" si="87"/>
        <v>16</v>
      </c>
      <c r="Z196" s="5">
        <f t="shared" si="87"/>
        <v>17</v>
      </c>
      <c r="AA196" s="5">
        <f t="shared" si="87"/>
        <v>18</v>
      </c>
      <c r="AB196" s="5">
        <f t="shared" si="87"/>
        <v>19</v>
      </c>
      <c r="AC196" s="5">
        <f t="shared" si="87"/>
        <v>20</v>
      </c>
      <c r="AD196" s="5">
        <f t="shared" si="87"/>
        <v>21</v>
      </c>
      <c r="AE196" s="5">
        <f t="shared" si="87"/>
        <v>22</v>
      </c>
      <c r="AF196" s="5">
        <f t="shared" si="87"/>
        <v>23</v>
      </c>
      <c r="AG196" s="5">
        <f t="shared" si="87"/>
        <v>24</v>
      </c>
      <c r="AH196" s="5">
        <f t="shared" si="87"/>
        <v>25</v>
      </c>
      <c r="AI196" s="5">
        <f t="shared" si="87"/>
        <v>26</v>
      </c>
      <c r="AJ196" s="5">
        <f t="shared" si="87"/>
        <v>27</v>
      </c>
      <c r="AK196" s="5">
        <f t="shared" si="87"/>
        <v>28</v>
      </c>
      <c r="AL196" s="5">
        <f t="shared" si="87"/>
        <v>29</v>
      </c>
      <c r="AM196" s="5">
        <f t="shared" si="87"/>
        <v>30</v>
      </c>
      <c r="AN196" s="5">
        <f t="shared" si="87"/>
        <v>31</v>
      </c>
      <c r="AO196" s="5">
        <f t="shared" si="87"/>
        <v>32</v>
      </c>
      <c r="AP196" s="5">
        <f t="shared" si="87"/>
        <v>33</v>
      </c>
      <c r="AQ196" s="5">
        <f t="shared" si="87"/>
        <v>34</v>
      </c>
      <c r="AR196" s="5">
        <f t="shared" si="87"/>
        <v>35</v>
      </c>
      <c r="AS196" s="5">
        <f t="shared" si="87"/>
        <v>36</v>
      </c>
      <c r="AT196" s="5">
        <f t="shared" si="87"/>
        <v>37</v>
      </c>
      <c r="AU196" s="5">
        <f t="shared" si="87"/>
        <v>38</v>
      </c>
      <c r="AV196" s="5">
        <f t="shared" si="87"/>
        <v>39</v>
      </c>
      <c r="AW196" s="5">
        <f t="shared" si="87"/>
        <v>40</v>
      </c>
      <c r="AX196" s="5">
        <f t="shared" si="87"/>
        <v>41</v>
      </c>
      <c r="AY196" s="5">
        <f t="shared" si="87"/>
        <v>42</v>
      </c>
      <c r="AZ196" s="5">
        <f t="shared" si="87"/>
        <v>43</v>
      </c>
      <c r="BA196" s="5">
        <f t="shared" si="87"/>
        <v>44</v>
      </c>
      <c r="BB196" s="5">
        <f t="shared" si="87"/>
        <v>45</v>
      </c>
      <c r="BC196" s="5">
        <f t="shared" si="87"/>
        <v>46</v>
      </c>
      <c r="BD196" s="5">
        <f t="shared" si="87"/>
        <v>47</v>
      </c>
      <c r="BE196" s="5">
        <f t="shared" si="87"/>
        <v>48</v>
      </c>
      <c r="BF196" s="5">
        <f t="shared" si="87"/>
        <v>49</v>
      </c>
      <c r="BG196" s="5">
        <f t="shared" si="87"/>
        <v>50</v>
      </c>
      <c r="BH196" s="5">
        <f t="shared" si="87"/>
        <v>51</v>
      </c>
      <c r="BI196" s="5">
        <f t="shared" si="87"/>
        <v>52</v>
      </c>
      <c r="BJ196" s="5">
        <f t="shared" si="87"/>
        <v>53</v>
      </c>
      <c r="BK196" s="5">
        <f t="shared" si="87"/>
        <v>54</v>
      </c>
      <c r="BL196" s="5">
        <f t="shared" si="87"/>
        <v>55</v>
      </c>
      <c r="BM196" s="5">
        <f t="shared" si="87"/>
        <v>56</v>
      </c>
      <c r="BN196" s="5">
        <f t="shared" si="87"/>
        <v>57</v>
      </c>
      <c r="BO196" s="5">
        <f t="shared" si="87"/>
        <v>58</v>
      </c>
      <c r="BP196" s="5">
        <f t="shared" si="87"/>
        <v>59</v>
      </c>
      <c r="BQ196" s="5">
        <f t="shared" si="87"/>
        <v>60</v>
      </c>
    </row>
    <row r="197" spans="1:69" outlineLevel="2">
      <c r="E197" s="2" t="str">
        <f t="shared" ref="E197:BQ197" si="88" xml:space="preserve">  E$171</f>
        <v>Fixed Operating Cost Growth Rate escalation duration flag</v>
      </c>
      <c r="F197" s="2">
        <f t="shared" si="88"/>
        <v>0</v>
      </c>
      <c r="G197" s="2" t="str">
        <f t="shared" si="88"/>
        <v>flag</v>
      </c>
      <c r="H197" s="2">
        <f t="shared" si="88"/>
        <v>60</v>
      </c>
      <c r="I197" s="2">
        <f t="shared" si="88"/>
        <v>0</v>
      </c>
      <c r="J197" s="2">
        <f t="shared" si="88"/>
        <v>1</v>
      </c>
      <c r="K197" s="2">
        <f t="shared" si="88"/>
        <v>1</v>
      </c>
      <c r="L197" s="2">
        <f t="shared" si="88"/>
        <v>1</v>
      </c>
      <c r="M197" s="2">
        <f t="shared" si="88"/>
        <v>1</v>
      </c>
      <c r="N197" s="2">
        <f t="shared" si="88"/>
        <v>1</v>
      </c>
      <c r="O197" s="2">
        <f t="shared" si="88"/>
        <v>1</v>
      </c>
      <c r="P197" s="2">
        <f t="shared" si="88"/>
        <v>1</v>
      </c>
      <c r="Q197" s="2">
        <f t="shared" si="88"/>
        <v>1</v>
      </c>
      <c r="R197" s="2">
        <f t="shared" si="88"/>
        <v>1</v>
      </c>
      <c r="S197" s="2">
        <f t="shared" si="88"/>
        <v>1</v>
      </c>
      <c r="T197" s="2">
        <f t="shared" si="88"/>
        <v>1</v>
      </c>
      <c r="U197" s="2">
        <f t="shared" si="88"/>
        <v>1</v>
      </c>
      <c r="V197" s="2">
        <f t="shared" si="88"/>
        <v>1</v>
      </c>
      <c r="W197" s="2">
        <f t="shared" si="88"/>
        <v>1</v>
      </c>
      <c r="X197" s="2">
        <f t="shared" si="88"/>
        <v>1</v>
      </c>
      <c r="Y197" s="2">
        <f t="shared" si="88"/>
        <v>1</v>
      </c>
      <c r="Z197" s="2">
        <f t="shared" si="88"/>
        <v>1</v>
      </c>
      <c r="AA197" s="2">
        <f t="shared" si="88"/>
        <v>1</v>
      </c>
      <c r="AB197" s="2">
        <f t="shared" si="88"/>
        <v>1</v>
      </c>
      <c r="AC197" s="2">
        <f t="shared" si="88"/>
        <v>1</v>
      </c>
      <c r="AD197" s="2">
        <f t="shared" si="88"/>
        <v>1</v>
      </c>
      <c r="AE197" s="2">
        <f t="shared" si="88"/>
        <v>1</v>
      </c>
      <c r="AF197" s="2">
        <f t="shared" si="88"/>
        <v>1</v>
      </c>
      <c r="AG197" s="2">
        <f t="shared" si="88"/>
        <v>1</v>
      </c>
      <c r="AH197" s="2">
        <f t="shared" si="88"/>
        <v>1</v>
      </c>
      <c r="AI197" s="2">
        <f t="shared" si="88"/>
        <v>1</v>
      </c>
      <c r="AJ197" s="2">
        <f t="shared" si="88"/>
        <v>1</v>
      </c>
      <c r="AK197" s="2">
        <f t="shared" si="88"/>
        <v>1</v>
      </c>
      <c r="AL197" s="2">
        <f t="shared" si="88"/>
        <v>1</v>
      </c>
      <c r="AM197" s="2">
        <f t="shared" si="88"/>
        <v>1</v>
      </c>
      <c r="AN197" s="2">
        <f t="shared" si="88"/>
        <v>1</v>
      </c>
      <c r="AO197" s="2">
        <f t="shared" si="88"/>
        <v>1</v>
      </c>
      <c r="AP197" s="2">
        <f t="shared" si="88"/>
        <v>1</v>
      </c>
      <c r="AQ197" s="2">
        <f t="shared" si="88"/>
        <v>1</v>
      </c>
      <c r="AR197" s="2">
        <f t="shared" si="88"/>
        <v>1</v>
      </c>
      <c r="AS197" s="2">
        <f t="shared" si="88"/>
        <v>1</v>
      </c>
      <c r="AT197" s="2">
        <f t="shared" si="88"/>
        <v>1</v>
      </c>
      <c r="AU197" s="2">
        <f t="shared" si="88"/>
        <v>1</v>
      </c>
      <c r="AV197" s="2">
        <f t="shared" si="88"/>
        <v>1</v>
      </c>
      <c r="AW197" s="2">
        <f t="shared" si="88"/>
        <v>1</v>
      </c>
      <c r="AX197" s="2">
        <f t="shared" si="88"/>
        <v>1</v>
      </c>
      <c r="AY197" s="2">
        <f t="shared" si="88"/>
        <v>1</v>
      </c>
      <c r="AZ197" s="2">
        <f t="shared" si="88"/>
        <v>1</v>
      </c>
      <c r="BA197" s="2">
        <f t="shared" si="88"/>
        <v>1</v>
      </c>
      <c r="BB197" s="2">
        <f t="shared" si="88"/>
        <v>1</v>
      </c>
      <c r="BC197" s="2">
        <f t="shared" si="88"/>
        <v>1</v>
      </c>
      <c r="BD197" s="2">
        <f t="shared" si="88"/>
        <v>1</v>
      </c>
      <c r="BE197" s="2">
        <f t="shared" si="88"/>
        <v>1</v>
      </c>
      <c r="BF197" s="2">
        <f t="shared" si="88"/>
        <v>1</v>
      </c>
      <c r="BG197" s="2">
        <f t="shared" si="88"/>
        <v>1</v>
      </c>
      <c r="BH197" s="2">
        <f t="shared" si="88"/>
        <v>1</v>
      </c>
      <c r="BI197" s="2">
        <f t="shared" si="88"/>
        <v>1</v>
      </c>
      <c r="BJ197" s="2">
        <f t="shared" si="88"/>
        <v>1</v>
      </c>
      <c r="BK197" s="2">
        <f t="shared" si="88"/>
        <v>1</v>
      </c>
      <c r="BL197" s="2">
        <f t="shared" si="88"/>
        <v>1</v>
      </c>
      <c r="BM197" s="2">
        <f t="shared" si="88"/>
        <v>1</v>
      </c>
      <c r="BN197" s="2">
        <f t="shared" si="88"/>
        <v>1</v>
      </c>
      <c r="BO197" s="2">
        <f t="shared" si="88"/>
        <v>1</v>
      </c>
      <c r="BP197" s="2">
        <f t="shared" si="88"/>
        <v>1</v>
      </c>
      <c r="BQ197" s="2">
        <f t="shared" si="88"/>
        <v>1</v>
      </c>
    </row>
    <row r="198" spans="1:69" outlineLevel="2">
      <c r="E198" s="46" t="s">
        <v>128</v>
      </c>
      <c r="G198" s="46" t="s">
        <v>21</v>
      </c>
      <c r="H198" s="2">
        <f xml:space="preserve"> SUM( J198:BQ198 )</f>
        <v>20</v>
      </c>
      <c r="J198" s="2">
        <f t="shared" ref="J198:BQ198" si="89" xml:space="preserve">  IF( MOD( J196 - $F193, $F194 / $F195 ) = 0, 1, 0 ) * J197</f>
        <v>1</v>
      </c>
      <c r="K198" s="2">
        <f t="shared" si="89"/>
        <v>0</v>
      </c>
      <c r="L198" s="2">
        <f t="shared" si="89"/>
        <v>0</v>
      </c>
      <c r="M198" s="2">
        <f t="shared" si="89"/>
        <v>1</v>
      </c>
      <c r="N198" s="2">
        <f t="shared" si="89"/>
        <v>0</v>
      </c>
      <c r="O198" s="2">
        <f t="shared" si="89"/>
        <v>0</v>
      </c>
      <c r="P198" s="2">
        <f t="shared" si="89"/>
        <v>1</v>
      </c>
      <c r="Q198" s="2">
        <f t="shared" si="89"/>
        <v>0</v>
      </c>
      <c r="R198" s="2">
        <f t="shared" si="89"/>
        <v>0</v>
      </c>
      <c r="S198" s="2">
        <f t="shared" si="89"/>
        <v>1</v>
      </c>
      <c r="T198" s="2">
        <f t="shared" si="89"/>
        <v>0</v>
      </c>
      <c r="U198" s="2">
        <f t="shared" si="89"/>
        <v>0</v>
      </c>
      <c r="V198" s="2">
        <f t="shared" si="89"/>
        <v>1</v>
      </c>
      <c r="W198" s="2">
        <f t="shared" si="89"/>
        <v>0</v>
      </c>
      <c r="X198" s="2">
        <f t="shared" si="89"/>
        <v>0</v>
      </c>
      <c r="Y198" s="2">
        <f t="shared" si="89"/>
        <v>1</v>
      </c>
      <c r="Z198" s="2">
        <f t="shared" si="89"/>
        <v>0</v>
      </c>
      <c r="AA198" s="2">
        <f t="shared" si="89"/>
        <v>0</v>
      </c>
      <c r="AB198" s="2">
        <f t="shared" si="89"/>
        <v>1</v>
      </c>
      <c r="AC198" s="2">
        <f t="shared" si="89"/>
        <v>0</v>
      </c>
      <c r="AD198" s="2">
        <f t="shared" si="89"/>
        <v>0</v>
      </c>
      <c r="AE198" s="2">
        <f t="shared" si="89"/>
        <v>1</v>
      </c>
      <c r="AF198" s="2">
        <f t="shared" si="89"/>
        <v>0</v>
      </c>
      <c r="AG198" s="2">
        <f t="shared" si="89"/>
        <v>0</v>
      </c>
      <c r="AH198" s="2">
        <f t="shared" si="89"/>
        <v>1</v>
      </c>
      <c r="AI198" s="2">
        <f t="shared" si="89"/>
        <v>0</v>
      </c>
      <c r="AJ198" s="2">
        <f t="shared" si="89"/>
        <v>0</v>
      </c>
      <c r="AK198" s="2">
        <f t="shared" si="89"/>
        <v>1</v>
      </c>
      <c r="AL198" s="2">
        <f t="shared" si="89"/>
        <v>0</v>
      </c>
      <c r="AM198" s="2">
        <f t="shared" si="89"/>
        <v>0</v>
      </c>
      <c r="AN198" s="2">
        <f t="shared" si="89"/>
        <v>1</v>
      </c>
      <c r="AO198" s="2">
        <f t="shared" si="89"/>
        <v>0</v>
      </c>
      <c r="AP198" s="2">
        <f t="shared" si="89"/>
        <v>0</v>
      </c>
      <c r="AQ198" s="2">
        <f t="shared" si="89"/>
        <v>1</v>
      </c>
      <c r="AR198" s="2">
        <f t="shared" si="89"/>
        <v>0</v>
      </c>
      <c r="AS198" s="2">
        <f t="shared" si="89"/>
        <v>0</v>
      </c>
      <c r="AT198" s="2">
        <f t="shared" si="89"/>
        <v>1</v>
      </c>
      <c r="AU198" s="2">
        <f t="shared" si="89"/>
        <v>0</v>
      </c>
      <c r="AV198" s="2">
        <f t="shared" si="89"/>
        <v>0</v>
      </c>
      <c r="AW198" s="2">
        <f t="shared" si="89"/>
        <v>1</v>
      </c>
      <c r="AX198" s="2">
        <f t="shared" si="89"/>
        <v>0</v>
      </c>
      <c r="AY198" s="2">
        <f t="shared" si="89"/>
        <v>0</v>
      </c>
      <c r="AZ198" s="2">
        <f t="shared" si="89"/>
        <v>1</v>
      </c>
      <c r="BA198" s="2">
        <f t="shared" si="89"/>
        <v>0</v>
      </c>
      <c r="BB198" s="2">
        <f t="shared" si="89"/>
        <v>0</v>
      </c>
      <c r="BC198" s="2">
        <f t="shared" si="89"/>
        <v>1</v>
      </c>
      <c r="BD198" s="2">
        <f t="shared" si="89"/>
        <v>0</v>
      </c>
      <c r="BE198" s="2">
        <f t="shared" si="89"/>
        <v>0</v>
      </c>
      <c r="BF198" s="2">
        <f t="shared" si="89"/>
        <v>1</v>
      </c>
      <c r="BG198" s="2">
        <f t="shared" si="89"/>
        <v>0</v>
      </c>
      <c r="BH198" s="2">
        <f t="shared" si="89"/>
        <v>0</v>
      </c>
      <c r="BI198" s="2">
        <f t="shared" si="89"/>
        <v>1</v>
      </c>
      <c r="BJ198" s="2">
        <f t="shared" si="89"/>
        <v>0</v>
      </c>
      <c r="BK198" s="2">
        <f t="shared" si="89"/>
        <v>0</v>
      </c>
      <c r="BL198" s="2">
        <f t="shared" si="89"/>
        <v>1</v>
      </c>
      <c r="BM198" s="2">
        <f t="shared" si="89"/>
        <v>0</v>
      </c>
      <c r="BN198" s="2">
        <f t="shared" si="89"/>
        <v>0</v>
      </c>
      <c r="BO198" s="2">
        <f t="shared" si="89"/>
        <v>1</v>
      </c>
      <c r="BP198" s="2">
        <f t="shared" si="89"/>
        <v>0</v>
      </c>
      <c r="BQ198" s="2">
        <f t="shared" si="89"/>
        <v>0</v>
      </c>
    </row>
    <row r="199" spans="1:69" outlineLevel="1"/>
    <row r="200" spans="1:69" outlineLevel="1"/>
    <row r="201" spans="1:69" outlineLevel="1">
      <c r="B201" s="27" t="s">
        <v>213</v>
      </c>
    </row>
    <row r="202" spans="1:69" outlineLevel="2">
      <c r="A202" s="18"/>
      <c r="B202" s="18"/>
      <c r="C202" s="30"/>
      <c r="D202" s="31"/>
      <c r="E202" s="19" t="str">
        <f xml:space="preserve">  InpC!E$100</f>
        <v>Start date</v>
      </c>
      <c r="F202" s="19">
        <f xml:space="preserve">  InpC!F$100</f>
        <v>45047</v>
      </c>
      <c r="G202" s="19" t="str">
        <f xml:space="preserve">  InpC!G$100</f>
        <v>date</v>
      </c>
      <c r="M202" s="8"/>
    </row>
    <row r="203" spans="1:69" outlineLevel="2">
      <c r="E203" s="8" t="str">
        <f t="shared" ref="E203:BQ203" si="90" xml:space="preserve">  E$19</f>
        <v>Model period end</v>
      </c>
      <c r="F203" s="8">
        <f t="shared" si="90"/>
        <v>0</v>
      </c>
      <c r="G203" s="8" t="str">
        <f t="shared" si="90"/>
        <v>date</v>
      </c>
      <c r="H203" s="8">
        <f t="shared" si="90"/>
        <v>0</v>
      </c>
      <c r="I203" s="8">
        <f t="shared" si="90"/>
        <v>0</v>
      </c>
      <c r="J203" s="8">
        <f t="shared" si="90"/>
        <v>45077</v>
      </c>
      <c r="K203" s="8">
        <f t="shared" si="90"/>
        <v>45107</v>
      </c>
      <c r="L203" s="8">
        <f t="shared" si="90"/>
        <v>45138</v>
      </c>
      <c r="M203" s="8">
        <f t="shared" si="90"/>
        <v>45169</v>
      </c>
      <c r="N203" s="8">
        <f t="shared" si="90"/>
        <v>45199</v>
      </c>
      <c r="O203" s="8">
        <f t="shared" si="90"/>
        <v>45230</v>
      </c>
      <c r="P203" s="8">
        <f t="shared" si="90"/>
        <v>45260</v>
      </c>
      <c r="Q203" s="8">
        <f t="shared" si="90"/>
        <v>45291</v>
      </c>
      <c r="R203" s="8">
        <f t="shared" si="90"/>
        <v>45322</v>
      </c>
      <c r="S203" s="8">
        <f t="shared" si="90"/>
        <v>45351</v>
      </c>
      <c r="T203" s="8">
        <f t="shared" si="90"/>
        <v>45382</v>
      </c>
      <c r="U203" s="8">
        <f t="shared" si="90"/>
        <v>45412</v>
      </c>
      <c r="V203" s="8">
        <f t="shared" si="90"/>
        <v>45443</v>
      </c>
      <c r="W203" s="8">
        <f t="shared" si="90"/>
        <v>45473</v>
      </c>
      <c r="X203" s="8">
        <f t="shared" si="90"/>
        <v>45504</v>
      </c>
      <c r="Y203" s="8">
        <f t="shared" si="90"/>
        <v>45535</v>
      </c>
      <c r="Z203" s="8">
        <f t="shared" si="90"/>
        <v>45565</v>
      </c>
      <c r="AA203" s="8">
        <f t="shared" si="90"/>
        <v>45596</v>
      </c>
      <c r="AB203" s="8">
        <f t="shared" si="90"/>
        <v>45626</v>
      </c>
      <c r="AC203" s="8">
        <f t="shared" si="90"/>
        <v>45657</v>
      </c>
      <c r="AD203" s="8">
        <f t="shared" si="90"/>
        <v>45688</v>
      </c>
      <c r="AE203" s="8">
        <f t="shared" si="90"/>
        <v>45716</v>
      </c>
      <c r="AF203" s="8">
        <f t="shared" si="90"/>
        <v>45747</v>
      </c>
      <c r="AG203" s="8">
        <f t="shared" si="90"/>
        <v>45777</v>
      </c>
      <c r="AH203" s="8">
        <f t="shared" si="90"/>
        <v>45808</v>
      </c>
      <c r="AI203" s="8">
        <f t="shared" si="90"/>
        <v>45838</v>
      </c>
      <c r="AJ203" s="8">
        <f t="shared" si="90"/>
        <v>45869</v>
      </c>
      <c r="AK203" s="8">
        <f t="shared" si="90"/>
        <v>45900</v>
      </c>
      <c r="AL203" s="8">
        <f t="shared" si="90"/>
        <v>45930</v>
      </c>
      <c r="AM203" s="8">
        <f t="shared" si="90"/>
        <v>45961</v>
      </c>
      <c r="AN203" s="8">
        <f t="shared" si="90"/>
        <v>45991</v>
      </c>
      <c r="AO203" s="8">
        <f t="shared" si="90"/>
        <v>46022</v>
      </c>
      <c r="AP203" s="8">
        <f t="shared" si="90"/>
        <v>46053</v>
      </c>
      <c r="AQ203" s="8">
        <f t="shared" si="90"/>
        <v>46081</v>
      </c>
      <c r="AR203" s="8">
        <f t="shared" si="90"/>
        <v>46112</v>
      </c>
      <c r="AS203" s="8">
        <f t="shared" si="90"/>
        <v>46142</v>
      </c>
      <c r="AT203" s="8">
        <f t="shared" si="90"/>
        <v>46173</v>
      </c>
      <c r="AU203" s="8">
        <f t="shared" si="90"/>
        <v>46203</v>
      </c>
      <c r="AV203" s="8">
        <f t="shared" si="90"/>
        <v>46234</v>
      </c>
      <c r="AW203" s="8">
        <f t="shared" si="90"/>
        <v>46265</v>
      </c>
      <c r="AX203" s="8">
        <f t="shared" si="90"/>
        <v>46295</v>
      </c>
      <c r="AY203" s="8">
        <f t="shared" si="90"/>
        <v>46326</v>
      </c>
      <c r="AZ203" s="8">
        <f t="shared" si="90"/>
        <v>46356</v>
      </c>
      <c r="BA203" s="8">
        <f t="shared" si="90"/>
        <v>46387</v>
      </c>
      <c r="BB203" s="8">
        <f t="shared" si="90"/>
        <v>46418</v>
      </c>
      <c r="BC203" s="8">
        <f t="shared" si="90"/>
        <v>46446</v>
      </c>
      <c r="BD203" s="8">
        <f t="shared" si="90"/>
        <v>46477</v>
      </c>
      <c r="BE203" s="8">
        <f t="shared" si="90"/>
        <v>46507</v>
      </c>
      <c r="BF203" s="8">
        <f t="shared" si="90"/>
        <v>46538</v>
      </c>
      <c r="BG203" s="8">
        <f t="shared" si="90"/>
        <v>46568</v>
      </c>
      <c r="BH203" s="8">
        <f t="shared" si="90"/>
        <v>46599</v>
      </c>
      <c r="BI203" s="8">
        <f t="shared" si="90"/>
        <v>46630</v>
      </c>
      <c r="BJ203" s="8">
        <f t="shared" si="90"/>
        <v>46660</v>
      </c>
      <c r="BK203" s="8">
        <f t="shared" si="90"/>
        <v>46691</v>
      </c>
      <c r="BL203" s="8">
        <f t="shared" si="90"/>
        <v>46721</v>
      </c>
      <c r="BM203" s="8">
        <f t="shared" si="90"/>
        <v>46752</v>
      </c>
      <c r="BN203" s="8">
        <f t="shared" si="90"/>
        <v>46783</v>
      </c>
      <c r="BO203" s="8">
        <f t="shared" si="90"/>
        <v>46812</v>
      </c>
      <c r="BP203" s="8">
        <f t="shared" si="90"/>
        <v>46843</v>
      </c>
      <c r="BQ203" s="8">
        <f t="shared" si="90"/>
        <v>46873</v>
      </c>
    </row>
    <row r="204" spans="1:69" outlineLevel="2">
      <c r="E204" s="2" t="str">
        <f t="shared" ref="E204:BQ204" si="91" xml:space="preserve">  E$198</f>
        <v>Fixed Operating Cost Growth Rate escalation step up frequency flag</v>
      </c>
      <c r="F204" s="2">
        <f t="shared" si="91"/>
        <v>0</v>
      </c>
      <c r="G204" s="2" t="str">
        <f t="shared" si="91"/>
        <v>flag</v>
      </c>
      <c r="H204" s="2">
        <f t="shared" si="91"/>
        <v>20</v>
      </c>
      <c r="I204" s="2">
        <f t="shared" si="91"/>
        <v>0</v>
      </c>
      <c r="J204" s="2">
        <f t="shared" si="91"/>
        <v>1</v>
      </c>
      <c r="K204" s="2">
        <f t="shared" si="91"/>
        <v>0</v>
      </c>
      <c r="L204" s="2">
        <f t="shared" si="91"/>
        <v>0</v>
      </c>
      <c r="M204" s="2">
        <f t="shared" si="91"/>
        <v>1</v>
      </c>
      <c r="N204" s="2">
        <f t="shared" si="91"/>
        <v>0</v>
      </c>
      <c r="O204" s="2">
        <f t="shared" si="91"/>
        <v>0</v>
      </c>
      <c r="P204" s="2">
        <f t="shared" si="91"/>
        <v>1</v>
      </c>
      <c r="Q204" s="2">
        <f t="shared" si="91"/>
        <v>0</v>
      </c>
      <c r="R204" s="2">
        <f t="shared" si="91"/>
        <v>0</v>
      </c>
      <c r="S204" s="2">
        <f t="shared" si="91"/>
        <v>1</v>
      </c>
      <c r="T204" s="2">
        <f t="shared" si="91"/>
        <v>0</v>
      </c>
      <c r="U204" s="2">
        <f t="shared" si="91"/>
        <v>0</v>
      </c>
      <c r="V204" s="2">
        <f t="shared" si="91"/>
        <v>1</v>
      </c>
      <c r="W204" s="2">
        <f t="shared" si="91"/>
        <v>0</v>
      </c>
      <c r="X204" s="2">
        <f t="shared" si="91"/>
        <v>0</v>
      </c>
      <c r="Y204" s="2">
        <f t="shared" si="91"/>
        <v>1</v>
      </c>
      <c r="Z204" s="2">
        <f t="shared" si="91"/>
        <v>0</v>
      </c>
      <c r="AA204" s="2">
        <f t="shared" si="91"/>
        <v>0</v>
      </c>
      <c r="AB204" s="2">
        <f t="shared" si="91"/>
        <v>1</v>
      </c>
      <c r="AC204" s="2">
        <f t="shared" si="91"/>
        <v>0</v>
      </c>
      <c r="AD204" s="2">
        <f t="shared" si="91"/>
        <v>0</v>
      </c>
      <c r="AE204" s="2">
        <f t="shared" si="91"/>
        <v>1</v>
      </c>
      <c r="AF204" s="2">
        <f t="shared" si="91"/>
        <v>0</v>
      </c>
      <c r="AG204" s="2">
        <f t="shared" si="91"/>
        <v>0</v>
      </c>
      <c r="AH204" s="2">
        <f t="shared" si="91"/>
        <v>1</v>
      </c>
      <c r="AI204" s="2">
        <f t="shared" si="91"/>
        <v>0</v>
      </c>
      <c r="AJ204" s="2">
        <f t="shared" si="91"/>
        <v>0</v>
      </c>
      <c r="AK204" s="2">
        <f t="shared" si="91"/>
        <v>1</v>
      </c>
      <c r="AL204" s="2">
        <f t="shared" si="91"/>
        <v>0</v>
      </c>
      <c r="AM204" s="2">
        <f t="shared" si="91"/>
        <v>0</v>
      </c>
      <c r="AN204" s="2">
        <f t="shared" si="91"/>
        <v>1</v>
      </c>
      <c r="AO204" s="2">
        <f t="shared" si="91"/>
        <v>0</v>
      </c>
      <c r="AP204" s="2">
        <f t="shared" si="91"/>
        <v>0</v>
      </c>
      <c r="AQ204" s="2">
        <f t="shared" si="91"/>
        <v>1</v>
      </c>
      <c r="AR204" s="2">
        <f t="shared" si="91"/>
        <v>0</v>
      </c>
      <c r="AS204" s="2">
        <f t="shared" si="91"/>
        <v>0</v>
      </c>
      <c r="AT204" s="2">
        <f t="shared" si="91"/>
        <v>1</v>
      </c>
      <c r="AU204" s="2">
        <f t="shared" si="91"/>
        <v>0</v>
      </c>
      <c r="AV204" s="2">
        <f t="shared" si="91"/>
        <v>0</v>
      </c>
      <c r="AW204" s="2">
        <f t="shared" si="91"/>
        <v>1</v>
      </c>
      <c r="AX204" s="2">
        <f t="shared" si="91"/>
        <v>0</v>
      </c>
      <c r="AY204" s="2">
        <f t="shared" si="91"/>
        <v>0</v>
      </c>
      <c r="AZ204" s="2">
        <f t="shared" si="91"/>
        <v>1</v>
      </c>
      <c r="BA204" s="2">
        <f t="shared" si="91"/>
        <v>0</v>
      </c>
      <c r="BB204" s="2">
        <f t="shared" si="91"/>
        <v>0</v>
      </c>
      <c r="BC204" s="2">
        <f t="shared" si="91"/>
        <v>1</v>
      </c>
      <c r="BD204" s="2">
        <f t="shared" si="91"/>
        <v>0</v>
      </c>
      <c r="BE204" s="2">
        <f t="shared" si="91"/>
        <v>0</v>
      </c>
      <c r="BF204" s="2">
        <f t="shared" si="91"/>
        <v>1</v>
      </c>
      <c r="BG204" s="2">
        <f t="shared" si="91"/>
        <v>0</v>
      </c>
      <c r="BH204" s="2">
        <f t="shared" si="91"/>
        <v>0</v>
      </c>
      <c r="BI204" s="2">
        <f t="shared" si="91"/>
        <v>1</v>
      </c>
      <c r="BJ204" s="2">
        <f t="shared" si="91"/>
        <v>0</v>
      </c>
      <c r="BK204" s="2">
        <f t="shared" si="91"/>
        <v>0</v>
      </c>
      <c r="BL204" s="2">
        <f t="shared" si="91"/>
        <v>1</v>
      </c>
      <c r="BM204" s="2">
        <f t="shared" si="91"/>
        <v>0</v>
      </c>
      <c r="BN204" s="2">
        <f t="shared" si="91"/>
        <v>0</v>
      </c>
      <c r="BO204" s="2">
        <f t="shared" si="91"/>
        <v>1</v>
      </c>
      <c r="BP204" s="2">
        <f t="shared" si="91"/>
        <v>0</v>
      </c>
      <c r="BQ204" s="2">
        <f t="shared" si="91"/>
        <v>0</v>
      </c>
    </row>
    <row r="205" spans="1:69" outlineLevel="2">
      <c r="E205" s="46" t="s">
        <v>213</v>
      </c>
      <c r="G205" s="46" t="s">
        <v>210</v>
      </c>
      <c r="J205" s="8">
        <f t="shared" ref="J205:BQ205" si="92" xml:space="preserve">  DATE( YEAR( J203 ), MONTH( J203 ), DAY( $F202 ) ) * J204</f>
        <v>45047</v>
      </c>
      <c r="K205" s="8">
        <f t="shared" si="92"/>
        <v>0</v>
      </c>
      <c r="L205" s="8">
        <f t="shared" si="92"/>
        <v>0</v>
      </c>
      <c r="M205" s="8">
        <f t="shared" si="92"/>
        <v>45139</v>
      </c>
      <c r="N205" s="8">
        <f t="shared" si="92"/>
        <v>0</v>
      </c>
      <c r="O205" s="8">
        <f t="shared" si="92"/>
        <v>0</v>
      </c>
      <c r="P205" s="8">
        <f t="shared" si="92"/>
        <v>45231</v>
      </c>
      <c r="Q205" s="8">
        <f t="shared" si="92"/>
        <v>0</v>
      </c>
      <c r="R205" s="8">
        <f t="shared" si="92"/>
        <v>0</v>
      </c>
      <c r="S205" s="8">
        <f t="shared" si="92"/>
        <v>45323</v>
      </c>
      <c r="T205" s="8">
        <f t="shared" si="92"/>
        <v>0</v>
      </c>
      <c r="U205" s="8">
        <f t="shared" si="92"/>
        <v>0</v>
      </c>
      <c r="V205" s="8">
        <f t="shared" si="92"/>
        <v>45413</v>
      </c>
      <c r="W205" s="8">
        <f t="shared" si="92"/>
        <v>0</v>
      </c>
      <c r="X205" s="8">
        <f t="shared" si="92"/>
        <v>0</v>
      </c>
      <c r="Y205" s="8">
        <f t="shared" si="92"/>
        <v>45505</v>
      </c>
      <c r="Z205" s="8">
        <f t="shared" si="92"/>
        <v>0</v>
      </c>
      <c r="AA205" s="8">
        <f t="shared" si="92"/>
        <v>0</v>
      </c>
      <c r="AB205" s="8">
        <f t="shared" si="92"/>
        <v>45597</v>
      </c>
      <c r="AC205" s="8">
        <f t="shared" si="92"/>
        <v>0</v>
      </c>
      <c r="AD205" s="8">
        <f t="shared" si="92"/>
        <v>0</v>
      </c>
      <c r="AE205" s="8">
        <f t="shared" si="92"/>
        <v>45689</v>
      </c>
      <c r="AF205" s="8">
        <f t="shared" si="92"/>
        <v>0</v>
      </c>
      <c r="AG205" s="8">
        <f t="shared" si="92"/>
        <v>0</v>
      </c>
      <c r="AH205" s="8">
        <f t="shared" si="92"/>
        <v>45778</v>
      </c>
      <c r="AI205" s="8">
        <f t="shared" si="92"/>
        <v>0</v>
      </c>
      <c r="AJ205" s="8">
        <f t="shared" si="92"/>
        <v>0</v>
      </c>
      <c r="AK205" s="8">
        <f t="shared" si="92"/>
        <v>45870</v>
      </c>
      <c r="AL205" s="8">
        <f t="shared" si="92"/>
        <v>0</v>
      </c>
      <c r="AM205" s="8">
        <f t="shared" si="92"/>
        <v>0</v>
      </c>
      <c r="AN205" s="8">
        <f t="shared" si="92"/>
        <v>45962</v>
      </c>
      <c r="AO205" s="8">
        <f t="shared" si="92"/>
        <v>0</v>
      </c>
      <c r="AP205" s="8">
        <f t="shared" si="92"/>
        <v>0</v>
      </c>
      <c r="AQ205" s="8">
        <f t="shared" si="92"/>
        <v>46054</v>
      </c>
      <c r="AR205" s="8">
        <f t="shared" si="92"/>
        <v>0</v>
      </c>
      <c r="AS205" s="8">
        <f t="shared" si="92"/>
        <v>0</v>
      </c>
      <c r="AT205" s="8">
        <f t="shared" si="92"/>
        <v>46143</v>
      </c>
      <c r="AU205" s="8">
        <f t="shared" si="92"/>
        <v>0</v>
      </c>
      <c r="AV205" s="8">
        <f t="shared" si="92"/>
        <v>0</v>
      </c>
      <c r="AW205" s="8">
        <f t="shared" si="92"/>
        <v>46235</v>
      </c>
      <c r="AX205" s="8">
        <f t="shared" si="92"/>
        <v>0</v>
      </c>
      <c r="AY205" s="8">
        <f t="shared" si="92"/>
        <v>0</v>
      </c>
      <c r="AZ205" s="8">
        <f t="shared" si="92"/>
        <v>46327</v>
      </c>
      <c r="BA205" s="8">
        <f t="shared" si="92"/>
        <v>0</v>
      </c>
      <c r="BB205" s="8">
        <f t="shared" si="92"/>
        <v>0</v>
      </c>
      <c r="BC205" s="8">
        <f t="shared" si="92"/>
        <v>46419</v>
      </c>
      <c r="BD205" s="8">
        <f t="shared" si="92"/>
        <v>0</v>
      </c>
      <c r="BE205" s="8">
        <f t="shared" si="92"/>
        <v>0</v>
      </c>
      <c r="BF205" s="8">
        <f t="shared" si="92"/>
        <v>46508</v>
      </c>
      <c r="BG205" s="8">
        <f t="shared" si="92"/>
        <v>0</v>
      </c>
      <c r="BH205" s="8">
        <f t="shared" si="92"/>
        <v>0</v>
      </c>
      <c r="BI205" s="8">
        <f t="shared" si="92"/>
        <v>46600</v>
      </c>
      <c r="BJ205" s="8">
        <f t="shared" si="92"/>
        <v>0</v>
      </c>
      <c r="BK205" s="8">
        <f t="shared" si="92"/>
        <v>0</v>
      </c>
      <c r="BL205" s="8">
        <f t="shared" si="92"/>
        <v>46692</v>
      </c>
      <c r="BM205" s="8">
        <f t="shared" si="92"/>
        <v>0</v>
      </c>
      <c r="BN205" s="8">
        <f t="shared" si="92"/>
        <v>0</v>
      </c>
      <c r="BO205" s="8">
        <f t="shared" si="92"/>
        <v>46784</v>
      </c>
      <c r="BP205" s="8">
        <f t="shared" si="92"/>
        <v>0</v>
      </c>
      <c r="BQ205" s="8">
        <f t="shared" si="92"/>
        <v>0</v>
      </c>
    </row>
    <row r="206" spans="1:69" outlineLevel="1"/>
    <row r="207" spans="1:69" outlineLevel="1"/>
    <row r="208" spans="1:69" outlineLevel="1">
      <c r="B208" s="27" t="s">
        <v>237</v>
      </c>
    </row>
    <row r="209" spans="1:69" outlineLevel="2">
      <c r="A209" s="18"/>
      <c r="B209" s="18"/>
      <c r="C209" s="30"/>
      <c r="D209" s="31"/>
      <c r="E209" s="19" t="str">
        <f xml:space="preserve">  InpC!E$100</f>
        <v>Start date</v>
      </c>
      <c r="F209" s="19">
        <f xml:space="preserve">  InpC!F$100</f>
        <v>45047</v>
      </c>
      <c r="G209" s="19" t="str">
        <f xml:space="preserve">  InpC!G$100</f>
        <v>date</v>
      </c>
      <c r="M209" s="8"/>
    </row>
    <row r="210" spans="1:69" outlineLevel="2">
      <c r="E210" s="8" t="str">
        <f t="shared" ref="E210:BQ210" si="93" xml:space="preserve">  E$205</f>
        <v>Day in period Fixed Operating Cost Growth Rate escalation occurs</v>
      </c>
      <c r="F210" s="8">
        <f t="shared" si="93"/>
        <v>0</v>
      </c>
      <c r="G210" s="8" t="str">
        <f t="shared" si="93"/>
        <v>date</v>
      </c>
      <c r="H210" s="8">
        <f t="shared" si="93"/>
        <v>0</v>
      </c>
      <c r="I210" s="8">
        <f t="shared" si="93"/>
        <v>0</v>
      </c>
      <c r="J210" s="8">
        <f t="shared" si="93"/>
        <v>45047</v>
      </c>
      <c r="K210" s="8">
        <f t="shared" si="93"/>
        <v>0</v>
      </c>
      <c r="L210" s="8">
        <f t="shared" si="93"/>
        <v>0</v>
      </c>
      <c r="M210" s="8">
        <f t="shared" si="93"/>
        <v>45139</v>
      </c>
      <c r="N210" s="8">
        <f t="shared" si="93"/>
        <v>0</v>
      </c>
      <c r="O210" s="8">
        <f t="shared" si="93"/>
        <v>0</v>
      </c>
      <c r="P210" s="8">
        <f t="shared" si="93"/>
        <v>45231</v>
      </c>
      <c r="Q210" s="8">
        <f t="shared" si="93"/>
        <v>0</v>
      </c>
      <c r="R210" s="8">
        <f t="shared" si="93"/>
        <v>0</v>
      </c>
      <c r="S210" s="8">
        <f t="shared" si="93"/>
        <v>45323</v>
      </c>
      <c r="T210" s="8">
        <f t="shared" si="93"/>
        <v>0</v>
      </c>
      <c r="U210" s="8">
        <f t="shared" si="93"/>
        <v>0</v>
      </c>
      <c r="V210" s="8">
        <f t="shared" si="93"/>
        <v>45413</v>
      </c>
      <c r="W210" s="8">
        <f t="shared" si="93"/>
        <v>0</v>
      </c>
      <c r="X210" s="8">
        <f t="shared" si="93"/>
        <v>0</v>
      </c>
      <c r="Y210" s="8">
        <f t="shared" si="93"/>
        <v>45505</v>
      </c>
      <c r="Z210" s="8">
        <f t="shared" si="93"/>
        <v>0</v>
      </c>
      <c r="AA210" s="8">
        <f t="shared" si="93"/>
        <v>0</v>
      </c>
      <c r="AB210" s="8">
        <f t="shared" si="93"/>
        <v>45597</v>
      </c>
      <c r="AC210" s="8">
        <f t="shared" si="93"/>
        <v>0</v>
      </c>
      <c r="AD210" s="8">
        <f t="shared" si="93"/>
        <v>0</v>
      </c>
      <c r="AE210" s="8">
        <f t="shared" si="93"/>
        <v>45689</v>
      </c>
      <c r="AF210" s="8">
        <f t="shared" si="93"/>
        <v>0</v>
      </c>
      <c r="AG210" s="8">
        <f t="shared" si="93"/>
        <v>0</v>
      </c>
      <c r="AH210" s="8">
        <f t="shared" si="93"/>
        <v>45778</v>
      </c>
      <c r="AI210" s="8">
        <f t="shared" si="93"/>
        <v>0</v>
      </c>
      <c r="AJ210" s="8">
        <f t="shared" si="93"/>
        <v>0</v>
      </c>
      <c r="AK210" s="8">
        <f t="shared" si="93"/>
        <v>45870</v>
      </c>
      <c r="AL210" s="8">
        <f t="shared" si="93"/>
        <v>0</v>
      </c>
      <c r="AM210" s="8">
        <f t="shared" si="93"/>
        <v>0</v>
      </c>
      <c r="AN210" s="8">
        <f t="shared" si="93"/>
        <v>45962</v>
      </c>
      <c r="AO210" s="8">
        <f t="shared" si="93"/>
        <v>0</v>
      </c>
      <c r="AP210" s="8">
        <f t="shared" si="93"/>
        <v>0</v>
      </c>
      <c r="AQ210" s="8">
        <f t="shared" si="93"/>
        <v>46054</v>
      </c>
      <c r="AR210" s="8">
        <f t="shared" si="93"/>
        <v>0</v>
      </c>
      <c r="AS210" s="8">
        <f t="shared" si="93"/>
        <v>0</v>
      </c>
      <c r="AT210" s="8">
        <f t="shared" si="93"/>
        <v>46143</v>
      </c>
      <c r="AU210" s="8">
        <f t="shared" si="93"/>
        <v>0</v>
      </c>
      <c r="AV210" s="8">
        <f t="shared" si="93"/>
        <v>0</v>
      </c>
      <c r="AW210" s="8">
        <f t="shared" si="93"/>
        <v>46235</v>
      </c>
      <c r="AX210" s="8">
        <f t="shared" si="93"/>
        <v>0</v>
      </c>
      <c r="AY210" s="8">
        <f t="shared" si="93"/>
        <v>0</v>
      </c>
      <c r="AZ210" s="8">
        <f t="shared" si="93"/>
        <v>46327</v>
      </c>
      <c r="BA210" s="8">
        <f t="shared" si="93"/>
        <v>0</v>
      </c>
      <c r="BB210" s="8">
        <f t="shared" si="93"/>
        <v>0</v>
      </c>
      <c r="BC210" s="8">
        <f t="shared" si="93"/>
        <v>46419</v>
      </c>
      <c r="BD210" s="8">
        <f t="shared" si="93"/>
        <v>0</v>
      </c>
      <c r="BE210" s="8">
        <f t="shared" si="93"/>
        <v>0</v>
      </c>
      <c r="BF210" s="8">
        <f t="shared" si="93"/>
        <v>46508</v>
      </c>
      <c r="BG210" s="8">
        <f t="shared" si="93"/>
        <v>0</v>
      </c>
      <c r="BH210" s="8">
        <f t="shared" si="93"/>
        <v>0</v>
      </c>
      <c r="BI210" s="8">
        <f t="shared" si="93"/>
        <v>46600</v>
      </c>
      <c r="BJ210" s="8">
        <f t="shared" si="93"/>
        <v>0</v>
      </c>
      <c r="BK210" s="8">
        <f t="shared" si="93"/>
        <v>0</v>
      </c>
      <c r="BL210" s="8">
        <f t="shared" si="93"/>
        <v>46692</v>
      </c>
      <c r="BM210" s="8">
        <f t="shared" si="93"/>
        <v>0</v>
      </c>
      <c r="BN210" s="8">
        <f t="shared" si="93"/>
        <v>0</v>
      </c>
      <c r="BO210" s="8">
        <f t="shared" si="93"/>
        <v>46784</v>
      </c>
      <c r="BP210" s="8">
        <f t="shared" si="93"/>
        <v>0</v>
      </c>
      <c r="BQ210" s="8">
        <f t="shared" si="93"/>
        <v>0</v>
      </c>
    </row>
    <row r="211" spans="1:69" outlineLevel="2">
      <c r="E211" s="2" t="str">
        <f t="shared" ref="E211:BQ211" si="94" xml:space="preserve">  E$198</f>
        <v>Fixed Operating Cost Growth Rate escalation step up frequency flag</v>
      </c>
      <c r="F211" s="2">
        <f t="shared" si="94"/>
        <v>0</v>
      </c>
      <c r="G211" s="2" t="str">
        <f t="shared" si="94"/>
        <v>flag</v>
      </c>
      <c r="H211" s="2">
        <f t="shared" si="94"/>
        <v>20</v>
      </c>
      <c r="I211" s="2">
        <f t="shared" si="94"/>
        <v>0</v>
      </c>
      <c r="J211" s="2">
        <f t="shared" si="94"/>
        <v>1</v>
      </c>
      <c r="K211" s="2">
        <f t="shared" si="94"/>
        <v>0</v>
      </c>
      <c r="L211" s="2">
        <f t="shared" si="94"/>
        <v>0</v>
      </c>
      <c r="M211" s="2">
        <f t="shared" si="94"/>
        <v>1</v>
      </c>
      <c r="N211" s="2">
        <f t="shared" si="94"/>
        <v>0</v>
      </c>
      <c r="O211" s="2">
        <f t="shared" si="94"/>
        <v>0</v>
      </c>
      <c r="P211" s="2">
        <f t="shared" si="94"/>
        <v>1</v>
      </c>
      <c r="Q211" s="2">
        <f t="shared" si="94"/>
        <v>0</v>
      </c>
      <c r="R211" s="2">
        <f t="shared" si="94"/>
        <v>0</v>
      </c>
      <c r="S211" s="2">
        <f t="shared" si="94"/>
        <v>1</v>
      </c>
      <c r="T211" s="2">
        <f t="shared" si="94"/>
        <v>0</v>
      </c>
      <c r="U211" s="2">
        <f t="shared" si="94"/>
        <v>0</v>
      </c>
      <c r="V211" s="2">
        <f t="shared" si="94"/>
        <v>1</v>
      </c>
      <c r="W211" s="2">
        <f t="shared" si="94"/>
        <v>0</v>
      </c>
      <c r="X211" s="2">
        <f t="shared" si="94"/>
        <v>0</v>
      </c>
      <c r="Y211" s="2">
        <f t="shared" si="94"/>
        <v>1</v>
      </c>
      <c r="Z211" s="2">
        <f t="shared" si="94"/>
        <v>0</v>
      </c>
      <c r="AA211" s="2">
        <f t="shared" si="94"/>
        <v>0</v>
      </c>
      <c r="AB211" s="2">
        <f t="shared" si="94"/>
        <v>1</v>
      </c>
      <c r="AC211" s="2">
        <f t="shared" si="94"/>
        <v>0</v>
      </c>
      <c r="AD211" s="2">
        <f t="shared" si="94"/>
        <v>0</v>
      </c>
      <c r="AE211" s="2">
        <f t="shared" si="94"/>
        <v>1</v>
      </c>
      <c r="AF211" s="2">
        <f t="shared" si="94"/>
        <v>0</v>
      </c>
      <c r="AG211" s="2">
        <f t="shared" si="94"/>
        <v>0</v>
      </c>
      <c r="AH211" s="2">
        <f t="shared" si="94"/>
        <v>1</v>
      </c>
      <c r="AI211" s="2">
        <f t="shared" si="94"/>
        <v>0</v>
      </c>
      <c r="AJ211" s="2">
        <f t="shared" si="94"/>
        <v>0</v>
      </c>
      <c r="AK211" s="2">
        <f t="shared" si="94"/>
        <v>1</v>
      </c>
      <c r="AL211" s="2">
        <f t="shared" si="94"/>
        <v>0</v>
      </c>
      <c r="AM211" s="2">
        <f t="shared" si="94"/>
        <v>0</v>
      </c>
      <c r="AN211" s="2">
        <f t="shared" si="94"/>
        <v>1</v>
      </c>
      <c r="AO211" s="2">
        <f t="shared" si="94"/>
        <v>0</v>
      </c>
      <c r="AP211" s="2">
        <f t="shared" si="94"/>
        <v>0</v>
      </c>
      <c r="AQ211" s="2">
        <f t="shared" si="94"/>
        <v>1</v>
      </c>
      <c r="AR211" s="2">
        <f t="shared" si="94"/>
        <v>0</v>
      </c>
      <c r="AS211" s="2">
        <f t="shared" si="94"/>
        <v>0</v>
      </c>
      <c r="AT211" s="2">
        <f t="shared" si="94"/>
        <v>1</v>
      </c>
      <c r="AU211" s="2">
        <f t="shared" si="94"/>
        <v>0</v>
      </c>
      <c r="AV211" s="2">
        <f t="shared" si="94"/>
        <v>0</v>
      </c>
      <c r="AW211" s="2">
        <f t="shared" si="94"/>
        <v>1</v>
      </c>
      <c r="AX211" s="2">
        <f t="shared" si="94"/>
        <v>0</v>
      </c>
      <c r="AY211" s="2">
        <f t="shared" si="94"/>
        <v>0</v>
      </c>
      <c r="AZ211" s="2">
        <f t="shared" si="94"/>
        <v>1</v>
      </c>
      <c r="BA211" s="2">
        <f t="shared" si="94"/>
        <v>0</v>
      </c>
      <c r="BB211" s="2">
        <f t="shared" si="94"/>
        <v>0</v>
      </c>
      <c r="BC211" s="2">
        <f t="shared" si="94"/>
        <v>1</v>
      </c>
      <c r="BD211" s="2">
        <f t="shared" si="94"/>
        <v>0</v>
      </c>
      <c r="BE211" s="2">
        <f t="shared" si="94"/>
        <v>0</v>
      </c>
      <c r="BF211" s="2">
        <f t="shared" si="94"/>
        <v>1</v>
      </c>
      <c r="BG211" s="2">
        <f t="shared" si="94"/>
        <v>0</v>
      </c>
      <c r="BH211" s="2">
        <f t="shared" si="94"/>
        <v>0</v>
      </c>
      <c r="BI211" s="2">
        <f t="shared" si="94"/>
        <v>1</v>
      </c>
      <c r="BJ211" s="2">
        <f t="shared" si="94"/>
        <v>0</v>
      </c>
      <c r="BK211" s="2">
        <f t="shared" si="94"/>
        <v>0</v>
      </c>
      <c r="BL211" s="2">
        <f t="shared" si="94"/>
        <v>1</v>
      </c>
      <c r="BM211" s="2">
        <f t="shared" si="94"/>
        <v>0</v>
      </c>
      <c r="BN211" s="2">
        <f t="shared" si="94"/>
        <v>0</v>
      </c>
      <c r="BO211" s="2">
        <f t="shared" si="94"/>
        <v>1</v>
      </c>
      <c r="BP211" s="2">
        <f t="shared" si="94"/>
        <v>0</v>
      </c>
      <c r="BQ211" s="2">
        <f t="shared" si="94"/>
        <v>0</v>
      </c>
    </row>
    <row r="212" spans="1:69" outlineLevel="2">
      <c r="E212" s="46" t="s">
        <v>237</v>
      </c>
      <c r="H212" s="2">
        <f xml:space="preserve"> SUM( J212:BQ212 )</f>
        <v>47.569222418152265</v>
      </c>
      <c r="J212" s="2">
        <f t="shared" ref="J212:BQ212" si="95" xml:space="preserve">  YEARFRAC( $F209, J210, 1 ) * J211</f>
        <v>0</v>
      </c>
      <c r="K212" s="2">
        <f t="shared" si="95"/>
        <v>0</v>
      </c>
      <c r="L212" s="2">
        <f t="shared" si="95"/>
        <v>0</v>
      </c>
      <c r="M212" s="2">
        <f t="shared" si="95"/>
        <v>0.25205479452054796</v>
      </c>
      <c r="N212" s="2">
        <f t="shared" si="95"/>
        <v>0</v>
      </c>
      <c r="O212" s="2">
        <f t="shared" si="95"/>
        <v>0</v>
      </c>
      <c r="P212" s="2">
        <f t="shared" si="95"/>
        <v>0.50410958904109593</v>
      </c>
      <c r="Q212" s="2">
        <f t="shared" si="95"/>
        <v>0</v>
      </c>
      <c r="R212" s="2">
        <f t="shared" si="95"/>
        <v>0</v>
      </c>
      <c r="S212" s="2">
        <f t="shared" si="95"/>
        <v>0.75616438356164384</v>
      </c>
      <c r="T212" s="2">
        <f t="shared" si="95"/>
        <v>0</v>
      </c>
      <c r="U212" s="2">
        <f t="shared" si="95"/>
        <v>0</v>
      </c>
      <c r="V212" s="2">
        <f t="shared" si="95"/>
        <v>1</v>
      </c>
      <c r="W212" s="2">
        <f t="shared" si="95"/>
        <v>0</v>
      </c>
      <c r="X212" s="2">
        <f t="shared" si="95"/>
        <v>0</v>
      </c>
      <c r="Y212" s="2">
        <f t="shared" si="95"/>
        <v>1.2530779753761969</v>
      </c>
      <c r="Z212" s="2">
        <f t="shared" si="95"/>
        <v>0</v>
      </c>
      <c r="AA212" s="2">
        <f t="shared" si="95"/>
        <v>0</v>
      </c>
      <c r="AB212" s="2">
        <f t="shared" si="95"/>
        <v>1.5047879616963065</v>
      </c>
      <c r="AC212" s="2">
        <f t="shared" si="95"/>
        <v>0</v>
      </c>
      <c r="AD212" s="2">
        <f t="shared" si="95"/>
        <v>0</v>
      </c>
      <c r="AE212" s="2">
        <f t="shared" si="95"/>
        <v>1.7572992700729928</v>
      </c>
      <c r="AF212" s="2">
        <f t="shared" si="95"/>
        <v>0</v>
      </c>
      <c r="AG212" s="2">
        <f t="shared" si="95"/>
        <v>0</v>
      </c>
      <c r="AH212" s="2">
        <f t="shared" si="95"/>
        <v>2.0009124087591244</v>
      </c>
      <c r="AI212" s="2">
        <f t="shared" si="95"/>
        <v>0</v>
      </c>
      <c r="AJ212" s="2">
        <f t="shared" si="95"/>
        <v>0</v>
      </c>
      <c r="AK212" s="2">
        <f t="shared" si="95"/>
        <v>2.2527372262773722</v>
      </c>
      <c r="AL212" s="2">
        <f t="shared" si="95"/>
        <v>0</v>
      </c>
      <c r="AM212" s="2">
        <f t="shared" si="95"/>
        <v>0</v>
      </c>
      <c r="AN212" s="2">
        <f t="shared" si="95"/>
        <v>2.5045620437956204</v>
      </c>
      <c r="AO212" s="2">
        <f t="shared" si="95"/>
        <v>0</v>
      </c>
      <c r="AP212" s="2">
        <f t="shared" si="95"/>
        <v>0</v>
      </c>
      <c r="AQ212" s="2">
        <f t="shared" si="95"/>
        <v>2.7570157426420261</v>
      </c>
      <c r="AR212" s="2">
        <f t="shared" si="95"/>
        <v>0</v>
      </c>
      <c r="AS212" s="2">
        <f t="shared" si="95"/>
        <v>0</v>
      </c>
      <c r="AT212" s="2">
        <f t="shared" si="95"/>
        <v>3.0006844626967832</v>
      </c>
      <c r="AU212" s="2">
        <f t="shared" si="95"/>
        <v>0</v>
      </c>
      <c r="AV212" s="2">
        <f t="shared" si="95"/>
        <v>0</v>
      </c>
      <c r="AW212" s="2">
        <f t="shared" si="95"/>
        <v>3.2525667351129361</v>
      </c>
      <c r="AX212" s="2">
        <f t="shared" si="95"/>
        <v>0</v>
      </c>
      <c r="AY212" s="2">
        <f t="shared" si="95"/>
        <v>0</v>
      </c>
      <c r="AZ212" s="2">
        <f t="shared" si="95"/>
        <v>3.5044490075290895</v>
      </c>
      <c r="BA212" s="2">
        <f t="shared" si="95"/>
        <v>0</v>
      </c>
      <c r="BB212" s="2">
        <f t="shared" si="95"/>
        <v>0</v>
      </c>
      <c r="BC212" s="2">
        <f t="shared" si="95"/>
        <v>3.7568455640744798</v>
      </c>
      <c r="BD212" s="2">
        <f t="shared" si="95"/>
        <v>0</v>
      </c>
      <c r="BE212" s="2">
        <f t="shared" si="95"/>
        <v>0</v>
      </c>
      <c r="BF212" s="2">
        <f t="shared" si="95"/>
        <v>4.0005476451259581</v>
      </c>
      <c r="BG212" s="2">
        <f t="shared" si="95"/>
        <v>0</v>
      </c>
      <c r="BH212" s="2">
        <f t="shared" si="95"/>
        <v>0</v>
      </c>
      <c r="BI212" s="2">
        <f t="shared" si="95"/>
        <v>4.2524644030668126</v>
      </c>
      <c r="BJ212" s="2">
        <f t="shared" si="95"/>
        <v>0</v>
      </c>
      <c r="BK212" s="2">
        <f t="shared" si="95"/>
        <v>0</v>
      </c>
      <c r="BL212" s="2">
        <f t="shared" si="95"/>
        <v>4.5043811610076672</v>
      </c>
      <c r="BM212" s="2">
        <f t="shared" si="95"/>
        <v>0</v>
      </c>
      <c r="BN212" s="2">
        <f t="shared" si="95"/>
        <v>0</v>
      </c>
      <c r="BO212" s="2">
        <f t="shared" si="95"/>
        <v>4.7545620437956204</v>
      </c>
      <c r="BP212" s="2">
        <f t="shared" si="95"/>
        <v>0</v>
      </c>
      <c r="BQ212" s="2">
        <f t="shared" si="95"/>
        <v>0</v>
      </c>
    </row>
    <row r="213" spans="1:69" outlineLevel="1"/>
    <row r="214" spans="1:69" outlineLevel="1"/>
    <row r="215" spans="1:69" outlineLevel="1">
      <c r="B215" s="27" t="s">
        <v>55</v>
      </c>
    </row>
    <row r="216" spans="1:69" outlineLevel="2">
      <c r="A216" s="18"/>
      <c r="B216" s="18"/>
      <c r="C216" s="30"/>
      <c r="D216" s="31"/>
      <c r="E216" s="44" t="str">
        <f xml:space="preserve">  InpC!E$26</f>
        <v>Fixed Operating Cost Growth Rate annual start escalation rate</v>
      </c>
      <c r="F216" s="44">
        <f xml:space="preserve">  InpC!F$26</f>
        <v>0.1</v>
      </c>
      <c r="G216" s="44" t="str">
        <f xml:space="preserve">  InpC!G$26</f>
        <v>%</v>
      </c>
      <c r="M216" s="58"/>
    </row>
    <row r="217" spans="1:69" outlineLevel="2">
      <c r="E217" s="2" t="str">
        <f t="shared" ref="E217:BQ217" si="96" xml:space="preserve">  E$212</f>
        <v>years since Fixed Operating Cost Growth Rate base date</v>
      </c>
      <c r="F217" s="2">
        <f t="shared" si="96"/>
        <v>0</v>
      </c>
      <c r="G217" s="2">
        <f t="shared" si="96"/>
        <v>0</v>
      </c>
      <c r="H217" s="2">
        <f t="shared" si="96"/>
        <v>47.569222418152265</v>
      </c>
      <c r="I217" s="2">
        <f t="shared" si="96"/>
        <v>0</v>
      </c>
      <c r="J217" s="2">
        <f t="shared" si="96"/>
        <v>0</v>
      </c>
      <c r="K217" s="2">
        <f t="shared" si="96"/>
        <v>0</v>
      </c>
      <c r="L217" s="2">
        <f t="shared" si="96"/>
        <v>0</v>
      </c>
      <c r="M217" s="2">
        <f t="shared" si="96"/>
        <v>0.25205479452054796</v>
      </c>
      <c r="N217" s="2">
        <f t="shared" si="96"/>
        <v>0</v>
      </c>
      <c r="O217" s="2">
        <f t="shared" si="96"/>
        <v>0</v>
      </c>
      <c r="P217" s="2">
        <f t="shared" si="96"/>
        <v>0.50410958904109593</v>
      </c>
      <c r="Q217" s="2">
        <f t="shared" si="96"/>
        <v>0</v>
      </c>
      <c r="R217" s="2">
        <f t="shared" si="96"/>
        <v>0</v>
      </c>
      <c r="S217" s="2">
        <f t="shared" si="96"/>
        <v>0.75616438356164384</v>
      </c>
      <c r="T217" s="2">
        <f t="shared" si="96"/>
        <v>0</v>
      </c>
      <c r="U217" s="2">
        <f t="shared" si="96"/>
        <v>0</v>
      </c>
      <c r="V217" s="2">
        <f t="shared" si="96"/>
        <v>1</v>
      </c>
      <c r="W217" s="2">
        <f t="shared" si="96"/>
        <v>0</v>
      </c>
      <c r="X217" s="2">
        <f t="shared" si="96"/>
        <v>0</v>
      </c>
      <c r="Y217" s="2">
        <f t="shared" si="96"/>
        <v>1.2530779753761969</v>
      </c>
      <c r="Z217" s="2">
        <f t="shared" si="96"/>
        <v>0</v>
      </c>
      <c r="AA217" s="2">
        <f t="shared" si="96"/>
        <v>0</v>
      </c>
      <c r="AB217" s="2">
        <f t="shared" si="96"/>
        <v>1.5047879616963065</v>
      </c>
      <c r="AC217" s="2">
        <f t="shared" si="96"/>
        <v>0</v>
      </c>
      <c r="AD217" s="2">
        <f t="shared" si="96"/>
        <v>0</v>
      </c>
      <c r="AE217" s="2">
        <f t="shared" si="96"/>
        <v>1.7572992700729928</v>
      </c>
      <c r="AF217" s="2">
        <f t="shared" si="96"/>
        <v>0</v>
      </c>
      <c r="AG217" s="2">
        <f t="shared" si="96"/>
        <v>0</v>
      </c>
      <c r="AH217" s="2">
        <f t="shared" si="96"/>
        <v>2.0009124087591244</v>
      </c>
      <c r="AI217" s="2">
        <f t="shared" si="96"/>
        <v>0</v>
      </c>
      <c r="AJ217" s="2">
        <f t="shared" si="96"/>
        <v>0</v>
      </c>
      <c r="AK217" s="2">
        <f t="shared" si="96"/>
        <v>2.2527372262773722</v>
      </c>
      <c r="AL217" s="2">
        <f t="shared" si="96"/>
        <v>0</v>
      </c>
      <c r="AM217" s="2">
        <f t="shared" si="96"/>
        <v>0</v>
      </c>
      <c r="AN217" s="2">
        <f t="shared" si="96"/>
        <v>2.5045620437956204</v>
      </c>
      <c r="AO217" s="2">
        <f t="shared" si="96"/>
        <v>0</v>
      </c>
      <c r="AP217" s="2">
        <f t="shared" si="96"/>
        <v>0</v>
      </c>
      <c r="AQ217" s="2">
        <f t="shared" si="96"/>
        <v>2.7570157426420261</v>
      </c>
      <c r="AR217" s="2">
        <f t="shared" si="96"/>
        <v>0</v>
      </c>
      <c r="AS217" s="2">
        <f t="shared" si="96"/>
        <v>0</v>
      </c>
      <c r="AT217" s="2">
        <f t="shared" si="96"/>
        <v>3.0006844626967832</v>
      </c>
      <c r="AU217" s="2">
        <f t="shared" si="96"/>
        <v>0</v>
      </c>
      <c r="AV217" s="2">
        <f t="shared" si="96"/>
        <v>0</v>
      </c>
      <c r="AW217" s="2">
        <f t="shared" si="96"/>
        <v>3.2525667351129361</v>
      </c>
      <c r="AX217" s="2">
        <f t="shared" si="96"/>
        <v>0</v>
      </c>
      <c r="AY217" s="2">
        <f t="shared" si="96"/>
        <v>0</v>
      </c>
      <c r="AZ217" s="2">
        <f t="shared" si="96"/>
        <v>3.5044490075290895</v>
      </c>
      <c r="BA217" s="2">
        <f t="shared" si="96"/>
        <v>0</v>
      </c>
      <c r="BB217" s="2">
        <f t="shared" si="96"/>
        <v>0</v>
      </c>
      <c r="BC217" s="2">
        <f t="shared" si="96"/>
        <v>3.7568455640744798</v>
      </c>
      <c r="BD217" s="2">
        <f t="shared" si="96"/>
        <v>0</v>
      </c>
      <c r="BE217" s="2">
        <f t="shared" si="96"/>
        <v>0</v>
      </c>
      <c r="BF217" s="2">
        <f t="shared" si="96"/>
        <v>4.0005476451259581</v>
      </c>
      <c r="BG217" s="2">
        <f t="shared" si="96"/>
        <v>0</v>
      </c>
      <c r="BH217" s="2">
        <f t="shared" si="96"/>
        <v>0</v>
      </c>
      <c r="BI217" s="2">
        <f t="shared" si="96"/>
        <v>4.2524644030668126</v>
      </c>
      <c r="BJ217" s="2">
        <f t="shared" si="96"/>
        <v>0</v>
      </c>
      <c r="BK217" s="2">
        <f t="shared" si="96"/>
        <v>0</v>
      </c>
      <c r="BL217" s="2">
        <f t="shared" si="96"/>
        <v>4.5043811610076672</v>
      </c>
      <c r="BM217" s="2">
        <f t="shared" si="96"/>
        <v>0</v>
      </c>
      <c r="BN217" s="2">
        <f t="shared" si="96"/>
        <v>0</v>
      </c>
      <c r="BO217" s="2">
        <f t="shared" si="96"/>
        <v>4.7545620437956204</v>
      </c>
      <c r="BP217" s="2">
        <f t="shared" si="96"/>
        <v>0</v>
      </c>
      <c r="BQ217" s="2">
        <f t="shared" si="96"/>
        <v>0</v>
      </c>
    </row>
    <row r="218" spans="1:69" outlineLevel="2">
      <c r="E218" s="2" t="str">
        <f t="shared" ref="E218:BQ218" si="97" xml:space="preserve">  E$171</f>
        <v>Fixed Operating Cost Growth Rate escalation duration flag</v>
      </c>
      <c r="F218" s="2">
        <f t="shared" si="97"/>
        <v>0</v>
      </c>
      <c r="G218" s="2" t="str">
        <f t="shared" si="97"/>
        <v>flag</v>
      </c>
      <c r="H218" s="2">
        <f t="shared" si="97"/>
        <v>60</v>
      </c>
      <c r="I218" s="2">
        <f t="shared" si="97"/>
        <v>0</v>
      </c>
      <c r="J218" s="2">
        <f t="shared" si="97"/>
        <v>1</v>
      </c>
      <c r="K218" s="2">
        <f t="shared" si="97"/>
        <v>1</v>
      </c>
      <c r="L218" s="2">
        <f t="shared" si="97"/>
        <v>1</v>
      </c>
      <c r="M218" s="2">
        <f t="shared" si="97"/>
        <v>1</v>
      </c>
      <c r="N218" s="2">
        <f t="shared" si="97"/>
        <v>1</v>
      </c>
      <c r="O218" s="2">
        <f t="shared" si="97"/>
        <v>1</v>
      </c>
      <c r="P218" s="2">
        <f t="shared" si="97"/>
        <v>1</v>
      </c>
      <c r="Q218" s="2">
        <f t="shared" si="97"/>
        <v>1</v>
      </c>
      <c r="R218" s="2">
        <f t="shared" si="97"/>
        <v>1</v>
      </c>
      <c r="S218" s="2">
        <f t="shared" si="97"/>
        <v>1</v>
      </c>
      <c r="T218" s="2">
        <f t="shared" si="97"/>
        <v>1</v>
      </c>
      <c r="U218" s="2">
        <f t="shared" si="97"/>
        <v>1</v>
      </c>
      <c r="V218" s="2">
        <f t="shared" si="97"/>
        <v>1</v>
      </c>
      <c r="W218" s="2">
        <f t="shared" si="97"/>
        <v>1</v>
      </c>
      <c r="X218" s="2">
        <f t="shared" si="97"/>
        <v>1</v>
      </c>
      <c r="Y218" s="2">
        <f t="shared" si="97"/>
        <v>1</v>
      </c>
      <c r="Z218" s="2">
        <f t="shared" si="97"/>
        <v>1</v>
      </c>
      <c r="AA218" s="2">
        <f t="shared" si="97"/>
        <v>1</v>
      </c>
      <c r="AB218" s="2">
        <f t="shared" si="97"/>
        <v>1</v>
      </c>
      <c r="AC218" s="2">
        <f t="shared" si="97"/>
        <v>1</v>
      </c>
      <c r="AD218" s="2">
        <f t="shared" si="97"/>
        <v>1</v>
      </c>
      <c r="AE218" s="2">
        <f t="shared" si="97"/>
        <v>1</v>
      </c>
      <c r="AF218" s="2">
        <f t="shared" si="97"/>
        <v>1</v>
      </c>
      <c r="AG218" s="2">
        <f t="shared" si="97"/>
        <v>1</v>
      </c>
      <c r="AH218" s="2">
        <f t="shared" si="97"/>
        <v>1</v>
      </c>
      <c r="AI218" s="2">
        <f t="shared" si="97"/>
        <v>1</v>
      </c>
      <c r="AJ218" s="2">
        <f t="shared" si="97"/>
        <v>1</v>
      </c>
      <c r="AK218" s="2">
        <f t="shared" si="97"/>
        <v>1</v>
      </c>
      <c r="AL218" s="2">
        <f t="shared" si="97"/>
        <v>1</v>
      </c>
      <c r="AM218" s="2">
        <f t="shared" si="97"/>
        <v>1</v>
      </c>
      <c r="AN218" s="2">
        <f t="shared" si="97"/>
        <v>1</v>
      </c>
      <c r="AO218" s="2">
        <f t="shared" si="97"/>
        <v>1</v>
      </c>
      <c r="AP218" s="2">
        <f t="shared" si="97"/>
        <v>1</v>
      </c>
      <c r="AQ218" s="2">
        <f t="shared" si="97"/>
        <v>1</v>
      </c>
      <c r="AR218" s="2">
        <f t="shared" si="97"/>
        <v>1</v>
      </c>
      <c r="AS218" s="2">
        <f t="shared" si="97"/>
        <v>1</v>
      </c>
      <c r="AT218" s="2">
        <f t="shared" si="97"/>
        <v>1</v>
      </c>
      <c r="AU218" s="2">
        <f t="shared" si="97"/>
        <v>1</v>
      </c>
      <c r="AV218" s="2">
        <f t="shared" si="97"/>
        <v>1</v>
      </c>
      <c r="AW218" s="2">
        <f t="shared" si="97"/>
        <v>1</v>
      </c>
      <c r="AX218" s="2">
        <f t="shared" si="97"/>
        <v>1</v>
      </c>
      <c r="AY218" s="2">
        <f t="shared" si="97"/>
        <v>1</v>
      </c>
      <c r="AZ218" s="2">
        <f t="shared" si="97"/>
        <v>1</v>
      </c>
      <c r="BA218" s="2">
        <f t="shared" si="97"/>
        <v>1</v>
      </c>
      <c r="BB218" s="2">
        <f t="shared" si="97"/>
        <v>1</v>
      </c>
      <c r="BC218" s="2">
        <f t="shared" si="97"/>
        <v>1</v>
      </c>
      <c r="BD218" s="2">
        <f t="shared" si="97"/>
        <v>1</v>
      </c>
      <c r="BE218" s="2">
        <f t="shared" si="97"/>
        <v>1</v>
      </c>
      <c r="BF218" s="2">
        <f t="shared" si="97"/>
        <v>1</v>
      </c>
      <c r="BG218" s="2">
        <f t="shared" si="97"/>
        <v>1</v>
      </c>
      <c r="BH218" s="2">
        <f t="shared" si="97"/>
        <v>1</v>
      </c>
      <c r="BI218" s="2">
        <f t="shared" si="97"/>
        <v>1</v>
      </c>
      <c r="BJ218" s="2">
        <f t="shared" si="97"/>
        <v>1</v>
      </c>
      <c r="BK218" s="2">
        <f t="shared" si="97"/>
        <v>1</v>
      </c>
      <c r="BL218" s="2">
        <f t="shared" si="97"/>
        <v>1</v>
      </c>
      <c r="BM218" s="2">
        <f t="shared" si="97"/>
        <v>1</v>
      </c>
      <c r="BN218" s="2">
        <f t="shared" si="97"/>
        <v>1</v>
      </c>
      <c r="BO218" s="2">
        <f t="shared" si="97"/>
        <v>1</v>
      </c>
      <c r="BP218" s="2">
        <f t="shared" si="97"/>
        <v>1</v>
      </c>
      <c r="BQ218" s="2">
        <f t="shared" si="97"/>
        <v>1</v>
      </c>
    </row>
    <row r="219" spans="1:69" outlineLevel="2">
      <c r="E219" s="2" t="str">
        <f t="shared" ref="E219:BQ219" si="98" xml:space="preserve">  E$198</f>
        <v>Fixed Operating Cost Growth Rate escalation step up frequency flag</v>
      </c>
      <c r="F219" s="2">
        <f t="shared" si="98"/>
        <v>0</v>
      </c>
      <c r="G219" s="2" t="str">
        <f t="shared" si="98"/>
        <v>flag</v>
      </c>
      <c r="H219" s="2">
        <f t="shared" si="98"/>
        <v>20</v>
      </c>
      <c r="I219" s="2">
        <f t="shared" si="98"/>
        <v>0</v>
      </c>
      <c r="J219" s="2">
        <f t="shared" si="98"/>
        <v>1</v>
      </c>
      <c r="K219" s="2">
        <f t="shared" si="98"/>
        <v>0</v>
      </c>
      <c r="L219" s="2">
        <f t="shared" si="98"/>
        <v>0</v>
      </c>
      <c r="M219" s="2">
        <f t="shared" si="98"/>
        <v>1</v>
      </c>
      <c r="N219" s="2">
        <f t="shared" si="98"/>
        <v>0</v>
      </c>
      <c r="O219" s="2">
        <f t="shared" si="98"/>
        <v>0</v>
      </c>
      <c r="P219" s="2">
        <f t="shared" si="98"/>
        <v>1</v>
      </c>
      <c r="Q219" s="2">
        <f t="shared" si="98"/>
        <v>0</v>
      </c>
      <c r="R219" s="2">
        <f t="shared" si="98"/>
        <v>0</v>
      </c>
      <c r="S219" s="2">
        <f t="shared" si="98"/>
        <v>1</v>
      </c>
      <c r="T219" s="2">
        <f t="shared" si="98"/>
        <v>0</v>
      </c>
      <c r="U219" s="2">
        <f t="shared" si="98"/>
        <v>0</v>
      </c>
      <c r="V219" s="2">
        <f t="shared" si="98"/>
        <v>1</v>
      </c>
      <c r="W219" s="2">
        <f t="shared" si="98"/>
        <v>0</v>
      </c>
      <c r="X219" s="2">
        <f t="shared" si="98"/>
        <v>0</v>
      </c>
      <c r="Y219" s="2">
        <f t="shared" si="98"/>
        <v>1</v>
      </c>
      <c r="Z219" s="2">
        <f t="shared" si="98"/>
        <v>0</v>
      </c>
      <c r="AA219" s="2">
        <f t="shared" si="98"/>
        <v>0</v>
      </c>
      <c r="AB219" s="2">
        <f t="shared" si="98"/>
        <v>1</v>
      </c>
      <c r="AC219" s="2">
        <f t="shared" si="98"/>
        <v>0</v>
      </c>
      <c r="AD219" s="2">
        <f t="shared" si="98"/>
        <v>0</v>
      </c>
      <c r="AE219" s="2">
        <f t="shared" si="98"/>
        <v>1</v>
      </c>
      <c r="AF219" s="2">
        <f t="shared" si="98"/>
        <v>0</v>
      </c>
      <c r="AG219" s="2">
        <f t="shared" si="98"/>
        <v>0</v>
      </c>
      <c r="AH219" s="2">
        <f t="shared" si="98"/>
        <v>1</v>
      </c>
      <c r="AI219" s="2">
        <f t="shared" si="98"/>
        <v>0</v>
      </c>
      <c r="AJ219" s="2">
        <f t="shared" si="98"/>
        <v>0</v>
      </c>
      <c r="AK219" s="2">
        <f t="shared" si="98"/>
        <v>1</v>
      </c>
      <c r="AL219" s="2">
        <f t="shared" si="98"/>
        <v>0</v>
      </c>
      <c r="AM219" s="2">
        <f t="shared" si="98"/>
        <v>0</v>
      </c>
      <c r="AN219" s="2">
        <f t="shared" si="98"/>
        <v>1</v>
      </c>
      <c r="AO219" s="2">
        <f t="shared" si="98"/>
        <v>0</v>
      </c>
      <c r="AP219" s="2">
        <f t="shared" si="98"/>
        <v>0</v>
      </c>
      <c r="AQ219" s="2">
        <f t="shared" si="98"/>
        <v>1</v>
      </c>
      <c r="AR219" s="2">
        <f t="shared" si="98"/>
        <v>0</v>
      </c>
      <c r="AS219" s="2">
        <f t="shared" si="98"/>
        <v>0</v>
      </c>
      <c r="AT219" s="2">
        <f t="shared" si="98"/>
        <v>1</v>
      </c>
      <c r="AU219" s="2">
        <f t="shared" si="98"/>
        <v>0</v>
      </c>
      <c r="AV219" s="2">
        <f t="shared" si="98"/>
        <v>0</v>
      </c>
      <c r="AW219" s="2">
        <f t="shared" si="98"/>
        <v>1</v>
      </c>
      <c r="AX219" s="2">
        <f t="shared" si="98"/>
        <v>0</v>
      </c>
      <c r="AY219" s="2">
        <f t="shared" si="98"/>
        <v>0</v>
      </c>
      <c r="AZ219" s="2">
        <f t="shared" si="98"/>
        <v>1</v>
      </c>
      <c r="BA219" s="2">
        <f t="shared" si="98"/>
        <v>0</v>
      </c>
      <c r="BB219" s="2">
        <f t="shared" si="98"/>
        <v>0</v>
      </c>
      <c r="BC219" s="2">
        <f t="shared" si="98"/>
        <v>1</v>
      </c>
      <c r="BD219" s="2">
        <f t="shared" si="98"/>
        <v>0</v>
      </c>
      <c r="BE219" s="2">
        <f t="shared" si="98"/>
        <v>0</v>
      </c>
      <c r="BF219" s="2">
        <f t="shared" si="98"/>
        <v>1</v>
      </c>
      <c r="BG219" s="2">
        <f t="shared" si="98"/>
        <v>0</v>
      </c>
      <c r="BH219" s="2">
        <f t="shared" si="98"/>
        <v>0</v>
      </c>
      <c r="BI219" s="2">
        <f t="shared" si="98"/>
        <v>1</v>
      </c>
      <c r="BJ219" s="2">
        <f t="shared" si="98"/>
        <v>0</v>
      </c>
      <c r="BK219" s="2">
        <f t="shared" si="98"/>
        <v>0</v>
      </c>
      <c r="BL219" s="2">
        <f t="shared" si="98"/>
        <v>1</v>
      </c>
      <c r="BM219" s="2">
        <f t="shared" si="98"/>
        <v>0</v>
      </c>
      <c r="BN219" s="2">
        <f t="shared" si="98"/>
        <v>0</v>
      </c>
      <c r="BO219" s="2">
        <f t="shared" si="98"/>
        <v>1</v>
      </c>
      <c r="BP219" s="2">
        <f t="shared" si="98"/>
        <v>0</v>
      </c>
      <c r="BQ219" s="2">
        <f t="shared" si="98"/>
        <v>0</v>
      </c>
    </row>
    <row r="220" spans="1:69" outlineLevel="2">
      <c r="A220" s="36"/>
      <c r="B220" s="36"/>
      <c r="C220" s="65"/>
      <c r="D220" s="64"/>
      <c r="E220" s="21" t="s">
        <v>55</v>
      </c>
      <c r="F220" s="21"/>
      <c r="G220" s="21" t="s">
        <v>39</v>
      </c>
      <c r="H220" s="21"/>
      <c r="I220" s="21"/>
      <c r="J220" s="25">
        <f t="shared" ref="J220:BQ220" si="99" xml:space="preserve">  IF( J218 = 0, 1, IF( J219 = 1, ( 1 + $F216 ) ^ J217, I220 ) )</f>
        <v>1</v>
      </c>
      <c r="K220" s="25">
        <f t="shared" si="99"/>
        <v>1</v>
      </c>
      <c r="L220" s="25">
        <f t="shared" si="99"/>
        <v>1</v>
      </c>
      <c r="M220" s="25">
        <f t="shared" si="99"/>
        <v>1.0243142740538207</v>
      </c>
      <c r="N220" s="25">
        <f t="shared" si="99"/>
        <v>1.0243142740538207</v>
      </c>
      <c r="O220" s="25">
        <f t="shared" si="99"/>
        <v>1.0243142740538207</v>
      </c>
      <c r="P220" s="25">
        <f t="shared" si="99"/>
        <v>1.0492197320304057</v>
      </c>
      <c r="Q220" s="25">
        <f t="shared" si="99"/>
        <v>1.0492197320304057</v>
      </c>
      <c r="R220" s="25">
        <f t="shared" si="99"/>
        <v>1.0492197320304057</v>
      </c>
      <c r="S220" s="25">
        <f t="shared" si="99"/>
        <v>1.0747307481376693</v>
      </c>
      <c r="T220" s="25">
        <f t="shared" si="99"/>
        <v>1.0747307481376693</v>
      </c>
      <c r="U220" s="25">
        <f t="shared" si="99"/>
        <v>1.0747307481376693</v>
      </c>
      <c r="V220" s="25">
        <f t="shared" si="99"/>
        <v>1.1000000000000001</v>
      </c>
      <c r="W220" s="25">
        <f t="shared" si="99"/>
        <v>1.1000000000000001</v>
      </c>
      <c r="X220" s="25">
        <f t="shared" si="99"/>
        <v>1.1000000000000001</v>
      </c>
      <c r="Y220" s="25">
        <f t="shared" si="99"/>
        <v>1.1268555865523511</v>
      </c>
      <c r="Z220" s="25">
        <f t="shared" si="99"/>
        <v>1.1268555865523511</v>
      </c>
      <c r="AA220" s="25">
        <f t="shared" si="99"/>
        <v>1.1268555865523511</v>
      </c>
      <c r="AB220" s="25">
        <f t="shared" si="99"/>
        <v>1.1542163296239218</v>
      </c>
      <c r="AC220" s="25">
        <f t="shared" si="99"/>
        <v>1.1542163296239218</v>
      </c>
      <c r="AD220" s="25">
        <f t="shared" si="99"/>
        <v>1.1542163296239218</v>
      </c>
      <c r="AE220" s="25">
        <f t="shared" si="99"/>
        <v>1.1823317044069723</v>
      </c>
      <c r="AF220" s="25">
        <f t="shared" si="99"/>
        <v>1.1823317044069723</v>
      </c>
      <c r="AG220" s="25">
        <f t="shared" si="99"/>
        <v>1.1823317044069723</v>
      </c>
      <c r="AH220" s="25">
        <f t="shared" si="99"/>
        <v>1.2101052284052554</v>
      </c>
      <c r="AI220" s="25">
        <f t="shared" si="99"/>
        <v>1.2101052284052554</v>
      </c>
      <c r="AJ220" s="25">
        <f t="shared" si="99"/>
        <v>1.2101052284052554</v>
      </c>
      <c r="AK220" s="25">
        <f t="shared" si="99"/>
        <v>1.2395008894596742</v>
      </c>
      <c r="AL220" s="25">
        <f t="shared" si="99"/>
        <v>1.2395008894596742</v>
      </c>
      <c r="AM220" s="25">
        <f t="shared" si="99"/>
        <v>1.2395008894596742</v>
      </c>
      <c r="AN220" s="25">
        <f t="shared" si="99"/>
        <v>1.2696106246859442</v>
      </c>
      <c r="AO220" s="25">
        <f t="shared" si="99"/>
        <v>1.2696106246859442</v>
      </c>
      <c r="AP220" s="25">
        <f t="shared" si="99"/>
        <v>1.2696106246859442</v>
      </c>
      <c r="AQ220" s="25">
        <f t="shared" si="99"/>
        <v>1.3005297300923371</v>
      </c>
      <c r="AR220" s="25">
        <f t="shared" si="99"/>
        <v>1.3005297300923371</v>
      </c>
      <c r="AS220" s="25">
        <f t="shared" si="99"/>
        <v>1.3005297300923371</v>
      </c>
      <c r="AT220" s="25">
        <f t="shared" si="99"/>
        <v>1.3310868322979301</v>
      </c>
      <c r="AU220" s="25">
        <f t="shared" si="99"/>
        <v>1.3310868322979301</v>
      </c>
      <c r="AV220" s="25">
        <f t="shared" si="99"/>
        <v>1.3310868322979301</v>
      </c>
      <c r="AW220" s="25">
        <f t="shared" si="99"/>
        <v>1.3634288231296141</v>
      </c>
      <c r="AX220" s="25">
        <f t="shared" si="99"/>
        <v>1.3634288231296141</v>
      </c>
      <c r="AY220" s="25">
        <f t="shared" si="99"/>
        <v>1.3634288231296141</v>
      </c>
      <c r="AZ220" s="25">
        <f t="shared" si="99"/>
        <v>1.396556641260897</v>
      </c>
      <c r="BA220" s="25">
        <f t="shared" si="99"/>
        <v>1.396556641260897</v>
      </c>
      <c r="BB220" s="25">
        <f t="shared" si="99"/>
        <v>1.396556641260897</v>
      </c>
      <c r="BC220" s="25">
        <f t="shared" si="99"/>
        <v>1.4305594995961339</v>
      </c>
      <c r="BD220" s="25">
        <f t="shared" si="99"/>
        <v>1.4305594995961339</v>
      </c>
      <c r="BE220" s="25">
        <f t="shared" si="99"/>
        <v>1.4305594995961339</v>
      </c>
      <c r="BF220" s="25">
        <f t="shared" si="99"/>
        <v>1.4641764223856168</v>
      </c>
      <c r="BG220" s="25">
        <f t="shared" si="99"/>
        <v>1.4641764223856168</v>
      </c>
      <c r="BH220" s="25">
        <f t="shared" si="99"/>
        <v>1.4641764223856168</v>
      </c>
      <c r="BI220" s="25">
        <f t="shared" si="99"/>
        <v>1.4997570778119578</v>
      </c>
      <c r="BJ220" s="25">
        <f t="shared" si="99"/>
        <v>1.4997570778119578</v>
      </c>
      <c r="BK220" s="25">
        <f t="shared" si="99"/>
        <v>1.4997570778119578</v>
      </c>
      <c r="BL220" s="25">
        <f t="shared" si="99"/>
        <v>1.5362023715572966</v>
      </c>
      <c r="BM220" s="25">
        <f t="shared" si="99"/>
        <v>1.5362023715572966</v>
      </c>
      <c r="BN220" s="25">
        <f t="shared" si="99"/>
        <v>1.5362023715572966</v>
      </c>
      <c r="BO220" s="25">
        <f t="shared" si="99"/>
        <v>1.5732730008629947</v>
      </c>
      <c r="BP220" s="25">
        <f t="shared" si="99"/>
        <v>1.5732730008629947</v>
      </c>
      <c r="BQ220" s="25">
        <f t="shared" si="99"/>
        <v>1.5732730008629947</v>
      </c>
    </row>
    <row r="221" spans="1:69" outlineLevel="1"/>
    <row r="223" spans="1:69">
      <c r="A223" s="27" t="s">
        <v>56</v>
      </c>
    </row>
    <row r="224" spans="1:69" outlineLevel="1">
      <c r="B224" s="27" t="s">
        <v>9</v>
      </c>
    </row>
    <row r="225" spans="1:69" outlineLevel="2">
      <c r="A225" s="18"/>
      <c r="B225" s="18"/>
      <c r="C225" s="30"/>
      <c r="D225" s="31"/>
      <c r="E225" s="19" t="str">
        <f xml:space="preserve">  InpC!E$67</f>
        <v>Supply Chain Finance enabled beginning date</v>
      </c>
      <c r="F225" s="19">
        <f xml:space="preserve">  InpC!F$67</f>
        <v>0</v>
      </c>
      <c r="G225" s="19" t="str">
        <f xml:space="preserve">  InpC!G$67</f>
        <v>date</v>
      </c>
      <c r="M225" s="8"/>
    </row>
    <row r="226" spans="1:69" outlineLevel="2">
      <c r="A226" s="18"/>
      <c r="B226" s="18"/>
      <c r="C226" s="30"/>
      <c r="D226" s="31"/>
      <c r="E226" s="19" t="str">
        <f xml:space="preserve">  InpC!E$66</f>
        <v>Supply Chain Finance enabled end date</v>
      </c>
      <c r="F226" s="19">
        <f xml:space="preserve">  InpC!F$66</f>
        <v>0</v>
      </c>
      <c r="G226" s="19" t="str">
        <f xml:space="preserve">  InpC!G$66</f>
        <v>date</v>
      </c>
      <c r="M226" s="8"/>
    </row>
    <row r="227" spans="1:69" outlineLevel="2">
      <c r="E227" s="8" t="str">
        <f t="shared" ref="E227:BQ227" si="100" xml:space="preserve">  E$19</f>
        <v>Model period end</v>
      </c>
      <c r="F227" s="8">
        <f t="shared" si="100"/>
        <v>0</v>
      </c>
      <c r="G227" s="8" t="str">
        <f t="shared" si="100"/>
        <v>date</v>
      </c>
      <c r="H227" s="8">
        <f t="shared" si="100"/>
        <v>0</v>
      </c>
      <c r="I227" s="8">
        <f t="shared" si="100"/>
        <v>0</v>
      </c>
      <c r="J227" s="8">
        <f t="shared" si="100"/>
        <v>45077</v>
      </c>
      <c r="K227" s="8">
        <f t="shared" si="100"/>
        <v>45107</v>
      </c>
      <c r="L227" s="8">
        <f t="shared" si="100"/>
        <v>45138</v>
      </c>
      <c r="M227" s="8">
        <f t="shared" si="100"/>
        <v>45169</v>
      </c>
      <c r="N227" s="8">
        <f t="shared" si="100"/>
        <v>45199</v>
      </c>
      <c r="O227" s="8">
        <f t="shared" si="100"/>
        <v>45230</v>
      </c>
      <c r="P227" s="8">
        <f t="shared" si="100"/>
        <v>45260</v>
      </c>
      <c r="Q227" s="8">
        <f t="shared" si="100"/>
        <v>45291</v>
      </c>
      <c r="R227" s="8">
        <f t="shared" si="100"/>
        <v>45322</v>
      </c>
      <c r="S227" s="8">
        <f t="shared" si="100"/>
        <v>45351</v>
      </c>
      <c r="T227" s="8">
        <f t="shared" si="100"/>
        <v>45382</v>
      </c>
      <c r="U227" s="8">
        <f t="shared" si="100"/>
        <v>45412</v>
      </c>
      <c r="V227" s="8">
        <f t="shared" si="100"/>
        <v>45443</v>
      </c>
      <c r="W227" s="8">
        <f t="shared" si="100"/>
        <v>45473</v>
      </c>
      <c r="X227" s="8">
        <f t="shared" si="100"/>
        <v>45504</v>
      </c>
      <c r="Y227" s="8">
        <f t="shared" si="100"/>
        <v>45535</v>
      </c>
      <c r="Z227" s="8">
        <f t="shared" si="100"/>
        <v>45565</v>
      </c>
      <c r="AA227" s="8">
        <f t="shared" si="100"/>
        <v>45596</v>
      </c>
      <c r="AB227" s="8">
        <f t="shared" si="100"/>
        <v>45626</v>
      </c>
      <c r="AC227" s="8">
        <f t="shared" si="100"/>
        <v>45657</v>
      </c>
      <c r="AD227" s="8">
        <f t="shared" si="100"/>
        <v>45688</v>
      </c>
      <c r="AE227" s="8">
        <f t="shared" si="100"/>
        <v>45716</v>
      </c>
      <c r="AF227" s="8">
        <f t="shared" si="100"/>
        <v>45747</v>
      </c>
      <c r="AG227" s="8">
        <f t="shared" si="100"/>
        <v>45777</v>
      </c>
      <c r="AH227" s="8">
        <f t="shared" si="100"/>
        <v>45808</v>
      </c>
      <c r="AI227" s="8">
        <f t="shared" si="100"/>
        <v>45838</v>
      </c>
      <c r="AJ227" s="8">
        <f t="shared" si="100"/>
        <v>45869</v>
      </c>
      <c r="AK227" s="8">
        <f t="shared" si="100"/>
        <v>45900</v>
      </c>
      <c r="AL227" s="8">
        <f t="shared" si="100"/>
        <v>45930</v>
      </c>
      <c r="AM227" s="8">
        <f t="shared" si="100"/>
        <v>45961</v>
      </c>
      <c r="AN227" s="8">
        <f t="shared" si="100"/>
        <v>45991</v>
      </c>
      <c r="AO227" s="8">
        <f t="shared" si="100"/>
        <v>46022</v>
      </c>
      <c r="AP227" s="8">
        <f t="shared" si="100"/>
        <v>46053</v>
      </c>
      <c r="AQ227" s="8">
        <f t="shared" si="100"/>
        <v>46081</v>
      </c>
      <c r="AR227" s="8">
        <f t="shared" si="100"/>
        <v>46112</v>
      </c>
      <c r="AS227" s="8">
        <f t="shared" si="100"/>
        <v>46142</v>
      </c>
      <c r="AT227" s="8">
        <f t="shared" si="100"/>
        <v>46173</v>
      </c>
      <c r="AU227" s="8">
        <f t="shared" si="100"/>
        <v>46203</v>
      </c>
      <c r="AV227" s="8">
        <f t="shared" si="100"/>
        <v>46234</v>
      </c>
      <c r="AW227" s="8">
        <f t="shared" si="100"/>
        <v>46265</v>
      </c>
      <c r="AX227" s="8">
        <f t="shared" si="100"/>
        <v>46295</v>
      </c>
      <c r="AY227" s="8">
        <f t="shared" si="100"/>
        <v>46326</v>
      </c>
      <c r="AZ227" s="8">
        <f t="shared" si="100"/>
        <v>46356</v>
      </c>
      <c r="BA227" s="8">
        <f t="shared" si="100"/>
        <v>46387</v>
      </c>
      <c r="BB227" s="8">
        <f t="shared" si="100"/>
        <v>46418</v>
      </c>
      <c r="BC227" s="8">
        <f t="shared" si="100"/>
        <v>46446</v>
      </c>
      <c r="BD227" s="8">
        <f t="shared" si="100"/>
        <v>46477</v>
      </c>
      <c r="BE227" s="8">
        <f t="shared" si="100"/>
        <v>46507</v>
      </c>
      <c r="BF227" s="8">
        <f t="shared" si="100"/>
        <v>46538</v>
      </c>
      <c r="BG227" s="8">
        <f t="shared" si="100"/>
        <v>46568</v>
      </c>
      <c r="BH227" s="8">
        <f t="shared" si="100"/>
        <v>46599</v>
      </c>
      <c r="BI227" s="8">
        <f t="shared" si="100"/>
        <v>46630</v>
      </c>
      <c r="BJ227" s="8">
        <f t="shared" si="100"/>
        <v>46660</v>
      </c>
      <c r="BK227" s="8">
        <f t="shared" si="100"/>
        <v>46691</v>
      </c>
      <c r="BL227" s="8">
        <f t="shared" si="100"/>
        <v>46721</v>
      </c>
      <c r="BM227" s="8">
        <f t="shared" si="100"/>
        <v>46752</v>
      </c>
      <c r="BN227" s="8">
        <f t="shared" si="100"/>
        <v>46783</v>
      </c>
      <c r="BO227" s="8">
        <f t="shared" si="100"/>
        <v>46812</v>
      </c>
      <c r="BP227" s="8">
        <f t="shared" si="100"/>
        <v>46843</v>
      </c>
      <c r="BQ227" s="8">
        <f t="shared" si="100"/>
        <v>46873</v>
      </c>
    </row>
    <row r="228" spans="1:69" outlineLevel="2">
      <c r="E228" s="8" t="str">
        <f t="shared" ref="E228:BQ228" si="101" xml:space="preserve">  E$12</f>
        <v>Model period start</v>
      </c>
      <c r="F228" s="8">
        <f t="shared" si="101"/>
        <v>0</v>
      </c>
      <c r="G228" s="8" t="str">
        <f t="shared" si="101"/>
        <v>date</v>
      </c>
      <c r="H228" s="8">
        <f t="shared" si="101"/>
        <v>0</v>
      </c>
      <c r="I228" s="8">
        <f t="shared" si="101"/>
        <v>0</v>
      </c>
      <c r="J228" s="8">
        <f t="shared" si="101"/>
        <v>45047</v>
      </c>
      <c r="K228" s="8">
        <f t="shared" si="101"/>
        <v>45078</v>
      </c>
      <c r="L228" s="8">
        <f t="shared" si="101"/>
        <v>45108</v>
      </c>
      <c r="M228" s="8">
        <f t="shared" si="101"/>
        <v>45139</v>
      </c>
      <c r="N228" s="8">
        <f t="shared" si="101"/>
        <v>45170</v>
      </c>
      <c r="O228" s="8">
        <f t="shared" si="101"/>
        <v>45200</v>
      </c>
      <c r="P228" s="8">
        <f t="shared" si="101"/>
        <v>45231</v>
      </c>
      <c r="Q228" s="8">
        <f t="shared" si="101"/>
        <v>45261</v>
      </c>
      <c r="R228" s="8">
        <f t="shared" si="101"/>
        <v>45292</v>
      </c>
      <c r="S228" s="8">
        <f t="shared" si="101"/>
        <v>45323</v>
      </c>
      <c r="T228" s="8">
        <f t="shared" si="101"/>
        <v>45352</v>
      </c>
      <c r="U228" s="8">
        <f t="shared" si="101"/>
        <v>45383</v>
      </c>
      <c r="V228" s="8">
        <f t="shared" si="101"/>
        <v>45413</v>
      </c>
      <c r="W228" s="8">
        <f t="shared" si="101"/>
        <v>45444</v>
      </c>
      <c r="X228" s="8">
        <f t="shared" si="101"/>
        <v>45474</v>
      </c>
      <c r="Y228" s="8">
        <f t="shared" si="101"/>
        <v>45505</v>
      </c>
      <c r="Z228" s="8">
        <f t="shared" si="101"/>
        <v>45536</v>
      </c>
      <c r="AA228" s="8">
        <f t="shared" si="101"/>
        <v>45566</v>
      </c>
      <c r="AB228" s="8">
        <f t="shared" si="101"/>
        <v>45597</v>
      </c>
      <c r="AC228" s="8">
        <f t="shared" si="101"/>
        <v>45627</v>
      </c>
      <c r="AD228" s="8">
        <f t="shared" si="101"/>
        <v>45658</v>
      </c>
      <c r="AE228" s="8">
        <f t="shared" si="101"/>
        <v>45689</v>
      </c>
      <c r="AF228" s="8">
        <f t="shared" si="101"/>
        <v>45717</v>
      </c>
      <c r="AG228" s="8">
        <f t="shared" si="101"/>
        <v>45748</v>
      </c>
      <c r="AH228" s="8">
        <f t="shared" si="101"/>
        <v>45778</v>
      </c>
      <c r="AI228" s="8">
        <f t="shared" si="101"/>
        <v>45809</v>
      </c>
      <c r="AJ228" s="8">
        <f t="shared" si="101"/>
        <v>45839</v>
      </c>
      <c r="AK228" s="8">
        <f t="shared" si="101"/>
        <v>45870</v>
      </c>
      <c r="AL228" s="8">
        <f t="shared" si="101"/>
        <v>45901</v>
      </c>
      <c r="AM228" s="8">
        <f t="shared" si="101"/>
        <v>45931</v>
      </c>
      <c r="AN228" s="8">
        <f t="shared" si="101"/>
        <v>45962</v>
      </c>
      <c r="AO228" s="8">
        <f t="shared" si="101"/>
        <v>45992</v>
      </c>
      <c r="AP228" s="8">
        <f t="shared" si="101"/>
        <v>46023</v>
      </c>
      <c r="AQ228" s="8">
        <f t="shared" si="101"/>
        <v>46054</v>
      </c>
      <c r="AR228" s="8">
        <f t="shared" si="101"/>
        <v>46082</v>
      </c>
      <c r="AS228" s="8">
        <f t="shared" si="101"/>
        <v>46113</v>
      </c>
      <c r="AT228" s="8">
        <f t="shared" si="101"/>
        <v>46143</v>
      </c>
      <c r="AU228" s="8">
        <f t="shared" si="101"/>
        <v>46174</v>
      </c>
      <c r="AV228" s="8">
        <f t="shared" si="101"/>
        <v>46204</v>
      </c>
      <c r="AW228" s="8">
        <f t="shared" si="101"/>
        <v>46235</v>
      </c>
      <c r="AX228" s="8">
        <f t="shared" si="101"/>
        <v>46266</v>
      </c>
      <c r="AY228" s="8">
        <f t="shared" si="101"/>
        <v>46296</v>
      </c>
      <c r="AZ228" s="8">
        <f t="shared" si="101"/>
        <v>46327</v>
      </c>
      <c r="BA228" s="8">
        <f t="shared" si="101"/>
        <v>46357</v>
      </c>
      <c r="BB228" s="8">
        <f t="shared" si="101"/>
        <v>46388</v>
      </c>
      <c r="BC228" s="8">
        <f t="shared" si="101"/>
        <v>46419</v>
      </c>
      <c r="BD228" s="8">
        <f t="shared" si="101"/>
        <v>46447</v>
      </c>
      <c r="BE228" s="8">
        <f t="shared" si="101"/>
        <v>46478</v>
      </c>
      <c r="BF228" s="8">
        <f t="shared" si="101"/>
        <v>46508</v>
      </c>
      <c r="BG228" s="8">
        <f t="shared" si="101"/>
        <v>46539</v>
      </c>
      <c r="BH228" s="8">
        <f t="shared" si="101"/>
        <v>46569</v>
      </c>
      <c r="BI228" s="8">
        <f t="shared" si="101"/>
        <v>46600</v>
      </c>
      <c r="BJ228" s="8">
        <f t="shared" si="101"/>
        <v>46631</v>
      </c>
      <c r="BK228" s="8">
        <f t="shared" si="101"/>
        <v>46661</v>
      </c>
      <c r="BL228" s="8">
        <f t="shared" si="101"/>
        <v>46692</v>
      </c>
      <c r="BM228" s="8">
        <f t="shared" si="101"/>
        <v>46722</v>
      </c>
      <c r="BN228" s="8">
        <f t="shared" si="101"/>
        <v>46753</v>
      </c>
      <c r="BO228" s="8">
        <f t="shared" si="101"/>
        <v>46784</v>
      </c>
      <c r="BP228" s="8">
        <f t="shared" si="101"/>
        <v>46813</v>
      </c>
      <c r="BQ228" s="8">
        <f t="shared" si="101"/>
        <v>46844</v>
      </c>
    </row>
    <row r="229" spans="1:69" outlineLevel="2">
      <c r="A229" s="36"/>
      <c r="B229" s="36"/>
      <c r="C229" s="65"/>
      <c r="D229" s="64"/>
      <c r="E229" s="21" t="s">
        <v>9</v>
      </c>
      <c r="F229" s="21"/>
      <c r="G229" s="21" t="s">
        <v>21</v>
      </c>
      <c r="H229" s="3">
        <f xml:space="preserve"> SUM( J229:BQ229 )</f>
        <v>0</v>
      </c>
      <c r="I229" s="21"/>
      <c r="J229" s="3">
        <f t="shared" ref="J229:BQ229" si="102" xml:space="preserve">  IF( AND( J227 &gt;= $F225, J228 &lt;= $F226 ), 1, 0 )</f>
        <v>0</v>
      </c>
      <c r="K229" s="3">
        <f t="shared" si="102"/>
        <v>0</v>
      </c>
      <c r="L229" s="3">
        <f t="shared" si="102"/>
        <v>0</v>
      </c>
      <c r="M229" s="3">
        <f t="shared" si="102"/>
        <v>0</v>
      </c>
      <c r="N229" s="3">
        <f t="shared" si="102"/>
        <v>0</v>
      </c>
      <c r="O229" s="3">
        <f t="shared" si="102"/>
        <v>0</v>
      </c>
      <c r="P229" s="3">
        <f t="shared" si="102"/>
        <v>0</v>
      </c>
      <c r="Q229" s="3">
        <f t="shared" si="102"/>
        <v>0</v>
      </c>
      <c r="R229" s="3">
        <f t="shared" si="102"/>
        <v>0</v>
      </c>
      <c r="S229" s="3">
        <f t="shared" si="102"/>
        <v>0</v>
      </c>
      <c r="T229" s="3">
        <f t="shared" si="102"/>
        <v>0</v>
      </c>
      <c r="U229" s="3">
        <f t="shared" si="102"/>
        <v>0</v>
      </c>
      <c r="V229" s="3">
        <f t="shared" si="102"/>
        <v>0</v>
      </c>
      <c r="W229" s="3">
        <f t="shared" si="102"/>
        <v>0</v>
      </c>
      <c r="X229" s="3">
        <f t="shared" si="102"/>
        <v>0</v>
      </c>
      <c r="Y229" s="3">
        <f t="shared" si="102"/>
        <v>0</v>
      </c>
      <c r="Z229" s="3">
        <f t="shared" si="102"/>
        <v>0</v>
      </c>
      <c r="AA229" s="3">
        <f t="shared" si="102"/>
        <v>0</v>
      </c>
      <c r="AB229" s="3">
        <f t="shared" si="102"/>
        <v>0</v>
      </c>
      <c r="AC229" s="3">
        <f t="shared" si="102"/>
        <v>0</v>
      </c>
      <c r="AD229" s="3">
        <f t="shared" si="102"/>
        <v>0</v>
      </c>
      <c r="AE229" s="3">
        <f t="shared" si="102"/>
        <v>0</v>
      </c>
      <c r="AF229" s="3">
        <f t="shared" si="102"/>
        <v>0</v>
      </c>
      <c r="AG229" s="3">
        <f t="shared" si="102"/>
        <v>0</v>
      </c>
      <c r="AH229" s="3">
        <f t="shared" si="102"/>
        <v>0</v>
      </c>
      <c r="AI229" s="3">
        <f t="shared" si="102"/>
        <v>0</v>
      </c>
      <c r="AJ229" s="3">
        <f t="shared" si="102"/>
        <v>0</v>
      </c>
      <c r="AK229" s="3">
        <f t="shared" si="102"/>
        <v>0</v>
      </c>
      <c r="AL229" s="3">
        <f t="shared" si="102"/>
        <v>0</v>
      </c>
      <c r="AM229" s="3">
        <f t="shared" si="102"/>
        <v>0</v>
      </c>
      <c r="AN229" s="3">
        <f t="shared" si="102"/>
        <v>0</v>
      </c>
      <c r="AO229" s="3">
        <f t="shared" si="102"/>
        <v>0</v>
      </c>
      <c r="AP229" s="3">
        <f t="shared" si="102"/>
        <v>0</v>
      </c>
      <c r="AQ229" s="3">
        <f t="shared" si="102"/>
        <v>0</v>
      </c>
      <c r="AR229" s="3">
        <f t="shared" si="102"/>
        <v>0</v>
      </c>
      <c r="AS229" s="3">
        <f t="shared" si="102"/>
        <v>0</v>
      </c>
      <c r="AT229" s="3">
        <f t="shared" si="102"/>
        <v>0</v>
      </c>
      <c r="AU229" s="3">
        <f t="shared" si="102"/>
        <v>0</v>
      </c>
      <c r="AV229" s="3">
        <f t="shared" si="102"/>
        <v>0</v>
      </c>
      <c r="AW229" s="3">
        <f t="shared" si="102"/>
        <v>0</v>
      </c>
      <c r="AX229" s="3">
        <f t="shared" si="102"/>
        <v>0</v>
      </c>
      <c r="AY229" s="3">
        <f t="shared" si="102"/>
        <v>0</v>
      </c>
      <c r="AZ229" s="3">
        <f t="shared" si="102"/>
        <v>0</v>
      </c>
      <c r="BA229" s="3">
        <f t="shared" si="102"/>
        <v>0</v>
      </c>
      <c r="BB229" s="3">
        <f t="shared" si="102"/>
        <v>0</v>
      </c>
      <c r="BC229" s="3">
        <f t="shared" si="102"/>
        <v>0</v>
      </c>
      <c r="BD229" s="3">
        <f t="shared" si="102"/>
        <v>0</v>
      </c>
      <c r="BE229" s="3">
        <f t="shared" si="102"/>
        <v>0</v>
      </c>
      <c r="BF229" s="3">
        <f t="shared" si="102"/>
        <v>0</v>
      </c>
      <c r="BG229" s="3">
        <f t="shared" si="102"/>
        <v>0</v>
      </c>
      <c r="BH229" s="3">
        <f t="shared" si="102"/>
        <v>0</v>
      </c>
      <c r="BI229" s="3">
        <f t="shared" si="102"/>
        <v>0</v>
      </c>
      <c r="BJ229" s="3">
        <f t="shared" si="102"/>
        <v>0</v>
      </c>
      <c r="BK229" s="3">
        <f t="shared" si="102"/>
        <v>0</v>
      </c>
      <c r="BL229" s="3">
        <f t="shared" si="102"/>
        <v>0</v>
      </c>
      <c r="BM229" s="3">
        <f t="shared" si="102"/>
        <v>0</v>
      </c>
      <c r="BN229" s="3">
        <f t="shared" si="102"/>
        <v>0</v>
      </c>
      <c r="BO229" s="3">
        <f t="shared" si="102"/>
        <v>0</v>
      </c>
      <c r="BP229" s="3">
        <f t="shared" si="102"/>
        <v>0</v>
      </c>
      <c r="BQ229" s="3">
        <f t="shared" si="102"/>
        <v>0</v>
      </c>
    </row>
    <row r="230" spans="1:69" outlineLevel="1"/>
    <row r="231" spans="1:69" outlineLevel="1"/>
    <row r="232" spans="1:69" outlineLevel="1">
      <c r="B232" s="27" t="s">
        <v>10</v>
      </c>
    </row>
    <row r="233" spans="1:69" outlineLevel="2">
      <c r="A233" s="18"/>
      <c r="B233" s="18"/>
      <c r="C233" s="30"/>
      <c r="D233" s="31"/>
      <c r="E233" s="19" t="str">
        <f xml:space="preserve">  InpC!E$59</f>
        <v>Invoice Finance Enabled beginning date</v>
      </c>
      <c r="F233" s="19">
        <f xml:space="preserve">  InpC!F$59</f>
        <v>0</v>
      </c>
      <c r="G233" s="19" t="str">
        <f xml:space="preserve">  InpC!G$59</f>
        <v>date</v>
      </c>
      <c r="M233" s="8"/>
    </row>
    <row r="234" spans="1:69" outlineLevel="2">
      <c r="A234" s="18"/>
      <c r="B234" s="18"/>
      <c r="C234" s="30"/>
      <c r="D234" s="31"/>
      <c r="E234" s="19" t="str">
        <f xml:space="preserve">  InpC!E$60</f>
        <v>Invoice Finance Enabled end date</v>
      </c>
      <c r="F234" s="19">
        <f xml:space="preserve">  InpC!F$60</f>
        <v>0</v>
      </c>
      <c r="G234" s="19" t="str">
        <f xml:space="preserve">  InpC!G$60</f>
        <v>date</v>
      </c>
      <c r="M234" s="8"/>
    </row>
    <row r="235" spans="1:69" outlineLevel="2">
      <c r="E235" s="8" t="str">
        <f t="shared" ref="E235:BQ235" si="103" xml:space="preserve">  E$19</f>
        <v>Model period end</v>
      </c>
      <c r="F235" s="8">
        <f t="shared" si="103"/>
        <v>0</v>
      </c>
      <c r="G235" s="8" t="str">
        <f t="shared" si="103"/>
        <v>date</v>
      </c>
      <c r="H235" s="8">
        <f t="shared" si="103"/>
        <v>0</v>
      </c>
      <c r="I235" s="8">
        <f t="shared" si="103"/>
        <v>0</v>
      </c>
      <c r="J235" s="8">
        <f t="shared" si="103"/>
        <v>45077</v>
      </c>
      <c r="K235" s="8">
        <f t="shared" si="103"/>
        <v>45107</v>
      </c>
      <c r="L235" s="8">
        <f t="shared" si="103"/>
        <v>45138</v>
      </c>
      <c r="M235" s="8">
        <f t="shared" si="103"/>
        <v>45169</v>
      </c>
      <c r="N235" s="8">
        <f t="shared" si="103"/>
        <v>45199</v>
      </c>
      <c r="O235" s="8">
        <f t="shared" si="103"/>
        <v>45230</v>
      </c>
      <c r="P235" s="8">
        <f t="shared" si="103"/>
        <v>45260</v>
      </c>
      <c r="Q235" s="8">
        <f t="shared" si="103"/>
        <v>45291</v>
      </c>
      <c r="R235" s="8">
        <f t="shared" si="103"/>
        <v>45322</v>
      </c>
      <c r="S235" s="8">
        <f t="shared" si="103"/>
        <v>45351</v>
      </c>
      <c r="T235" s="8">
        <f t="shared" si="103"/>
        <v>45382</v>
      </c>
      <c r="U235" s="8">
        <f t="shared" si="103"/>
        <v>45412</v>
      </c>
      <c r="V235" s="8">
        <f t="shared" si="103"/>
        <v>45443</v>
      </c>
      <c r="W235" s="8">
        <f t="shared" si="103"/>
        <v>45473</v>
      </c>
      <c r="X235" s="8">
        <f t="shared" si="103"/>
        <v>45504</v>
      </c>
      <c r="Y235" s="8">
        <f t="shared" si="103"/>
        <v>45535</v>
      </c>
      <c r="Z235" s="8">
        <f t="shared" si="103"/>
        <v>45565</v>
      </c>
      <c r="AA235" s="8">
        <f t="shared" si="103"/>
        <v>45596</v>
      </c>
      <c r="AB235" s="8">
        <f t="shared" si="103"/>
        <v>45626</v>
      </c>
      <c r="AC235" s="8">
        <f t="shared" si="103"/>
        <v>45657</v>
      </c>
      <c r="AD235" s="8">
        <f t="shared" si="103"/>
        <v>45688</v>
      </c>
      <c r="AE235" s="8">
        <f t="shared" si="103"/>
        <v>45716</v>
      </c>
      <c r="AF235" s="8">
        <f t="shared" si="103"/>
        <v>45747</v>
      </c>
      <c r="AG235" s="8">
        <f t="shared" si="103"/>
        <v>45777</v>
      </c>
      <c r="AH235" s="8">
        <f t="shared" si="103"/>
        <v>45808</v>
      </c>
      <c r="AI235" s="8">
        <f t="shared" si="103"/>
        <v>45838</v>
      </c>
      <c r="AJ235" s="8">
        <f t="shared" si="103"/>
        <v>45869</v>
      </c>
      <c r="AK235" s="8">
        <f t="shared" si="103"/>
        <v>45900</v>
      </c>
      <c r="AL235" s="8">
        <f t="shared" si="103"/>
        <v>45930</v>
      </c>
      <c r="AM235" s="8">
        <f t="shared" si="103"/>
        <v>45961</v>
      </c>
      <c r="AN235" s="8">
        <f t="shared" si="103"/>
        <v>45991</v>
      </c>
      <c r="AO235" s="8">
        <f t="shared" si="103"/>
        <v>46022</v>
      </c>
      <c r="AP235" s="8">
        <f t="shared" si="103"/>
        <v>46053</v>
      </c>
      <c r="AQ235" s="8">
        <f t="shared" si="103"/>
        <v>46081</v>
      </c>
      <c r="AR235" s="8">
        <f t="shared" si="103"/>
        <v>46112</v>
      </c>
      <c r="AS235" s="8">
        <f t="shared" si="103"/>
        <v>46142</v>
      </c>
      <c r="AT235" s="8">
        <f t="shared" si="103"/>
        <v>46173</v>
      </c>
      <c r="AU235" s="8">
        <f t="shared" si="103"/>
        <v>46203</v>
      </c>
      <c r="AV235" s="8">
        <f t="shared" si="103"/>
        <v>46234</v>
      </c>
      <c r="AW235" s="8">
        <f t="shared" si="103"/>
        <v>46265</v>
      </c>
      <c r="AX235" s="8">
        <f t="shared" si="103"/>
        <v>46295</v>
      </c>
      <c r="AY235" s="8">
        <f t="shared" si="103"/>
        <v>46326</v>
      </c>
      <c r="AZ235" s="8">
        <f t="shared" si="103"/>
        <v>46356</v>
      </c>
      <c r="BA235" s="8">
        <f t="shared" si="103"/>
        <v>46387</v>
      </c>
      <c r="BB235" s="8">
        <f t="shared" si="103"/>
        <v>46418</v>
      </c>
      <c r="BC235" s="8">
        <f t="shared" si="103"/>
        <v>46446</v>
      </c>
      <c r="BD235" s="8">
        <f t="shared" si="103"/>
        <v>46477</v>
      </c>
      <c r="BE235" s="8">
        <f t="shared" si="103"/>
        <v>46507</v>
      </c>
      <c r="BF235" s="8">
        <f t="shared" si="103"/>
        <v>46538</v>
      </c>
      <c r="BG235" s="8">
        <f t="shared" si="103"/>
        <v>46568</v>
      </c>
      <c r="BH235" s="8">
        <f t="shared" si="103"/>
        <v>46599</v>
      </c>
      <c r="BI235" s="8">
        <f t="shared" si="103"/>
        <v>46630</v>
      </c>
      <c r="BJ235" s="8">
        <f t="shared" si="103"/>
        <v>46660</v>
      </c>
      <c r="BK235" s="8">
        <f t="shared" si="103"/>
        <v>46691</v>
      </c>
      <c r="BL235" s="8">
        <f t="shared" si="103"/>
        <v>46721</v>
      </c>
      <c r="BM235" s="8">
        <f t="shared" si="103"/>
        <v>46752</v>
      </c>
      <c r="BN235" s="8">
        <f t="shared" si="103"/>
        <v>46783</v>
      </c>
      <c r="BO235" s="8">
        <f t="shared" si="103"/>
        <v>46812</v>
      </c>
      <c r="BP235" s="8">
        <f t="shared" si="103"/>
        <v>46843</v>
      </c>
      <c r="BQ235" s="8">
        <f t="shared" si="103"/>
        <v>46873</v>
      </c>
    </row>
    <row r="236" spans="1:69" outlineLevel="2">
      <c r="E236" s="8" t="str">
        <f t="shared" ref="E236:BQ236" si="104" xml:space="preserve">  E$12</f>
        <v>Model period start</v>
      </c>
      <c r="F236" s="8">
        <f t="shared" si="104"/>
        <v>0</v>
      </c>
      <c r="G236" s="8" t="str">
        <f t="shared" si="104"/>
        <v>date</v>
      </c>
      <c r="H236" s="8">
        <f t="shared" si="104"/>
        <v>0</v>
      </c>
      <c r="I236" s="8">
        <f t="shared" si="104"/>
        <v>0</v>
      </c>
      <c r="J236" s="8">
        <f t="shared" si="104"/>
        <v>45047</v>
      </c>
      <c r="K236" s="8">
        <f t="shared" si="104"/>
        <v>45078</v>
      </c>
      <c r="L236" s="8">
        <f t="shared" si="104"/>
        <v>45108</v>
      </c>
      <c r="M236" s="8">
        <f t="shared" si="104"/>
        <v>45139</v>
      </c>
      <c r="N236" s="8">
        <f t="shared" si="104"/>
        <v>45170</v>
      </c>
      <c r="O236" s="8">
        <f t="shared" si="104"/>
        <v>45200</v>
      </c>
      <c r="P236" s="8">
        <f t="shared" si="104"/>
        <v>45231</v>
      </c>
      <c r="Q236" s="8">
        <f t="shared" si="104"/>
        <v>45261</v>
      </c>
      <c r="R236" s="8">
        <f t="shared" si="104"/>
        <v>45292</v>
      </c>
      <c r="S236" s="8">
        <f t="shared" si="104"/>
        <v>45323</v>
      </c>
      <c r="T236" s="8">
        <f t="shared" si="104"/>
        <v>45352</v>
      </c>
      <c r="U236" s="8">
        <f t="shared" si="104"/>
        <v>45383</v>
      </c>
      <c r="V236" s="8">
        <f t="shared" si="104"/>
        <v>45413</v>
      </c>
      <c r="W236" s="8">
        <f t="shared" si="104"/>
        <v>45444</v>
      </c>
      <c r="X236" s="8">
        <f t="shared" si="104"/>
        <v>45474</v>
      </c>
      <c r="Y236" s="8">
        <f t="shared" si="104"/>
        <v>45505</v>
      </c>
      <c r="Z236" s="8">
        <f t="shared" si="104"/>
        <v>45536</v>
      </c>
      <c r="AA236" s="8">
        <f t="shared" si="104"/>
        <v>45566</v>
      </c>
      <c r="AB236" s="8">
        <f t="shared" si="104"/>
        <v>45597</v>
      </c>
      <c r="AC236" s="8">
        <f t="shared" si="104"/>
        <v>45627</v>
      </c>
      <c r="AD236" s="8">
        <f t="shared" si="104"/>
        <v>45658</v>
      </c>
      <c r="AE236" s="8">
        <f t="shared" si="104"/>
        <v>45689</v>
      </c>
      <c r="AF236" s="8">
        <f t="shared" si="104"/>
        <v>45717</v>
      </c>
      <c r="AG236" s="8">
        <f t="shared" si="104"/>
        <v>45748</v>
      </c>
      <c r="AH236" s="8">
        <f t="shared" si="104"/>
        <v>45778</v>
      </c>
      <c r="AI236" s="8">
        <f t="shared" si="104"/>
        <v>45809</v>
      </c>
      <c r="AJ236" s="8">
        <f t="shared" si="104"/>
        <v>45839</v>
      </c>
      <c r="AK236" s="8">
        <f t="shared" si="104"/>
        <v>45870</v>
      </c>
      <c r="AL236" s="8">
        <f t="shared" si="104"/>
        <v>45901</v>
      </c>
      <c r="AM236" s="8">
        <f t="shared" si="104"/>
        <v>45931</v>
      </c>
      <c r="AN236" s="8">
        <f t="shared" si="104"/>
        <v>45962</v>
      </c>
      <c r="AO236" s="8">
        <f t="shared" si="104"/>
        <v>45992</v>
      </c>
      <c r="AP236" s="8">
        <f t="shared" si="104"/>
        <v>46023</v>
      </c>
      <c r="AQ236" s="8">
        <f t="shared" si="104"/>
        <v>46054</v>
      </c>
      <c r="AR236" s="8">
        <f t="shared" si="104"/>
        <v>46082</v>
      </c>
      <c r="AS236" s="8">
        <f t="shared" si="104"/>
        <v>46113</v>
      </c>
      <c r="AT236" s="8">
        <f t="shared" si="104"/>
        <v>46143</v>
      </c>
      <c r="AU236" s="8">
        <f t="shared" si="104"/>
        <v>46174</v>
      </c>
      <c r="AV236" s="8">
        <f t="shared" si="104"/>
        <v>46204</v>
      </c>
      <c r="AW236" s="8">
        <f t="shared" si="104"/>
        <v>46235</v>
      </c>
      <c r="AX236" s="8">
        <f t="shared" si="104"/>
        <v>46266</v>
      </c>
      <c r="AY236" s="8">
        <f t="shared" si="104"/>
        <v>46296</v>
      </c>
      <c r="AZ236" s="8">
        <f t="shared" si="104"/>
        <v>46327</v>
      </c>
      <c r="BA236" s="8">
        <f t="shared" si="104"/>
        <v>46357</v>
      </c>
      <c r="BB236" s="8">
        <f t="shared" si="104"/>
        <v>46388</v>
      </c>
      <c r="BC236" s="8">
        <f t="shared" si="104"/>
        <v>46419</v>
      </c>
      <c r="BD236" s="8">
        <f t="shared" si="104"/>
        <v>46447</v>
      </c>
      <c r="BE236" s="8">
        <f t="shared" si="104"/>
        <v>46478</v>
      </c>
      <c r="BF236" s="8">
        <f t="shared" si="104"/>
        <v>46508</v>
      </c>
      <c r="BG236" s="8">
        <f t="shared" si="104"/>
        <v>46539</v>
      </c>
      <c r="BH236" s="8">
        <f t="shared" si="104"/>
        <v>46569</v>
      </c>
      <c r="BI236" s="8">
        <f t="shared" si="104"/>
        <v>46600</v>
      </c>
      <c r="BJ236" s="8">
        <f t="shared" si="104"/>
        <v>46631</v>
      </c>
      <c r="BK236" s="8">
        <f t="shared" si="104"/>
        <v>46661</v>
      </c>
      <c r="BL236" s="8">
        <f t="shared" si="104"/>
        <v>46692</v>
      </c>
      <c r="BM236" s="8">
        <f t="shared" si="104"/>
        <v>46722</v>
      </c>
      <c r="BN236" s="8">
        <f t="shared" si="104"/>
        <v>46753</v>
      </c>
      <c r="BO236" s="8">
        <f t="shared" si="104"/>
        <v>46784</v>
      </c>
      <c r="BP236" s="8">
        <f t="shared" si="104"/>
        <v>46813</v>
      </c>
      <c r="BQ236" s="8">
        <f t="shared" si="104"/>
        <v>46844</v>
      </c>
    </row>
    <row r="237" spans="1:69" outlineLevel="2">
      <c r="A237" s="36"/>
      <c r="B237" s="36"/>
      <c r="C237" s="65"/>
      <c r="D237" s="64"/>
      <c r="E237" s="21" t="s">
        <v>10</v>
      </c>
      <c r="F237" s="21"/>
      <c r="G237" s="21" t="s">
        <v>21</v>
      </c>
      <c r="H237" s="3">
        <f xml:space="preserve"> SUM( J237:BQ237 )</f>
        <v>0</v>
      </c>
      <c r="I237" s="21"/>
      <c r="J237" s="3">
        <f t="shared" ref="J237:BQ237" si="105" xml:space="preserve">  IF( AND( J235 &gt;= $F233, J236 &lt;= $F234 ), 1, 0 )</f>
        <v>0</v>
      </c>
      <c r="K237" s="3">
        <f t="shared" si="105"/>
        <v>0</v>
      </c>
      <c r="L237" s="3">
        <f t="shared" si="105"/>
        <v>0</v>
      </c>
      <c r="M237" s="3">
        <f t="shared" si="105"/>
        <v>0</v>
      </c>
      <c r="N237" s="3">
        <f t="shared" si="105"/>
        <v>0</v>
      </c>
      <c r="O237" s="3">
        <f t="shared" si="105"/>
        <v>0</v>
      </c>
      <c r="P237" s="3">
        <f t="shared" si="105"/>
        <v>0</v>
      </c>
      <c r="Q237" s="3">
        <f t="shared" si="105"/>
        <v>0</v>
      </c>
      <c r="R237" s="3">
        <f t="shared" si="105"/>
        <v>0</v>
      </c>
      <c r="S237" s="3">
        <f t="shared" si="105"/>
        <v>0</v>
      </c>
      <c r="T237" s="3">
        <f t="shared" si="105"/>
        <v>0</v>
      </c>
      <c r="U237" s="3">
        <f t="shared" si="105"/>
        <v>0</v>
      </c>
      <c r="V237" s="3">
        <f t="shared" si="105"/>
        <v>0</v>
      </c>
      <c r="W237" s="3">
        <f t="shared" si="105"/>
        <v>0</v>
      </c>
      <c r="X237" s="3">
        <f t="shared" si="105"/>
        <v>0</v>
      </c>
      <c r="Y237" s="3">
        <f t="shared" si="105"/>
        <v>0</v>
      </c>
      <c r="Z237" s="3">
        <f t="shared" si="105"/>
        <v>0</v>
      </c>
      <c r="AA237" s="3">
        <f t="shared" si="105"/>
        <v>0</v>
      </c>
      <c r="AB237" s="3">
        <f t="shared" si="105"/>
        <v>0</v>
      </c>
      <c r="AC237" s="3">
        <f t="shared" si="105"/>
        <v>0</v>
      </c>
      <c r="AD237" s="3">
        <f t="shared" si="105"/>
        <v>0</v>
      </c>
      <c r="AE237" s="3">
        <f t="shared" si="105"/>
        <v>0</v>
      </c>
      <c r="AF237" s="3">
        <f t="shared" si="105"/>
        <v>0</v>
      </c>
      <c r="AG237" s="3">
        <f t="shared" si="105"/>
        <v>0</v>
      </c>
      <c r="AH237" s="3">
        <f t="shared" si="105"/>
        <v>0</v>
      </c>
      <c r="AI237" s="3">
        <f t="shared" si="105"/>
        <v>0</v>
      </c>
      <c r="AJ237" s="3">
        <f t="shared" si="105"/>
        <v>0</v>
      </c>
      <c r="AK237" s="3">
        <f t="shared" si="105"/>
        <v>0</v>
      </c>
      <c r="AL237" s="3">
        <f t="shared" si="105"/>
        <v>0</v>
      </c>
      <c r="AM237" s="3">
        <f t="shared" si="105"/>
        <v>0</v>
      </c>
      <c r="AN237" s="3">
        <f t="shared" si="105"/>
        <v>0</v>
      </c>
      <c r="AO237" s="3">
        <f t="shared" si="105"/>
        <v>0</v>
      </c>
      <c r="AP237" s="3">
        <f t="shared" si="105"/>
        <v>0</v>
      </c>
      <c r="AQ237" s="3">
        <f t="shared" si="105"/>
        <v>0</v>
      </c>
      <c r="AR237" s="3">
        <f t="shared" si="105"/>
        <v>0</v>
      </c>
      <c r="AS237" s="3">
        <f t="shared" si="105"/>
        <v>0</v>
      </c>
      <c r="AT237" s="3">
        <f t="shared" si="105"/>
        <v>0</v>
      </c>
      <c r="AU237" s="3">
        <f t="shared" si="105"/>
        <v>0</v>
      </c>
      <c r="AV237" s="3">
        <f t="shared" si="105"/>
        <v>0</v>
      </c>
      <c r="AW237" s="3">
        <f t="shared" si="105"/>
        <v>0</v>
      </c>
      <c r="AX237" s="3">
        <f t="shared" si="105"/>
        <v>0</v>
      </c>
      <c r="AY237" s="3">
        <f t="shared" si="105"/>
        <v>0</v>
      </c>
      <c r="AZ237" s="3">
        <f t="shared" si="105"/>
        <v>0</v>
      </c>
      <c r="BA237" s="3">
        <f t="shared" si="105"/>
        <v>0</v>
      </c>
      <c r="BB237" s="3">
        <f t="shared" si="105"/>
        <v>0</v>
      </c>
      <c r="BC237" s="3">
        <f t="shared" si="105"/>
        <v>0</v>
      </c>
      <c r="BD237" s="3">
        <f t="shared" si="105"/>
        <v>0</v>
      </c>
      <c r="BE237" s="3">
        <f t="shared" si="105"/>
        <v>0</v>
      </c>
      <c r="BF237" s="3">
        <f t="shared" si="105"/>
        <v>0</v>
      </c>
      <c r="BG237" s="3">
        <f t="shared" si="105"/>
        <v>0</v>
      </c>
      <c r="BH237" s="3">
        <f t="shared" si="105"/>
        <v>0</v>
      </c>
      <c r="BI237" s="3">
        <f t="shared" si="105"/>
        <v>0</v>
      </c>
      <c r="BJ237" s="3">
        <f t="shared" si="105"/>
        <v>0</v>
      </c>
      <c r="BK237" s="3">
        <f t="shared" si="105"/>
        <v>0</v>
      </c>
      <c r="BL237" s="3">
        <f t="shared" si="105"/>
        <v>0</v>
      </c>
      <c r="BM237" s="3">
        <f t="shared" si="105"/>
        <v>0</v>
      </c>
      <c r="BN237" s="3">
        <f t="shared" si="105"/>
        <v>0</v>
      </c>
      <c r="BO237" s="3">
        <f t="shared" si="105"/>
        <v>0</v>
      </c>
      <c r="BP237" s="3">
        <f t="shared" si="105"/>
        <v>0</v>
      </c>
      <c r="BQ237" s="3">
        <f t="shared" si="105"/>
        <v>0</v>
      </c>
    </row>
    <row r="238" spans="1:69" outlineLevel="1"/>
    <row r="239" spans="1:69" outlineLevel="1"/>
    <row r="240" spans="1:69" outlineLevel="1">
      <c r="B240" s="27" t="s">
        <v>107</v>
      </c>
    </row>
    <row r="241" spans="1:69" outlineLevel="2">
      <c r="A241" s="18"/>
      <c r="B241" s="18"/>
      <c r="C241" s="30"/>
      <c r="D241" s="31"/>
      <c r="E241" s="19" t="str">
        <f xml:space="preserve">  InpC!E$74</f>
        <v>Asset Finance Enabled beginning date</v>
      </c>
      <c r="F241" s="19">
        <f xml:space="preserve">  InpC!F$74</f>
        <v>45047</v>
      </c>
      <c r="G241" s="19" t="str">
        <f xml:space="preserve">  InpC!G$74</f>
        <v>date</v>
      </c>
      <c r="M241" s="8"/>
    </row>
    <row r="242" spans="1:69" outlineLevel="2">
      <c r="A242" s="18"/>
      <c r="B242" s="18"/>
      <c r="C242" s="30"/>
      <c r="D242" s="31"/>
      <c r="E242" s="19" t="str">
        <f xml:space="preserve">  InpC!E$73</f>
        <v>Asset Finance Enabled end date</v>
      </c>
      <c r="F242" s="19">
        <f xml:space="preserve">  InpC!F$73</f>
        <v>46873</v>
      </c>
      <c r="G242" s="19" t="str">
        <f xml:space="preserve">  InpC!G$73</f>
        <v>date</v>
      </c>
      <c r="M242" s="8"/>
    </row>
    <row r="243" spans="1:69" outlineLevel="2">
      <c r="E243" s="8" t="str">
        <f t="shared" ref="E243:BQ243" si="106" xml:space="preserve">  E$19</f>
        <v>Model period end</v>
      </c>
      <c r="F243" s="8">
        <f t="shared" si="106"/>
        <v>0</v>
      </c>
      <c r="G243" s="8" t="str">
        <f t="shared" si="106"/>
        <v>date</v>
      </c>
      <c r="H243" s="8">
        <f t="shared" si="106"/>
        <v>0</v>
      </c>
      <c r="I243" s="8">
        <f t="shared" si="106"/>
        <v>0</v>
      </c>
      <c r="J243" s="8">
        <f t="shared" si="106"/>
        <v>45077</v>
      </c>
      <c r="K243" s="8">
        <f t="shared" si="106"/>
        <v>45107</v>
      </c>
      <c r="L243" s="8">
        <f t="shared" si="106"/>
        <v>45138</v>
      </c>
      <c r="M243" s="8">
        <f t="shared" si="106"/>
        <v>45169</v>
      </c>
      <c r="N243" s="8">
        <f t="shared" si="106"/>
        <v>45199</v>
      </c>
      <c r="O243" s="8">
        <f t="shared" si="106"/>
        <v>45230</v>
      </c>
      <c r="P243" s="8">
        <f t="shared" si="106"/>
        <v>45260</v>
      </c>
      <c r="Q243" s="8">
        <f t="shared" si="106"/>
        <v>45291</v>
      </c>
      <c r="R243" s="8">
        <f t="shared" si="106"/>
        <v>45322</v>
      </c>
      <c r="S243" s="8">
        <f t="shared" si="106"/>
        <v>45351</v>
      </c>
      <c r="T243" s="8">
        <f t="shared" si="106"/>
        <v>45382</v>
      </c>
      <c r="U243" s="8">
        <f t="shared" si="106"/>
        <v>45412</v>
      </c>
      <c r="V243" s="8">
        <f t="shared" si="106"/>
        <v>45443</v>
      </c>
      <c r="W243" s="8">
        <f t="shared" si="106"/>
        <v>45473</v>
      </c>
      <c r="X243" s="8">
        <f t="shared" si="106"/>
        <v>45504</v>
      </c>
      <c r="Y243" s="8">
        <f t="shared" si="106"/>
        <v>45535</v>
      </c>
      <c r="Z243" s="8">
        <f t="shared" si="106"/>
        <v>45565</v>
      </c>
      <c r="AA243" s="8">
        <f t="shared" si="106"/>
        <v>45596</v>
      </c>
      <c r="AB243" s="8">
        <f t="shared" si="106"/>
        <v>45626</v>
      </c>
      <c r="AC243" s="8">
        <f t="shared" si="106"/>
        <v>45657</v>
      </c>
      <c r="AD243" s="8">
        <f t="shared" si="106"/>
        <v>45688</v>
      </c>
      <c r="AE243" s="8">
        <f t="shared" si="106"/>
        <v>45716</v>
      </c>
      <c r="AF243" s="8">
        <f t="shared" si="106"/>
        <v>45747</v>
      </c>
      <c r="AG243" s="8">
        <f t="shared" si="106"/>
        <v>45777</v>
      </c>
      <c r="AH243" s="8">
        <f t="shared" si="106"/>
        <v>45808</v>
      </c>
      <c r="AI243" s="8">
        <f t="shared" si="106"/>
        <v>45838</v>
      </c>
      <c r="AJ243" s="8">
        <f t="shared" si="106"/>
        <v>45869</v>
      </c>
      <c r="AK243" s="8">
        <f t="shared" si="106"/>
        <v>45900</v>
      </c>
      <c r="AL243" s="8">
        <f t="shared" si="106"/>
        <v>45930</v>
      </c>
      <c r="AM243" s="8">
        <f t="shared" si="106"/>
        <v>45961</v>
      </c>
      <c r="AN243" s="8">
        <f t="shared" si="106"/>
        <v>45991</v>
      </c>
      <c r="AO243" s="8">
        <f t="shared" si="106"/>
        <v>46022</v>
      </c>
      <c r="AP243" s="8">
        <f t="shared" si="106"/>
        <v>46053</v>
      </c>
      <c r="AQ243" s="8">
        <f t="shared" si="106"/>
        <v>46081</v>
      </c>
      <c r="AR243" s="8">
        <f t="shared" si="106"/>
        <v>46112</v>
      </c>
      <c r="AS243" s="8">
        <f t="shared" si="106"/>
        <v>46142</v>
      </c>
      <c r="AT243" s="8">
        <f t="shared" si="106"/>
        <v>46173</v>
      </c>
      <c r="AU243" s="8">
        <f t="shared" si="106"/>
        <v>46203</v>
      </c>
      <c r="AV243" s="8">
        <f t="shared" si="106"/>
        <v>46234</v>
      </c>
      <c r="AW243" s="8">
        <f t="shared" si="106"/>
        <v>46265</v>
      </c>
      <c r="AX243" s="8">
        <f t="shared" si="106"/>
        <v>46295</v>
      </c>
      <c r="AY243" s="8">
        <f t="shared" si="106"/>
        <v>46326</v>
      </c>
      <c r="AZ243" s="8">
        <f t="shared" si="106"/>
        <v>46356</v>
      </c>
      <c r="BA243" s="8">
        <f t="shared" si="106"/>
        <v>46387</v>
      </c>
      <c r="BB243" s="8">
        <f t="shared" si="106"/>
        <v>46418</v>
      </c>
      <c r="BC243" s="8">
        <f t="shared" si="106"/>
        <v>46446</v>
      </c>
      <c r="BD243" s="8">
        <f t="shared" si="106"/>
        <v>46477</v>
      </c>
      <c r="BE243" s="8">
        <f t="shared" si="106"/>
        <v>46507</v>
      </c>
      <c r="BF243" s="8">
        <f t="shared" si="106"/>
        <v>46538</v>
      </c>
      <c r="BG243" s="8">
        <f t="shared" si="106"/>
        <v>46568</v>
      </c>
      <c r="BH243" s="8">
        <f t="shared" si="106"/>
        <v>46599</v>
      </c>
      <c r="BI243" s="8">
        <f t="shared" si="106"/>
        <v>46630</v>
      </c>
      <c r="BJ243" s="8">
        <f t="shared" si="106"/>
        <v>46660</v>
      </c>
      <c r="BK243" s="8">
        <f t="shared" si="106"/>
        <v>46691</v>
      </c>
      <c r="BL243" s="8">
        <f t="shared" si="106"/>
        <v>46721</v>
      </c>
      <c r="BM243" s="8">
        <f t="shared" si="106"/>
        <v>46752</v>
      </c>
      <c r="BN243" s="8">
        <f t="shared" si="106"/>
        <v>46783</v>
      </c>
      <c r="BO243" s="8">
        <f t="shared" si="106"/>
        <v>46812</v>
      </c>
      <c r="BP243" s="8">
        <f t="shared" si="106"/>
        <v>46843</v>
      </c>
      <c r="BQ243" s="8">
        <f t="shared" si="106"/>
        <v>46873</v>
      </c>
    </row>
    <row r="244" spans="1:69" outlineLevel="2">
      <c r="E244" s="8" t="str">
        <f t="shared" ref="E244:BQ244" si="107" xml:space="preserve">  E$12</f>
        <v>Model period start</v>
      </c>
      <c r="F244" s="8">
        <f t="shared" si="107"/>
        <v>0</v>
      </c>
      <c r="G244" s="8" t="str">
        <f t="shared" si="107"/>
        <v>date</v>
      </c>
      <c r="H244" s="8">
        <f t="shared" si="107"/>
        <v>0</v>
      </c>
      <c r="I244" s="8">
        <f t="shared" si="107"/>
        <v>0</v>
      </c>
      <c r="J244" s="8">
        <f t="shared" si="107"/>
        <v>45047</v>
      </c>
      <c r="K244" s="8">
        <f t="shared" si="107"/>
        <v>45078</v>
      </c>
      <c r="L244" s="8">
        <f t="shared" si="107"/>
        <v>45108</v>
      </c>
      <c r="M244" s="8">
        <f t="shared" si="107"/>
        <v>45139</v>
      </c>
      <c r="N244" s="8">
        <f t="shared" si="107"/>
        <v>45170</v>
      </c>
      <c r="O244" s="8">
        <f t="shared" si="107"/>
        <v>45200</v>
      </c>
      <c r="P244" s="8">
        <f t="shared" si="107"/>
        <v>45231</v>
      </c>
      <c r="Q244" s="8">
        <f t="shared" si="107"/>
        <v>45261</v>
      </c>
      <c r="R244" s="8">
        <f t="shared" si="107"/>
        <v>45292</v>
      </c>
      <c r="S244" s="8">
        <f t="shared" si="107"/>
        <v>45323</v>
      </c>
      <c r="T244" s="8">
        <f t="shared" si="107"/>
        <v>45352</v>
      </c>
      <c r="U244" s="8">
        <f t="shared" si="107"/>
        <v>45383</v>
      </c>
      <c r="V244" s="8">
        <f t="shared" si="107"/>
        <v>45413</v>
      </c>
      <c r="W244" s="8">
        <f t="shared" si="107"/>
        <v>45444</v>
      </c>
      <c r="X244" s="8">
        <f t="shared" si="107"/>
        <v>45474</v>
      </c>
      <c r="Y244" s="8">
        <f t="shared" si="107"/>
        <v>45505</v>
      </c>
      <c r="Z244" s="8">
        <f t="shared" si="107"/>
        <v>45536</v>
      </c>
      <c r="AA244" s="8">
        <f t="shared" si="107"/>
        <v>45566</v>
      </c>
      <c r="AB244" s="8">
        <f t="shared" si="107"/>
        <v>45597</v>
      </c>
      <c r="AC244" s="8">
        <f t="shared" si="107"/>
        <v>45627</v>
      </c>
      <c r="AD244" s="8">
        <f t="shared" si="107"/>
        <v>45658</v>
      </c>
      <c r="AE244" s="8">
        <f t="shared" si="107"/>
        <v>45689</v>
      </c>
      <c r="AF244" s="8">
        <f t="shared" si="107"/>
        <v>45717</v>
      </c>
      <c r="AG244" s="8">
        <f t="shared" si="107"/>
        <v>45748</v>
      </c>
      <c r="AH244" s="8">
        <f t="shared" si="107"/>
        <v>45778</v>
      </c>
      <c r="AI244" s="8">
        <f t="shared" si="107"/>
        <v>45809</v>
      </c>
      <c r="AJ244" s="8">
        <f t="shared" si="107"/>
        <v>45839</v>
      </c>
      <c r="AK244" s="8">
        <f t="shared" si="107"/>
        <v>45870</v>
      </c>
      <c r="AL244" s="8">
        <f t="shared" si="107"/>
        <v>45901</v>
      </c>
      <c r="AM244" s="8">
        <f t="shared" si="107"/>
        <v>45931</v>
      </c>
      <c r="AN244" s="8">
        <f t="shared" si="107"/>
        <v>45962</v>
      </c>
      <c r="AO244" s="8">
        <f t="shared" si="107"/>
        <v>45992</v>
      </c>
      <c r="AP244" s="8">
        <f t="shared" si="107"/>
        <v>46023</v>
      </c>
      <c r="AQ244" s="8">
        <f t="shared" si="107"/>
        <v>46054</v>
      </c>
      <c r="AR244" s="8">
        <f t="shared" si="107"/>
        <v>46082</v>
      </c>
      <c r="AS244" s="8">
        <f t="shared" si="107"/>
        <v>46113</v>
      </c>
      <c r="AT244" s="8">
        <f t="shared" si="107"/>
        <v>46143</v>
      </c>
      <c r="AU244" s="8">
        <f t="shared" si="107"/>
        <v>46174</v>
      </c>
      <c r="AV244" s="8">
        <f t="shared" si="107"/>
        <v>46204</v>
      </c>
      <c r="AW244" s="8">
        <f t="shared" si="107"/>
        <v>46235</v>
      </c>
      <c r="AX244" s="8">
        <f t="shared" si="107"/>
        <v>46266</v>
      </c>
      <c r="AY244" s="8">
        <f t="shared" si="107"/>
        <v>46296</v>
      </c>
      <c r="AZ244" s="8">
        <f t="shared" si="107"/>
        <v>46327</v>
      </c>
      <c r="BA244" s="8">
        <f t="shared" si="107"/>
        <v>46357</v>
      </c>
      <c r="BB244" s="8">
        <f t="shared" si="107"/>
        <v>46388</v>
      </c>
      <c r="BC244" s="8">
        <f t="shared" si="107"/>
        <v>46419</v>
      </c>
      <c r="BD244" s="8">
        <f t="shared" si="107"/>
        <v>46447</v>
      </c>
      <c r="BE244" s="8">
        <f t="shared" si="107"/>
        <v>46478</v>
      </c>
      <c r="BF244" s="8">
        <f t="shared" si="107"/>
        <v>46508</v>
      </c>
      <c r="BG244" s="8">
        <f t="shared" si="107"/>
        <v>46539</v>
      </c>
      <c r="BH244" s="8">
        <f t="shared" si="107"/>
        <v>46569</v>
      </c>
      <c r="BI244" s="8">
        <f t="shared" si="107"/>
        <v>46600</v>
      </c>
      <c r="BJ244" s="8">
        <f t="shared" si="107"/>
        <v>46631</v>
      </c>
      <c r="BK244" s="8">
        <f t="shared" si="107"/>
        <v>46661</v>
      </c>
      <c r="BL244" s="8">
        <f t="shared" si="107"/>
        <v>46692</v>
      </c>
      <c r="BM244" s="8">
        <f t="shared" si="107"/>
        <v>46722</v>
      </c>
      <c r="BN244" s="8">
        <f t="shared" si="107"/>
        <v>46753</v>
      </c>
      <c r="BO244" s="8">
        <f t="shared" si="107"/>
        <v>46784</v>
      </c>
      <c r="BP244" s="8">
        <f t="shared" si="107"/>
        <v>46813</v>
      </c>
      <c r="BQ244" s="8">
        <f t="shared" si="107"/>
        <v>46844</v>
      </c>
    </row>
    <row r="245" spans="1:69" outlineLevel="2">
      <c r="A245" s="36"/>
      <c r="B245" s="36"/>
      <c r="C245" s="65"/>
      <c r="D245" s="64"/>
      <c r="E245" s="21" t="s">
        <v>107</v>
      </c>
      <c r="F245" s="21"/>
      <c r="G245" s="21" t="s">
        <v>21</v>
      </c>
      <c r="H245" s="3">
        <f xml:space="preserve"> SUM( J245:BQ245 )</f>
        <v>60</v>
      </c>
      <c r="I245" s="21"/>
      <c r="J245" s="3">
        <f t="shared" ref="J245:BQ245" si="108" xml:space="preserve">  IF( AND( J243 &gt;= $F241, J244 &lt;= $F242 ), 1, 0 )</f>
        <v>1</v>
      </c>
      <c r="K245" s="3">
        <f t="shared" si="108"/>
        <v>1</v>
      </c>
      <c r="L245" s="3">
        <f t="shared" si="108"/>
        <v>1</v>
      </c>
      <c r="M245" s="3">
        <f t="shared" si="108"/>
        <v>1</v>
      </c>
      <c r="N245" s="3">
        <f t="shared" si="108"/>
        <v>1</v>
      </c>
      <c r="O245" s="3">
        <f t="shared" si="108"/>
        <v>1</v>
      </c>
      <c r="P245" s="3">
        <f t="shared" si="108"/>
        <v>1</v>
      </c>
      <c r="Q245" s="3">
        <f t="shared" si="108"/>
        <v>1</v>
      </c>
      <c r="R245" s="3">
        <f t="shared" si="108"/>
        <v>1</v>
      </c>
      <c r="S245" s="3">
        <f t="shared" si="108"/>
        <v>1</v>
      </c>
      <c r="T245" s="3">
        <f t="shared" si="108"/>
        <v>1</v>
      </c>
      <c r="U245" s="3">
        <f t="shared" si="108"/>
        <v>1</v>
      </c>
      <c r="V245" s="3">
        <f t="shared" si="108"/>
        <v>1</v>
      </c>
      <c r="W245" s="3">
        <f t="shared" si="108"/>
        <v>1</v>
      </c>
      <c r="X245" s="3">
        <f t="shared" si="108"/>
        <v>1</v>
      </c>
      <c r="Y245" s="3">
        <f t="shared" si="108"/>
        <v>1</v>
      </c>
      <c r="Z245" s="3">
        <f t="shared" si="108"/>
        <v>1</v>
      </c>
      <c r="AA245" s="3">
        <f t="shared" si="108"/>
        <v>1</v>
      </c>
      <c r="AB245" s="3">
        <f t="shared" si="108"/>
        <v>1</v>
      </c>
      <c r="AC245" s="3">
        <f t="shared" si="108"/>
        <v>1</v>
      </c>
      <c r="AD245" s="3">
        <f t="shared" si="108"/>
        <v>1</v>
      </c>
      <c r="AE245" s="3">
        <f t="shared" si="108"/>
        <v>1</v>
      </c>
      <c r="AF245" s="3">
        <f t="shared" si="108"/>
        <v>1</v>
      </c>
      <c r="AG245" s="3">
        <f t="shared" si="108"/>
        <v>1</v>
      </c>
      <c r="AH245" s="3">
        <f t="shared" si="108"/>
        <v>1</v>
      </c>
      <c r="AI245" s="3">
        <f t="shared" si="108"/>
        <v>1</v>
      </c>
      <c r="AJ245" s="3">
        <f t="shared" si="108"/>
        <v>1</v>
      </c>
      <c r="AK245" s="3">
        <f t="shared" si="108"/>
        <v>1</v>
      </c>
      <c r="AL245" s="3">
        <f t="shared" si="108"/>
        <v>1</v>
      </c>
      <c r="AM245" s="3">
        <f t="shared" si="108"/>
        <v>1</v>
      </c>
      <c r="AN245" s="3">
        <f t="shared" si="108"/>
        <v>1</v>
      </c>
      <c r="AO245" s="3">
        <f t="shared" si="108"/>
        <v>1</v>
      </c>
      <c r="AP245" s="3">
        <f t="shared" si="108"/>
        <v>1</v>
      </c>
      <c r="AQ245" s="3">
        <f t="shared" si="108"/>
        <v>1</v>
      </c>
      <c r="AR245" s="3">
        <f t="shared" si="108"/>
        <v>1</v>
      </c>
      <c r="AS245" s="3">
        <f t="shared" si="108"/>
        <v>1</v>
      </c>
      <c r="AT245" s="3">
        <f t="shared" si="108"/>
        <v>1</v>
      </c>
      <c r="AU245" s="3">
        <f t="shared" si="108"/>
        <v>1</v>
      </c>
      <c r="AV245" s="3">
        <f t="shared" si="108"/>
        <v>1</v>
      </c>
      <c r="AW245" s="3">
        <f t="shared" si="108"/>
        <v>1</v>
      </c>
      <c r="AX245" s="3">
        <f t="shared" si="108"/>
        <v>1</v>
      </c>
      <c r="AY245" s="3">
        <f t="shared" si="108"/>
        <v>1</v>
      </c>
      <c r="AZ245" s="3">
        <f t="shared" si="108"/>
        <v>1</v>
      </c>
      <c r="BA245" s="3">
        <f t="shared" si="108"/>
        <v>1</v>
      </c>
      <c r="BB245" s="3">
        <f t="shared" si="108"/>
        <v>1</v>
      </c>
      <c r="BC245" s="3">
        <f t="shared" si="108"/>
        <v>1</v>
      </c>
      <c r="BD245" s="3">
        <f t="shared" si="108"/>
        <v>1</v>
      </c>
      <c r="BE245" s="3">
        <f t="shared" si="108"/>
        <v>1</v>
      </c>
      <c r="BF245" s="3">
        <f t="shared" si="108"/>
        <v>1</v>
      </c>
      <c r="BG245" s="3">
        <f t="shared" si="108"/>
        <v>1</v>
      </c>
      <c r="BH245" s="3">
        <f t="shared" si="108"/>
        <v>1</v>
      </c>
      <c r="BI245" s="3">
        <f t="shared" si="108"/>
        <v>1</v>
      </c>
      <c r="BJ245" s="3">
        <f t="shared" si="108"/>
        <v>1</v>
      </c>
      <c r="BK245" s="3">
        <f t="shared" si="108"/>
        <v>1</v>
      </c>
      <c r="BL245" s="3">
        <f t="shared" si="108"/>
        <v>1</v>
      </c>
      <c r="BM245" s="3">
        <f t="shared" si="108"/>
        <v>1</v>
      </c>
      <c r="BN245" s="3">
        <f t="shared" si="108"/>
        <v>1</v>
      </c>
      <c r="BO245" s="3">
        <f t="shared" si="108"/>
        <v>1</v>
      </c>
      <c r="BP245" s="3">
        <f t="shared" si="108"/>
        <v>1</v>
      </c>
      <c r="BQ245" s="3">
        <f t="shared" si="108"/>
        <v>1</v>
      </c>
    </row>
    <row r="246" spans="1:69" outlineLevel="1"/>
    <row r="248" spans="1:69">
      <c r="A248" s="27" t="s">
        <v>311</v>
      </c>
    </row>
    <row r="249" spans="1:69" outlineLevel="1">
      <c r="B249" s="27" t="s">
        <v>311</v>
      </c>
    </row>
    <row r="250" spans="1:69" outlineLevel="2">
      <c r="E250" s="2" t="str">
        <f t="shared" ref="E250:G250" si="109" xml:space="preserve">  E$265</f>
        <v>VAT return this period first period number constant</v>
      </c>
      <c r="F250" s="2">
        <f t="shared" si="109"/>
        <v>2</v>
      </c>
      <c r="G250" s="2">
        <f t="shared" si="109"/>
        <v>0</v>
      </c>
      <c r="M250" s="2"/>
    </row>
    <row r="251" spans="1:69" outlineLevel="2">
      <c r="A251" s="18"/>
      <c r="B251" s="18"/>
      <c r="C251" s="30"/>
      <c r="D251" s="31"/>
      <c r="E251" s="4" t="str">
        <f xml:space="preserve">  InpC!E$81</f>
        <v>VAT return this period every x periods</v>
      </c>
      <c r="F251" s="4">
        <f xml:space="preserve">  InpC!F$81</f>
        <v>3</v>
      </c>
      <c r="G251" s="4" t="str">
        <f xml:space="preserve">  InpC!G$81</f>
        <v>Months</v>
      </c>
      <c r="M251" s="2"/>
    </row>
    <row r="252" spans="1:69" outlineLevel="2">
      <c r="E252" s="2" t="str">
        <f t="shared" ref="E252:G252" si="110" xml:space="preserve">  E$260</f>
        <v>VAT return this period mod of period number</v>
      </c>
      <c r="F252" s="2">
        <f t="shared" si="110"/>
        <v>2</v>
      </c>
      <c r="G252" s="2">
        <f t="shared" si="110"/>
        <v>0</v>
      </c>
      <c r="M252" s="2"/>
    </row>
    <row r="253" spans="1:69" outlineLevel="2">
      <c r="E253" s="5" t="str">
        <f t="shared" ref="E253:BQ253" si="111" xml:space="preserve">  E$28</f>
        <v>Period number</v>
      </c>
      <c r="F253" s="5">
        <f t="shared" si="111"/>
        <v>0</v>
      </c>
      <c r="G253" s="5" t="str">
        <f t="shared" si="111"/>
        <v>Counter</v>
      </c>
      <c r="H253" s="5">
        <f t="shared" si="111"/>
        <v>0</v>
      </c>
      <c r="I253" s="5">
        <f t="shared" si="111"/>
        <v>0</v>
      </c>
      <c r="J253" s="5">
        <f t="shared" si="111"/>
        <v>1</v>
      </c>
      <c r="K253" s="5">
        <f t="shared" si="111"/>
        <v>2</v>
      </c>
      <c r="L253" s="5">
        <f t="shared" si="111"/>
        <v>3</v>
      </c>
      <c r="M253" s="5">
        <f t="shared" si="111"/>
        <v>4</v>
      </c>
      <c r="N253" s="5">
        <f t="shared" si="111"/>
        <v>5</v>
      </c>
      <c r="O253" s="5">
        <f t="shared" si="111"/>
        <v>6</v>
      </c>
      <c r="P253" s="5">
        <f t="shared" si="111"/>
        <v>7</v>
      </c>
      <c r="Q253" s="5">
        <f t="shared" si="111"/>
        <v>8</v>
      </c>
      <c r="R253" s="5">
        <f t="shared" si="111"/>
        <v>9</v>
      </c>
      <c r="S253" s="5">
        <f t="shared" si="111"/>
        <v>10</v>
      </c>
      <c r="T253" s="5">
        <f t="shared" si="111"/>
        <v>11</v>
      </c>
      <c r="U253" s="5">
        <f t="shared" si="111"/>
        <v>12</v>
      </c>
      <c r="V253" s="5">
        <f t="shared" si="111"/>
        <v>13</v>
      </c>
      <c r="W253" s="5">
        <f t="shared" si="111"/>
        <v>14</v>
      </c>
      <c r="X253" s="5">
        <f t="shared" si="111"/>
        <v>15</v>
      </c>
      <c r="Y253" s="5">
        <f t="shared" si="111"/>
        <v>16</v>
      </c>
      <c r="Z253" s="5">
        <f t="shared" si="111"/>
        <v>17</v>
      </c>
      <c r="AA253" s="5">
        <f t="shared" si="111"/>
        <v>18</v>
      </c>
      <c r="AB253" s="5">
        <f t="shared" si="111"/>
        <v>19</v>
      </c>
      <c r="AC253" s="5">
        <f t="shared" si="111"/>
        <v>20</v>
      </c>
      <c r="AD253" s="5">
        <f t="shared" si="111"/>
        <v>21</v>
      </c>
      <c r="AE253" s="5">
        <f t="shared" si="111"/>
        <v>22</v>
      </c>
      <c r="AF253" s="5">
        <f t="shared" si="111"/>
        <v>23</v>
      </c>
      <c r="AG253" s="5">
        <f t="shared" si="111"/>
        <v>24</v>
      </c>
      <c r="AH253" s="5">
        <f t="shared" si="111"/>
        <v>25</v>
      </c>
      <c r="AI253" s="5">
        <f t="shared" si="111"/>
        <v>26</v>
      </c>
      <c r="AJ253" s="5">
        <f t="shared" si="111"/>
        <v>27</v>
      </c>
      <c r="AK253" s="5">
        <f t="shared" si="111"/>
        <v>28</v>
      </c>
      <c r="AL253" s="5">
        <f t="shared" si="111"/>
        <v>29</v>
      </c>
      <c r="AM253" s="5">
        <f t="shared" si="111"/>
        <v>30</v>
      </c>
      <c r="AN253" s="5">
        <f t="shared" si="111"/>
        <v>31</v>
      </c>
      <c r="AO253" s="5">
        <f t="shared" si="111"/>
        <v>32</v>
      </c>
      <c r="AP253" s="5">
        <f t="shared" si="111"/>
        <v>33</v>
      </c>
      <c r="AQ253" s="5">
        <f t="shared" si="111"/>
        <v>34</v>
      </c>
      <c r="AR253" s="5">
        <f t="shared" si="111"/>
        <v>35</v>
      </c>
      <c r="AS253" s="5">
        <f t="shared" si="111"/>
        <v>36</v>
      </c>
      <c r="AT253" s="5">
        <f t="shared" si="111"/>
        <v>37</v>
      </c>
      <c r="AU253" s="5">
        <f t="shared" si="111"/>
        <v>38</v>
      </c>
      <c r="AV253" s="5">
        <f t="shared" si="111"/>
        <v>39</v>
      </c>
      <c r="AW253" s="5">
        <f t="shared" si="111"/>
        <v>40</v>
      </c>
      <c r="AX253" s="5">
        <f t="shared" si="111"/>
        <v>41</v>
      </c>
      <c r="AY253" s="5">
        <f t="shared" si="111"/>
        <v>42</v>
      </c>
      <c r="AZ253" s="5">
        <f t="shared" si="111"/>
        <v>43</v>
      </c>
      <c r="BA253" s="5">
        <f t="shared" si="111"/>
        <v>44</v>
      </c>
      <c r="BB253" s="5">
        <f t="shared" si="111"/>
        <v>45</v>
      </c>
      <c r="BC253" s="5">
        <f t="shared" si="111"/>
        <v>46</v>
      </c>
      <c r="BD253" s="5">
        <f t="shared" si="111"/>
        <v>47</v>
      </c>
      <c r="BE253" s="5">
        <f t="shared" si="111"/>
        <v>48</v>
      </c>
      <c r="BF253" s="5">
        <f t="shared" si="111"/>
        <v>49</v>
      </c>
      <c r="BG253" s="5">
        <f t="shared" si="111"/>
        <v>50</v>
      </c>
      <c r="BH253" s="5">
        <f t="shared" si="111"/>
        <v>51</v>
      </c>
      <c r="BI253" s="5">
        <f t="shared" si="111"/>
        <v>52</v>
      </c>
      <c r="BJ253" s="5">
        <f t="shared" si="111"/>
        <v>53</v>
      </c>
      <c r="BK253" s="5">
        <f t="shared" si="111"/>
        <v>54</v>
      </c>
      <c r="BL253" s="5">
        <f t="shared" si="111"/>
        <v>55</v>
      </c>
      <c r="BM253" s="5">
        <f t="shared" si="111"/>
        <v>56</v>
      </c>
      <c r="BN253" s="5">
        <f t="shared" si="111"/>
        <v>57</v>
      </c>
      <c r="BO253" s="5">
        <f t="shared" si="111"/>
        <v>58</v>
      </c>
      <c r="BP253" s="5">
        <f t="shared" si="111"/>
        <v>59</v>
      </c>
      <c r="BQ253" s="5">
        <f t="shared" si="111"/>
        <v>60</v>
      </c>
    </row>
    <row r="254" spans="1:69" outlineLevel="2">
      <c r="A254" s="36"/>
      <c r="B254" s="36"/>
      <c r="C254" s="65"/>
      <c r="D254" s="64"/>
      <c r="E254" s="21" t="s">
        <v>311</v>
      </c>
      <c r="F254" s="21"/>
      <c r="G254" s="21" t="s">
        <v>21</v>
      </c>
      <c r="H254" s="3">
        <f xml:space="preserve"> SUM( J254:BQ254 )</f>
        <v>20</v>
      </c>
      <c r="I254" s="21"/>
      <c r="J254" s="3">
        <f t="shared" ref="J254:BQ254" si="112" xml:space="preserve">  IF( AND( J253 &gt;= $F250, MOD( J253, $F251 ) = $F252 ), 1, 0 )</f>
        <v>0</v>
      </c>
      <c r="K254" s="3">
        <f t="shared" si="112"/>
        <v>1</v>
      </c>
      <c r="L254" s="3">
        <f t="shared" si="112"/>
        <v>0</v>
      </c>
      <c r="M254" s="3">
        <f t="shared" si="112"/>
        <v>0</v>
      </c>
      <c r="N254" s="3">
        <f t="shared" si="112"/>
        <v>1</v>
      </c>
      <c r="O254" s="3">
        <f t="shared" si="112"/>
        <v>0</v>
      </c>
      <c r="P254" s="3">
        <f t="shared" si="112"/>
        <v>0</v>
      </c>
      <c r="Q254" s="3">
        <f t="shared" si="112"/>
        <v>1</v>
      </c>
      <c r="R254" s="3">
        <f t="shared" si="112"/>
        <v>0</v>
      </c>
      <c r="S254" s="3">
        <f t="shared" si="112"/>
        <v>0</v>
      </c>
      <c r="T254" s="3">
        <f t="shared" si="112"/>
        <v>1</v>
      </c>
      <c r="U254" s="3">
        <f t="shared" si="112"/>
        <v>0</v>
      </c>
      <c r="V254" s="3">
        <f t="shared" si="112"/>
        <v>0</v>
      </c>
      <c r="W254" s="3">
        <f t="shared" si="112"/>
        <v>1</v>
      </c>
      <c r="X254" s="3">
        <f t="shared" si="112"/>
        <v>0</v>
      </c>
      <c r="Y254" s="3">
        <f t="shared" si="112"/>
        <v>0</v>
      </c>
      <c r="Z254" s="3">
        <f t="shared" si="112"/>
        <v>1</v>
      </c>
      <c r="AA254" s="3">
        <f t="shared" si="112"/>
        <v>0</v>
      </c>
      <c r="AB254" s="3">
        <f t="shared" si="112"/>
        <v>0</v>
      </c>
      <c r="AC254" s="3">
        <f t="shared" si="112"/>
        <v>1</v>
      </c>
      <c r="AD254" s="3">
        <f t="shared" si="112"/>
        <v>0</v>
      </c>
      <c r="AE254" s="3">
        <f t="shared" si="112"/>
        <v>0</v>
      </c>
      <c r="AF254" s="3">
        <f t="shared" si="112"/>
        <v>1</v>
      </c>
      <c r="AG254" s="3">
        <f t="shared" si="112"/>
        <v>0</v>
      </c>
      <c r="AH254" s="3">
        <f t="shared" si="112"/>
        <v>0</v>
      </c>
      <c r="AI254" s="3">
        <f t="shared" si="112"/>
        <v>1</v>
      </c>
      <c r="AJ254" s="3">
        <f t="shared" si="112"/>
        <v>0</v>
      </c>
      <c r="AK254" s="3">
        <f t="shared" si="112"/>
        <v>0</v>
      </c>
      <c r="AL254" s="3">
        <f t="shared" si="112"/>
        <v>1</v>
      </c>
      <c r="AM254" s="3">
        <f t="shared" si="112"/>
        <v>0</v>
      </c>
      <c r="AN254" s="3">
        <f t="shared" si="112"/>
        <v>0</v>
      </c>
      <c r="AO254" s="3">
        <f t="shared" si="112"/>
        <v>1</v>
      </c>
      <c r="AP254" s="3">
        <f t="shared" si="112"/>
        <v>0</v>
      </c>
      <c r="AQ254" s="3">
        <f t="shared" si="112"/>
        <v>0</v>
      </c>
      <c r="AR254" s="3">
        <f t="shared" si="112"/>
        <v>1</v>
      </c>
      <c r="AS254" s="3">
        <f t="shared" si="112"/>
        <v>0</v>
      </c>
      <c r="AT254" s="3">
        <f t="shared" si="112"/>
        <v>0</v>
      </c>
      <c r="AU254" s="3">
        <f t="shared" si="112"/>
        <v>1</v>
      </c>
      <c r="AV254" s="3">
        <f t="shared" si="112"/>
        <v>0</v>
      </c>
      <c r="AW254" s="3">
        <f t="shared" si="112"/>
        <v>0</v>
      </c>
      <c r="AX254" s="3">
        <f t="shared" si="112"/>
        <v>1</v>
      </c>
      <c r="AY254" s="3">
        <f t="shared" si="112"/>
        <v>0</v>
      </c>
      <c r="AZ254" s="3">
        <f t="shared" si="112"/>
        <v>0</v>
      </c>
      <c r="BA254" s="3">
        <f t="shared" si="112"/>
        <v>1</v>
      </c>
      <c r="BB254" s="3">
        <f t="shared" si="112"/>
        <v>0</v>
      </c>
      <c r="BC254" s="3">
        <f t="shared" si="112"/>
        <v>0</v>
      </c>
      <c r="BD254" s="3">
        <f t="shared" si="112"/>
        <v>1</v>
      </c>
      <c r="BE254" s="3">
        <f t="shared" si="112"/>
        <v>0</v>
      </c>
      <c r="BF254" s="3">
        <f t="shared" si="112"/>
        <v>0</v>
      </c>
      <c r="BG254" s="3">
        <f t="shared" si="112"/>
        <v>1</v>
      </c>
      <c r="BH254" s="3">
        <f t="shared" si="112"/>
        <v>0</v>
      </c>
      <c r="BI254" s="3">
        <f t="shared" si="112"/>
        <v>0</v>
      </c>
      <c r="BJ254" s="3">
        <f t="shared" si="112"/>
        <v>1</v>
      </c>
      <c r="BK254" s="3">
        <f t="shared" si="112"/>
        <v>0</v>
      </c>
      <c r="BL254" s="3">
        <f t="shared" si="112"/>
        <v>0</v>
      </c>
      <c r="BM254" s="3">
        <f t="shared" si="112"/>
        <v>1</v>
      </c>
      <c r="BN254" s="3">
        <f t="shared" si="112"/>
        <v>0</v>
      </c>
      <c r="BO254" s="3">
        <f t="shared" si="112"/>
        <v>0</v>
      </c>
      <c r="BP254" s="3">
        <f t="shared" si="112"/>
        <v>1</v>
      </c>
      <c r="BQ254" s="3">
        <f t="shared" si="112"/>
        <v>0</v>
      </c>
    </row>
    <row r="255" spans="1:69" outlineLevel="1"/>
    <row r="256" spans="1:69" outlineLevel="1"/>
    <row r="257" spans="1:69" outlineLevel="1">
      <c r="B257" s="27" t="s">
        <v>108</v>
      </c>
    </row>
    <row r="258" spans="1:69" outlineLevel="2">
      <c r="E258" s="2" t="str">
        <f t="shared" ref="E258:G258" si="113" xml:space="preserve">  E$265</f>
        <v>VAT return this period first period number constant</v>
      </c>
      <c r="F258" s="2">
        <f t="shared" si="113"/>
        <v>2</v>
      </c>
      <c r="G258" s="2">
        <f t="shared" si="113"/>
        <v>0</v>
      </c>
      <c r="M258" s="2"/>
    </row>
    <row r="259" spans="1:69" outlineLevel="2">
      <c r="A259" s="18"/>
      <c r="B259" s="18"/>
      <c r="C259" s="30"/>
      <c r="D259" s="31"/>
      <c r="E259" s="4" t="str">
        <f xml:space="preserve">  InpC!E$81</f>
        <v>VAT return this period every x periods</v>
      </c>
      <c r="F259" s="4">
        <f xml:space="preserve">  InpC!F$81</f>
        <v>3</v>
      </c>
      <c r="G259" s="4" t="str">
        <f xml:space="preserve">  InpC!G$81</f>
        <v>Months</v>
      </c>
      <c r="M259" s="2"/>
    </row>
    <row r="260" spans="1:69" outlineLevel="2">
      <c r="E260" s="46" t="s">
        <v>108</v>
      </c>
      <c r="F260" s="2">
        <f xml:space="preserve">  MOD( $F258, $F259 )</f>
        <v>2</v>
      </c>
      <c r="M260" s="2"/>
    </row>
    <row r="261" spans="1:69" outlineLevel="1"/>
    <row r="262" spans="1:69" outlineLevel="1"/>
    <row r="263" spans="1:69" outlineLevel="1">
      <c r="B263" s="27" t="s">
        <v>78</v>
      </c>
    </row>
    <row r="264" spans="1:69" outlineLevel="2">
      <c r="E264" s="2" t="str">
        <f t="shared" ref="E264:BQ264" si="114" xml:space="preserve">  E$271</f>
        <v>VAT return this period first period number</v>
      </c>
      <c r="F264" s="2">
        <f t="shared" si="114"/>
        <v>0</v>
      </c>
      <c r="G264" s="2">
        <f t="shared" si="114"/>
        <v>0</v>
      </c>
      <c r="H264" s="2">
        <f t="shared" si="114"/>
        <v>2</v>
      </c>
      <c r="I264" s="2">
        <f t="shared" si="114"/>
        <v>0</v>
      </c>
      <c r="J264" s="2">
        <f t="shared" si="114"/>
        <v>0</v>
      </c>
      <c r="K264" s="2">
        <f t="shared" si="114"/>
        <v>2</v>
      </c>
      <c r="L264" s="2">
        <f t="shared" si="114"/>
        <v>0</v>
      </c>
      <c r="M264" s="2">
        <f t="shared" si="114"/>
        <v>0</v>
      </c>
      <c r="N264" s="2">
        <f t="shared" si="114"/>
        <v>0</v>
      </c>
      <c r="O264" s="2">
        <f t="shared" si="114"/>
        <v>0</v>
      </c>
      <c r="P264" s="2">
        <f t="shared" si="114"/>
        <v>0</v>
      </c>
      <c r="Q264" s="2">
        <f t="shared" si="114"/>
        <v>0</v>
      </c>
      <c r="R264" s="2">
        <f t="shared" si="114"/>
        <v>0</v>
      </c>
      <c r="S264" s="2">
        <f t="shared" si="114"/>
        <v>0</v>
      </c>
      <c r="T264" s="2">
        <f t="shared" si="114"/>
        <v>0</v>
      </c>
      <c r="U264" s="2">
        <f t="shared" si="114"/>
        <v>0</v>
      </c>
      <c r="V264" s="2">
        <f t="shared" si="114"/>
        <v>0</v>
      </c>
      <c r="W264" s="2">
        <f t="shared" si="114"/>
        <v>0</v>
      </c>
      <c r="X264" s="2">
        <f t="shared" si="114"/>
        <v>0</v>
      </c>
      <c r="Y264" s="2">
        <f t="shared" si="114"/>
        <v>0</v>
      </c>
      <c r="Z264" s="2">
        <f t="shared" si="114"/>
        <v>0</v>
      </c>
      <c r="AA264" s="2">
        <f t="shared" si="114"/>
        <v>0</v>
      </c>
      <c r="AB264" s="2">
        <f t="shared" si="114"/>
        <v>0</v>
      </c>
      <c r="AC264" s="2">
        <f t="shared" si="114"/>
        <v>0</v>
      </c>
      <c r="AD264" s="2">
        <f t="shared" si="114"/>
        <v>0</v>
      </c>
      <c r="AE264" s="2">
        <f t="shared" si="114"/>
        <v>0</v>
      </c>
      <c r="AF264" s="2">
        <f t="shared" si="114"/>
        <v>0</v>
      </c>
      <c r="AG264" s="2">
        <f t="shared" si="114"/>
        <v>0</v>
      </c>
      <c r="AH264" s="2">
        <f t="shared" si="114"/>
        <v>0</v>
      </c>
      <c r="AI264" s="2">
        <f t="shared" si="114"/>
        <v>0</v>
      </c>
      <c r="AJ264" s="2">
        <f t="shared" si="114"/>
        <v>0</v>
      </c>
      <c r="AK264" s="2">
        <f t="shared" si="114"/>
        <v>0</v>
      </c>
      <c r="AL264" s="2">
        <f t="shared" si="114"/>
        <v>0</v>
      </c>
      <c r="AM264" s="2">
        <f t="shared" si="114"/>
        <v>0</v>
      </c>
      <c r="AN264" s="2">
        <f t="shared" si="114"/>
        <v>0</v>
      </c>
      <c r="AO264" s="2">
        <f t="shared" si="114"/>
        <v>0</v>
      </c>
      <c r="AP264" s="2">
        <f t="shared" si="114"/>
        <v>0</v>
      </c>
      <c r="AQ264" s="2">
        <f t="shared" si="114"/>
        <v>0</v>
      </c>
      <c r="AR264" s="2">
        <f t="shared" si="114"/>
        <v>0</v>
      </c>
      <c r="AS264" s="2">
        <f t="shared" si="114"/>
        <v>0</v>
      </c>
      <c r="AT264" s="2">
        <f t="shared" si="114"/>
        <v>0</v>
      </c>
      <c r="AU264" s="2">
        <f t="shared" si="114"/>
        <v>0</v>
      </c>
      <c r="AV264" s="2">
        <f t="shared" si="114"/>
        <v>0</v>
      </c>
      <c r="AW264" s="2">
        <f t="shared" si="114"/>
        <v>0</v>
      </c>
      <c r="AX264" s="2">
        <f t="shared" si="114"/>
        <v>0</v>
      </c>
      <c r="AY264" s="2">
        <f t="shared" si="114"/>
        <v>0</v>
      </c>
      <c r="AZ264" s="2">
        <f t="shared" si="114"/>
        <v>0</v>
      </c>
      <c r="BA264" s="2">
        <f t="shared" si="114"/>
        <v>0</v>
      </c>
      <c r="BB264" s="2">
        <f t="shared" si="114"/>
        <v>0</v>
      </c>
      <c r="BC264" s="2">
        <f t="shared" si="114"/>
        <v>0</v>
      </c>
      <c r="BD264" s="2">
        <f t="shared" si="114"/>
        <v>0</v>
      </c>
      <c r="BE264" s="2">
        <f t="shared" si="114"/>
        <v>0</v>
      </c>
      <c r="BF264" s="2">
        <f t="shared" si="114"/>
        <v>0</v>
      </c>
      <c r="BG264" s="2">
        <f t="shared" si="114"/>
        <v>0</v>
      </c>
      <c r="BH264" s="2">
        <f t="shared" si="114"/>
        <v>0</v>
      </c>
      <c r="BI264" s="2">
        <f t="shared" si="114"/>
        <v>0</v>
      </c>
      <c r="BJ264" s="2">
        <f t="shared" si="114"/>
        <v>0</v>
      </c>
      <c r="BK264" s="2">
        <f t="shared" si="114"/>
        <v>0</v>
      </c>
      <c r="BL264" s="2">
        <f t="shared" si="114"/>
        <v>0</v>
      </c>
      <c r="BM264" s="2">
        <f t="shared" si="114"/>
        <v>0</v>
      </c>
      <c r="BN264" s="2">
        <f t="shared" si="114"/>
        <v>0</v>
      </c>
      <c r="BO264" s="2">
        <f t="shared" si="114"/>
        <v>0</v>
      </c>
      <c r="BP264" s="2">
        <f t="shared" si="114"/>
        <v>0</v>
      </c>
      <c r="BQ264" s="2">
        <f t="shared" si="114"/>
        <v>0</v>
      </c>
    </row>
    <row r="265" spans="1:69" outlineLevel="2">
      <c r="E265" s="46" t="s">
        <v>78</v>
      </c>
      <c r="F265" s="2">
        <f xml:space="preserve">  SUM( $J264:$BQ264 )</f>
        <v>2</v>
      </c>
      <c r="M265" s="2"/>
    </row>
    <row r="266" spans="1:69" outlineLevel="1"/>
    <row r="267" spans="1:69" outlineLevel="1"/>
    <row r="268" spans="1:69" outlineLevel="1">
      <c r="B268" s="27" t="s">
        <v>33</v>
      </c>
    </row>
    <row r="269" spans="1:69" outlineLevel="2">
      <c r="E269" s="5" t="str">
        <f t="shared" ref="E269:BQ269" si="115" xml:space="preserve">  E$28</f>
        <v>Period number</v>
      </c>
      <c r="F269" s="5">
        <f t="shared" si="115"/>
        <v>0</v>
      </c>
      <c r="G269" s="5" t="str">
        <f t="shared" si="115"/>
        <v>Counter</v>
      </c>
      <c r="H269" s="5">
        <f t="shared" si="115"/>
        <v>0</v>
      </c>
      <c r="I269" s="5">
        <f t="shared" si="115"/>
        <v>0</v>
      </c>
      <c r="J269" s="5">
        <f t="shared" si="115"/>
        <v>1</v>
      </c>
      <c r="K269" s="5">
        <f t="shared" si="115"/>
        <v>2</v>
      </c>
      <c r="L269" s="5">
        <f t="shared" si="115"/>
        <v>3</v>
      </c>
      <c r="M269" s="5">
        <f t="shared" si="115"/>
        <v>4</v>
      </c>
      <c r="N269" s="5">
        <f t="shared" si="115"/>
        <v>5</v>
      </c>
      <c r="O269" s="5">
        <f t="shared" si="115"/>
        <v>6</v>
      </c>
      <c r="P269" s="5">
        <f t="shared" si="115"/>
        <v>7</v>
      </c>
      <c r="Q269" s="5">
        <f t="shared" si="115"/>
        <v>8</v>
      </c>
      <c r="R269" s="5">
        <f t="shared" si="115"/>
        <v>9</v>
      </c>
      <c r="S269" s="5">
        <f t="shared" si="115"/>
        <v>10</v>
      </c>
      <c r="T269" s="5">
        <f t="shared" si="115"/>
        <v>11</v>
      </c>
      <c r="U269" s="5">
        <f t="shared" si="115"/>
        <v>12</v>
      </c>
      <c r="V269" s="5">
        <f t="shared" si="115"/>
        <v>13</v>
      </c>
      <c r="W269" s="5">
        <f t="shared" si="115"/>
        <v>14</v>
      </c>
      <c r="X269" s="5">
        <f t="shared" si="115"/>
        <v>15</v>
      </c>
      <c r="Y269" s="5">
        <f t="shared" si="115"/>
        <v>16</v>
      </c>
      <c r="Z269" s="5">
        <f t="shared" si="115"/>
        <v>17</v>
      </c>
      <c r="AA269" s="5">
        <f t="shared" si="115"/>
        <v>18</v>
      </c>
      <c r="AB269" s="5">
        <f t="shared" si="115"/>
        <v>19</v>
      </c>
      <c r="AC269" s="5">
        <f t="shared" si="115"/>
        <v>20</v>
      </c>
      <c r="AD269" s="5">
        <f t="shared" si="115"/>
        <v>21</v>
      </c>
      <c r="AE269" s="5">
        <f t="shared" si="115"/>
        <v>22</v>
      </c>
      <c r="AF269" s="5">
        <f t="shared" si="115"/>
        <v>23</v>
      </c>
      <c r="AG269" s="5">
        <f t="shared" si="115"/>
        <v>24</v>
      </c>
      <c r="AH269" s="5">
        <f t="shared" si="115"/>
        <v>25</v>
      </c>
      <c r="AI269" s="5">
        <f t="shared" si="115"/>
        <v>26</v>
      </c>
      <c r="AJ269" s="5">
        <f t="shared" si="115"/>
        <v>27</v>
      </c>
      <c r="AK269" s="5">
        <f t="shared" si="115"/>
        <v>28</v>
      </c>
      <c r="AL269" s="5">
        <f t="shared" si="115"/>
        <v>29</v>
      </c>
      <c r="AM269" s="5">
        <f t="shared" si="115"/>
        <v>30</v>
      </c>
      <c r="AN269" s="5">
        <f t="shared" si="115"/>
        <v>31</v>
      </c>
      <c r="AO269" s="5">
        <f t="shared" si="115"/>
        <v>32</v>
      </c>
      <c r="AP269" s="5">
        <f t="shared" si="115"/>
        <v>33</v>
      </c>
      <c r="AQ269" s="5">
        <f t="shared" si="115"/>
        <v>34</v>
      </c>
      <c r="AR269" s="5">
        <f t="shared" si="115"/>
        <v>35</v>
      </c>
      <c r="AS269" s="5">
        <f t="shared" si="115"/>
        <v>36</v>
      </c>
      <c r="AT269" s="5">
        <f t="shared" si="115"/>
        <v>37</v>
      </c>
      <c r="AU269" s="5">
        <f t="shared" si="115"/>
        <v>38</v>
      </c>
      <c r="AV269" s="5">
        <f t="shared" si="115"/>
        <v>39</v>
      </c>
      <c r="AW269" s="5">
        <f t="shared" si="115"/>
        <v>40</v>
      </c>
      <c r="AX269" s="5">
        <f t="shared" si="115"/>
        <v>41</v>
      </c>
      <c r="AY269" s="5">
        <f t="shared" si="115"/>
        <v>42</v>
      </c>
      <c r="AZ269" s="5">
        <f t="shared" si="115"/>
        <v>43</v>
      </c>
      <c r="BA269" s="5">
        <f t="shared" si="115"/>
        <v>44</v>
      </c>
      <c r="BB269" s="5">
        <f t="shared" si="115"/>
        <v>45</v>
      </c>
      <c r="BC269" s="5">
        <f t="shared" si="115"/>
        <v>46</v>
      </c>
      <c r="BD269" s="5">
        <f t="shared" si="115"/>
        <v>47</v>
      </c>
      <c r="BE269" s="5">
        <f t="shared" si="115"/>
        <v>48</v>
      </c>
      <c r="BF269" s="5">
        <f t="shared" si="115"/>
        <v>49</v>
      </c>
      <c r="BG269" s="5">
        <f t="shared" si="115"/>
        <v>50</v>
      </c>
      <c r="BH269" s="5">
        <f t="shared" si="115"/>
        <v>51</v>
      </c>
      <c r="BI269" s="5">
        <f t="shared" si="115"/>
        <v>52</v>
      </c>
      <c r="BJ269" s="5">
        <f t="shared" si="115"/>
        <v>53</v>
      </c>
      <c r="BK269" s="5">
        <f t="shared" si="115"/>
        <v>54</v>
      </c>
      <c r="BL269" s="5">
        <f t="shared" si="115"/>
        <v>55</v>
      </c>
      <c r="BM269" s="5">
        <f t="shared" si="115"/>
        <v>56</v>
      </c>
      <c r="BN269" s="5">
        <f t="shared" si="115"/>
        <v>57</v>
      </c>
      <c r="BO269" s="5">
        <f t="shared" si="115"/>
        <v>58</v>
      </c>
      <c r="BP269" s="5">
        <f t="shared" si="115"/>
        <v>59</v>
      </c>
      <c r="BQ269" s="5">
        <f t="shared" si="115"/>
        <v>60</v>
      </c>
    </row>
    <row r="270" spans="1:69" outlineLevel="2">
      <c r="E270" s="2" t="str">
        <f t="shared" ref="E270:BQ270" si="116" xml:space="preserve">  E$278</f>
        <v>VAT return this period first period flag</v>
      </c>
      <c r="F270" s="2">
        <f t="shared" si="116"/>
        <v>0</v>
      </c>
      <c r="G270" s="2" t="str">
        <f t="shared" si="116"/>
        <v>flag</v>
      </c>
      <c r="H270" s="2">
        <f t="shared" si="116"/>
        <v>1</v>
      </c>
      <c r="I270" s="2">
        <f t="shared" si="116"/>
        <v>0</v>
      </c>
      <c r="J270" s="2">
        <f t="shared" si="116"/>
        <v>0</v>
      </c>
      <c r="K270" s="2">
        <f t="shared" si="116"/>
        <v>1</v>
      </c>
      <c r="L270" s="2">
        <f t="shared" si="116"/>
        <v>0</v>
      </c>
      <c r="M270" s="2">
        <f t="shared" si="116"/>
        <v>0</v>
      </c>
      <c r="N270" s="2">
        <f t="shared" si="116"/>
        <v>0</v>
      </c>
      <c r="O270" s="2">
        <f t="shared" si="116"/>
        <v>0</v>
      </c>
      <c r="P270" s="2">
        <f t="shared" si="116"/>
        <v>0</v>
      </c>
      <c r="Q270" s="2">
        <f t="shared" si="116"/>
        <v>0</v>
      </c>
      <c r="R270" s="2">
        <f t="shared" si="116"/>
        <v>0</v>
      </c>
      <c r="S270" s="2">
        <f t="shared" si="116"/>
        <v>0</v>
      </c>
      <c r="T270" s="2">
        <f t="shared" si="116"/>
        <v>0</v>
      </c>
      <c r="U270" s="2">
        <f t="shared" si="116"/>
        <v>0</v>
      </c>
      <c r="V270" s="2">
        <f t="shared" si="116"/>
        <v>0</v>
      </c>
      <c r="W270" s="2">
        <f t="shared" si="116"/>
        <v>0</v>
      </c>
      <c r="X270" s="2">
        <f t="shared" si="116"/>
        <v>0</v>
      </c>
      <c r="Y270" s="2">
        <f t="shared" si="116"/>
        <v>0</v>
      </c>
      <c r="Z270" s="2">
        <f t="shared" si="116"/>
        <v>0</v>
      </c>
      <c r="AA270" s="2">
        <f t="shared" si="116"/>
        <v>0</v>
      </c>
      <c r="AB270" s="2">
        <f t="shared" si="116"/>
        <v>0</v>
      </c>
      <c r="AC270" s="2">
        <f t="shared" si="116"/>
        <v>0</v>
      </c>
      <c r="AD270" s="2">
        <f t="shared" si="116"/>
        <v>0</v>
      </c>
      <c r="AE270" s="2">
        <f t="shared" si="116"/>
        <v>0</v>
      </c>
      <c r="AF270" s="2">
        <f t="shared" si="116"/>
        <v>0</v>
      </c>
      <c r="AG270" s="2">
        <f t="shared" si="116"/>
        <v>0</v>
      </c>
      <c r="AH270" s="2">
        <f t="shared" si="116"/>
        <v>0</v>
      </c>
      <c r="AI270" s="2">
        <f t="shared" si="116"/>
        <v>0</v>
      </c>
      <c r="AJ270" s="2">
        <f t="shared" si="116"/>
        <v>0</v>
      </c>
      <c r="AK270" s="2">
        <f t="shared" si="116"/>
        <v>0</v>
      </c>
      <c r="AL270" s="2">
        <f t="shared" si="116"/>
        <v>0</v>
      </c>
      <c r="AM270" s="2">
        <f t="shared" si="116"/>
        <v>0</v>
      </c>
      <c r="AN270" s="2">
        <f t="shared" si="116"/>
        <v>0</v>
      </c>
      <c r="AO270" s="2">
        <f t="shared" si="116"/>
        <v>0</v>
      </c>
      <c r="AP270" s="2">
        <f t="shared" si="116"/>
        <v>0</v>
      </c>
      <c r="AQ270" s="2">
        <f t="shared" si="116"/>
        <v>0</v>
      </c>
      <c r="AR270" s="2">
        <f t="shared" si="116"/>
        <v>0</v>
      </c>
      <c r="AS270" s="2">
        <f t="shared" si="116"/>
        <v>0</v>
      </c>
      <c r="AT270" s="2">
        <f t="shared" si="116"/>
        <v>0</v>
      </c>
      <c r="AU270" s="2">
        <f t="shared" si="116"/>
        <v>0</v>
      </c>
      <c r="AV270" s="2">
        <f t="shared" si="116"/>
        <v>0</v>
      </c>
      <c r="AW270" s="2">
        <f t="shared" si="116"/>
        <v>0</v>
      </c>
      <c r="AX270" s="2">
        <f t="shared" si="116"/>
        <v>0</v>
      </c>
      <c r="AY270" s="2">
        <f t="shared" si="116"/>
        <v>0</v>
      </c>
      <c r="AZ270" s="2">
        <f t="shared" si="116"/>
        <v>0</v>
      </c>
      <c r="BA270" s="2">
        <f t="shared" si="116"/>
        <v>0</v>
      </c>
      <c r="BB270" s="2">
        <f t="shared" si="116"/>
        <v>0</v>
      </c>
      <c r="BC270" s="2">
        <f t="shared" si="116"/>
        <v>0</v>
      </c>
      <c r="BD270" s="2">
        <f t="shared" si="116"/>
        <v>0</v>
      </c>
      <c r="BE270" s="2">
        <f t="shared" si="116"/>
        <v>0</v>
      </c>
      <c r="BF270" s="2">
        <f t="shared" si="116"/>
        <v>0</v>
      </c>
      <c r="BG270" s="2">
        <f t="shared" si="116"/>
        <v>0</v>
      </c>
      <c r="BH270" s="2">
        <f t="shared" si="116"/>
        <v>0</v>
      </c>
      <c r="BI270" s="2">
        <f t="shared" si="116"/>
        <v>0</v>
      </c>
      <c r="BJ270" s="2">
        <f t="shared" si="116"/>
        <v>0</v>
      </c>
      <c r="BK270" s="2">
        <f t="shared" si="116"/>
        <v>0</v>
      </c>
      <c r="BL270" s="2">
        <f t="shared" si="116"/>
        <v>0</v>
      </c>
      <c r="BM270" s="2">
        <f t="shared" si="116"/>
        <v>0</v>
      </c>
      <c r="BN270" s="2">
        <f t="shared" si="116"/>
        <v>0</v>
      </c>
      <c r="BO270" s="2">
        <f t="shared" si="116"/>
        <v>0</v>
      </c>
      <c r="BP270" s="2">
        <f t="shared" si="116"/>
        <v>0</v>
      </c>
      <c r="BQ270" s="2">
        <f t="shared" si="116"/>
        <v>0</v>
      </c>
    </row>
    <row r="271" spans="1:69" outlineLevel="2">
      <c r="E271" s="46" t="s">
        <v>33</v>
      </c>
      <c r="H271" s="2">
        <f xml:space="preserve"> SUM( J271:BQ271 )</f>
        <v>2</v>
      </c>
      <c r="J271" s="2">
        <f t="shared" ref="J271:BQ271" si="117" xml:space="preserve">  J269 * J270</f>
        <v>0</v>
      </c>
      <c r="K271" s="2">
        <f t="shared" si="117"/>
        <v>2</v>
      </c>
      <c r="L271" s="2">
        <f t="shared" si="117"/>
        <v>0</v>
      </c>
      <c r="M271" s="2">
        <f t="shared" si="117"/>
        <v>0</v>
      </c>
      <c r="N271" s="2">
        <f t="shared" si="117"/>
        <v>0</v>
      </c>
      <c r="O271" s="2">
        <f t="shared" si="117"/>
        <v>0</v>
      </c>
      <c r="P271" s="2">
        <f t="shared" si="117"/>
        <v>0</v>
      </c>
      <c r="Q271" s="2">
        <f t="shared" si="117"/>
        <v>0</v>
      </c>
      <c r="R271" s="2">
        <f t="shared" si="117"/>
        <v>0</v>
      </c>
      <c r="S271" s="2">
        <f t="shared" si="117"/>
        <v>0</v>
      </c>
      <c r="T271" s="2">
        <f t="shared" si="117"/>
        <v>0</v>
      </c>
      <c r="U271" s="2">
        <f t="shared" si="117"/>
        <v>0</v>
      </c>
      <c r="V271" s="2">
        <f t="shared" si="117"/>
        <v>0</v>
      </c>
      <c r="W271" s="2">
        <f t="shared" si="117"/>
        <v>0</v>
      </c>
      <c r="X271" s="2">
        <f t="shared" si="117"/>
        <v>0</v>
      </c>
      <c r="Y271" s="2">
        <f t="shared" si="117"/>
        <v>0</v>
      </c>
      <c r="Z271" s="2">
        <f t="shared" si="117"/>
        <v>0</v>
      </c>
      <c r="AA271" s="2">
        <f t="shared" si="117"/>
        <v>0</v>
      </c>
      <c r="AB271" s="2">
        <f t="shared" si="117"/>
        <v>0</v>
      </c>
      <c r="AC271" s="2">
        <f t="shared" si="117"/>
        <v>0</v>
      </c>
      <c r="AD271" s="2">
        <f t="shared" si="117"/>
        <v>0</v>
      </c>
      <c r="AE271" s="2">
        <f t="shared" si="117"/>
        <v>0</v>
      </c>
      <c r="AF271" s="2">
        <f t="shared" si="117"/>
        <v>0</v>
      </c>
      <c r="AG271" s="2">
        <f t="shared" si="117"/>
        <v>0</v>
      </c>
      <c r="AH271" s="2">
        <f t="shared" si="117"/>
        <v>0</v>
      </c>
      <c r="AI271" s="2">
        <f t="shared" si="117"/>
        <v>0</v>
      </c>
      <c r="AJ271" s="2">
        <f t="shared" si="117"/>
        <v>0</v>
      </c>
      <c r="AK271" s="2">
        <f t="shared" si="117"/>
        <v>0</v>
      </c>
      <c r="AL271" s="2">
        <f t="shared" si="117"/>
        <v>0</v>
      </c>
      <c r="AM271" s="2">
        <f t="shared" si="117"/>
        <v>0</v>
      </c>
      <c r="AN271" s="2">
        <f t="shared" si="117"/>
        <v>0</v>
      </c>
      <c r="AO271" s="2">
        <f t="shared" si="117"/>
        <v>0</v>
      </c>
      <c r="AP271" s="2">
        <f t="shared" si="117"/>
        <v>0</v>
      </c>
      <c r="AQ271" s="2">
        <f t="shared" si="117"/>
        <v>0</v>
      </c>
      <c r="AR271" s="2">
        <f t="shared" si="117"/>
        <v>0</v>
      </c>
      <c r="AS271" s="2">
        <f t="shared" si="117"/>
        <v>0</v>
      </c>
      <c r="AT271" s="2">
        <f t="shared" si="117"/>
        <v>0</v>
      </c>
      <c r="AU271" s="2">
        <f t="shared" si="117"/>
        <v>0</v>
      </c>
      <c r="AV271" s="2">
        <f t="shared" si="117"/>
        <v>0</v>
      </c>
      <c r="AW271" s="2">
        <f t="shared" si="117"/>
        <v>0</v>
      </c>
      <c r="AX271" s="2">
        <f t="shared" si="117"/>
        <v>0</v>
      </c>
      <c r="AY271" s="2">
        <f t="shared" si="117"/>
        <v>0</v>
      </c>
      <c r="AZ271" s="2">
        <f t="shared" si="117"/>
        <v>0</v>
      </c>
      <c r="BA271" s="2">
        <f t="shared" si="117"/>
        <v>0</v>
      </c>
      <c r="BB271" s="2">
        <f t="shared" si="117"/>
        <v>0</v>
      </c>
      <c r="BC271" s="2">
        <f t="shared" si="117"/>
        <v>0</v>
      </c>
      <c r="BD271" s="2">
        <f t="shared" si="117"/>
        <v>0</v>
      </c>
      <c r="BE271" s="2">
        <f t="shared" si="117"/>
        <v>0</v>
      </c>
      <c r="BF271" s="2">
        <f t="shared" si="117"/>
        <v>0</v>
      </c>
      <c r="BG271" s="2">
        <f t="shared" si="117"/>
        <v>0</v>
      </c>
      <c r="BH271" s="2">
        <f t="shared" si="117"/>
        <v>0</v>
      </c>
      <c r="BI271" s="2">
        <f t="shared" si="117"/>
        <v>0</v>
      </c>
      <c r="BJ271" s="2">
        <f t="shared" si="117"/>
        <v>0</v>
      </c>
      <c r="BK271" s="2">
        <f t="shared" si="117"/>
        <v>0</v>
      </c>
      <c r="BL271" s="2">
        <f t="shared" si="117"/>
        <v>0</v>
      </c>
      <c r="BM271" s="2">
        <f t="shared" si="117"/>
        <v>0</v>
      </c>
      <c r="BN271" s="2">
        <f t="shared" si="117"/>
        <v>0</v>
      </c>
      <c r="BO271" s="2">
        <f t="shared" si="117"/>
        <v>0</v>
      </c>
      <c r="BP271" s="2">
        <f t="shared" si="117"/>
        <v>0</v>
      </c>
      <c r="BQ271" s="2">
        <f t="shared" si="117"/>
        <v>0</v>
      </c>
    </row>
    <row r="272" spans="1:69" outlineLevel="1"/>
    <row r="273" spans="1:69" outlineLevel="1"/>
    <row r="274" spans="1:69" outlineLevel="1">
      <c r="B274" s="27" t="s">
        <v>238</v>
      </c>
    </row>
    <row r="275" spans="1:69" outlineLevel="2">
      <c r="A275" s="18"/>
      <c r="B275" s="18"/>
      <c r="C275" s="30"/>
      <c r="D275" s="31"/>
      <c r="E275" s="19" t="str">
        <f xml:space="preserve">  InpC!E$82</f>
        <v>VAT return this period beginning date</v>
      </c>
      <c r="F275" s="19">
        <f xml:space="preserve">  InpC!F$82</f>
        <v>45078</v>
      </c>
      <c r="G275" s="19" t="str">
        <f xml:space="preserve">  InpC!G$82</f>
        <v>date</v>
      </c>
      <c r="M275" s="8"/>
    </row>
    <row r="276" spans="1:69" outlineLevel="2">
      <c r="E276" s="8" t="str">
        <f t="shared" ref="E276:BQ276" si="118" xml:space="preserve">  E$19</f>
        <v>Model period end</v>
      </c>
      <c r="F276" s="8">
        <f t="shared" si="118"/>
        <v>0</v>
      </c>
      <c r="G276" s="8" t="str">
        <f t="shared" si="118"/>
        <v>date</v>
      </c>
      <c r="H276" s="8">
        <f t="shared" si="118"/>
        <v>0</v>
      </c>
      <c r="I276" s="8">
        <f t="shared" si="118"/>
        <v>0</v>
      </c>
      <c r="J276" s="8">
        <f t="shared" si="118"/>
        <v>45077</v>
      </c>
      <c r="K276" s="8">
        <f t="shared" si="118"/>
        <v>45107</v>
      </c>
      <c r="L276" s="8">
        <f t="shared" si="118"/>
        <v>45138</v>
      </c>
      <c r="M276" s="8">
        <f t="shared" si="118"/>
        <v>45169</v>
      </c>
      <c r="N276" s="8">
        <f t="shared" si="118"/>
        <v>45199</v>
      </c>
      <c r="O276" s="8">
        <f t="shared" si="118"/>
        <v>45230</v>
      </c>
      <c r="P276" s="8">
        <f t="shared" si="118"/>
        <v>45260</v>
      </c>
      <c r="Q276" s="8">
        <f t="shared" si="118"/>
        <v>45291</v>
      </c>
      <c r="R276" s="8">
        <f t="shared" si="118"/>
        <v>45322</v>
      </c>
      <c r="S276" s="8">
        <f t="shared" si="118"/>
        <v>45351</v>
      </c>
      <c r="T276" s="8">
        <f t="shared" si="118"/>
        <v>45382</v>
      </c>
      <c r="U276" s="8">
        <f t="shared" si="118"/>
        <v>45412</v>
      </c>
      <c r="V276" s="8">
        <f t="shared" si="118"/>
        <v>45443</v>
      </c>
      <c r="W276" s="8">
        <f t="shared" si="118"/>
        <v>45473</v>
      </c>
      <c r="X276" s="8">
        <f t="shared" si="118"/>
        <v>45504</v>
      </c>
      <c r="Y276" s="8">
        <f t="shared" si="118"/>
        <v>45535</v>
      </c>
      <c r="Z276" s="8">
        <f t="shared" si="118"/>
        <v>45565</v>
      </c>
      <c r="AA276" s="8">
        <f t="shared" si="118"/>
        <v>45596</v>
      </c>
      <c r="AB276" s="8">
        <f t="shared" si="118"/>
        <v>45626</v>
      </c>
      <c r="AC276" s="8">
        <f t="shared" si="118"/>
        <v>45657</v>
      </c>
      <c r="AD276" s="8">
        <f t="shared" si="118"/>
        <v>45688</v>
      </c>
      <c r="AE276" s="8">
        <f t="shared" si="118"/>
        <v>45716</v>
      </c>
      <c r="AF276" s="8">
        <f t="shared" si="118"/>
        <v>45747</v>
      </c>
      <c r="AG276" s="8">
        <f t="shared" si="118"/>
        <v>45777</v>
      </c>
      <c r="AH276" s="8">
        <f t="shared" si="118"/>
        <v>45808</v>
      </c>
      <c r="AI276" s="8">
        <f t="shared" si="118"/>
        <v>45838</v>
      </c>
      <c r="AJ276" s="8">
        <f t="shared" si="118"/>
        <v>45869</v>
      </c>
      <c r="AK276" s="8">
        <f t="shared" si="118"/>
        <v>45900</v>
      </c>
      <c r="AL276" s="8">
        <f t="shared" si="118"/>
        <v>45930</v>
      </c>
      <c r="AM276" s="8">
        <f t="shared" si="118"/>
        <v>45961</v>
      </c>
      <c r="AN276" s="8">
        <f t="shared" si="118"/>
        <v>45991</v>
      </c>
      <c r="AO276" s="8">
        <f t="shared" si="118"/>
        <v>46022</v>
      </c>
      <c r="AP276" s="8">
        <f t="shared" si="118"/>
        <v>46053</v>
      </c>
      <c r="AQ276" s="8">
        <f t="shared" si="118"/>
        <v>46081</v>
      </c>
      <c r="AR276" s="8">
        <f t="shared" si="118"/>
        <v>46112</v>
      </c>
      <c r="AS276" s="8">
        <f t="shared" si="118"/>
        <v>46142</v>
      </c>
      <c r="AT276" s="8">
        <f t="shared" si="118"/>
        <v>46173</v>
      </c>
      <c r="AU276" s="8">
        <f t="shared" si="118"/>
        <v>46203</v>
      </c>
      <c r="AV276" s="8">
        <f t="shared" si="118"/>
        <v>46234</v>
      </c>
      <c r="AW276" s="8">
        <f t="shared" si="118"/>
        <v>46265</v>
      </c>
      <c r="AX276" s="8">
        <f t="shared" si="118"/>
        <v>46295</v>
      </c>
      <c r="AY276" s="8">
        <f t="shared" si="118"/>
        <v>46326</v>
      </c>
      <c r="AZ276" s="8">
        <f t="shared" si="118"/>
        <v>46356</v>
      </c>
      <c r="BA276" s="8">
        <f t="shared" si="118"/>
        <v>46387</v>
      </c>
      <c r="BB276" s="8">
        <f t="shared" si="118"/>
        <v>46418</v>
      </c>
      <c r="BC276" s="8">
        <f t="shared" si="118"/>
        <v>46446</v>
      </c>
      <c r="BD276" s="8">
        <f t="shared" si="118"/>
        <v>46477</v>
      </c>
      <c r="BE276" s="8">
        <f t="shared" si="118"/>
        <v>46507</v>
      </c>
      <c r="BF276" s="8">
        <f t="shared" si="118"/>
        <v>46538</v>
      </c>
      <c r="BG276" s="8">
        <f t="shared" si="118"/>
        <v>46568</v>
      </c>
      <c r="BH276" s="8">
        <f t="shared" si="118"/>
        <v>46599</v>
      </c>
      <c r="BI276" s="8">
        <f t="shared" si="118"/>
        <v>46630</v>
      </c>
      <c r="BJ276" s="8">
        <f t="shared" si="118"/>
        <v>46660</v>
      </c>
      <c r="BK276" s="8">
        <f t="shared" si="118"/>
        <v>46691</v>
      </c>
      <c r="BL276" s="8">
        <f t="shared" si="118"/>
        <v>46721</v>
      </c>
      <c r="BM276" s="8">
        <f t="shared" si="118"/>
        <v>46752</v>
      </c>
      <c r="BN276" s="8">
        <f t="shared" si="118"/>
        <v>46783</v>
      </c>
      <c r="BO276" s="8">
        <f t="shared" si="118"/>
        <v>46812</v>
      </c>
      <c r="BP276" s="8">
        <f t="shared" si="118"/>
        <v>46843</v>
      </c>
      <c r="BQ276" s="8">
        <f t="shared" si="118"/>
        <v>46873</v>
      </c>
    </row>
    <row r="277" spans="1:69" outlineLevel="2">
      <c r="E277" s="8" t="str">
        <f t="shared" ref="E277:BQ277" si="119" xml:space="preserve">  E$12</f>
        <v>Model period start</v>
      </c>
      <c r="F277" s="8">
        <f t="shared" si="119"/>
        <v>0</v>
      </c>
      <c r="G277" s="8" t="str">
        <f t="shared" si="119"/>
        <v>date</v>
      </c>
      <c r="H277" s="8">
        <f t="shared" si="119"/>
        <v>0</v>
      </c>
      <c r="I277" s="8">
        <f t="shared" si="119"/>
        <v>0</v>
      </c>
      <c r="J277" s="8">
        <f t="shared" si="119"/>
        <v>45047</v>
      </c>
      <c r="K277" s="8">
        <f t="shared" si="119"/>
        <v>45078</v>
      </c>
      <c r="L277" s="8">
        <f t="shared" si="119"/>
        <v>45108</v>
      </c>
      <c r="M277" s="8">
        <f t="shared" si="119"/>
        <v>45139</v>
      </c>
      <c r="N277" s="8">
        <f t="shared" si="119"/>
        <v>45170</v>
      </c>
      <c r="O277" s="8">
        <f t="shared" si="119"/>
        <v>45200</v>
      </c>
      <c r="P277" s="8">
        <f t="shared" si="119"/>
        <v>45231</v>
      </c>
      <c r="Q277" s="8">
        <f t="shared" si="119"/>
        <v>45261</v>
      </c>
      <c r="R277" s="8">
        <f t="shared" si="119"/>
        <v>45292</v>
      </c>
      <c r="S277" s="8">
        <f t="shared" si="119"/>
        <v>45323</v>
      </c>
      <c r="T277" s="8">
        <f t="shared" si="119"/>
        <v>45352</v>
      </c>
      <c r="U277" s="8">
        <f t="shared" si="119"/>
        <v>45383</v>
      </c>
      <c r="V277" s="8">
        <f t="shared" si="119"/>
        <v>45413</v>
      </c>
      <c r="W277" s="8">
        <f t="shared" si="119"/>
        <v>45444</v>
      </c>
      <c r="X277" s="8">
        <f t="shared" si="119"/>
        <v>45474</v>
      </c>
      <c r="Y277" s="8">
        <f t="shared" si="119"/>
        <v>45505</v>
      </c>
      <c r="Z277" s="8">
        <f t="shared" si="119"/>
        <v>45536</v>
      </c>
      <c r="AA277" s="8">
        <f t="shared" si="119"/>
        <v>45566</v>
      </c>
      <c r="AB277" s="8">
        <f t="shared" si="119"/>
        <v>45597</v>
      </c>
      <c r="AC277" s="8">
        <f t="shared" si="119"/>
        <v>45627</v>
      </c>
      <c r="AD277" s="8">
        <f t="shared" si="119"/>
        <v>45658</v>
      </c>
      <c r="AE277" s="8">
        <f t="shared" si="119"/>
        <v>45689</v>
      </c>
      <c r="AF277" s="8">
        <f t="shared" si="119"/>
        <v>45717</v>
      </c>
      <c r="AG277" s="8">
        <f t="shared" si="119"/>
        <v>45748</v>
      </c>
      <c r="AH277" s="8">
        <f t="shared" si="119"/>
        <v>45778</v>
      </c>
      <c r="AI277" s="8">
        <f t="shared" si="119"/>
        <v>45809</v>
      </c>
      <c r="AJ277" s="8">
        <f t="shared" si="119"/>
        <v>45839</v>
      </c>
      <c r="AK277" s="8">
        <f t="shared" si="119"/>
        <v>45870</v>
      </c>
      <c r="AL277" s="8">
        <f t="shared" si="119"/>
        <v>45901</v>
      </c>
      <c r="AM277" s="8">
        <f t="shared" si="119"/>
        <v>45931</v>
      </c>
      <c r="AN277" s="8">
        <f t="shared" si="119"/>
        <v>45962</v>
      </c>
      <c r="AO277" s="8">
        <f t="shared" si="119"/>
        <v>45992</v>
      </c>
      <c r="AP277" s="8">
        <f t="shared" si="119"/>
        <v>46023</v>
      </c>
      <c r="AQ277" s="8">
        <f t="shared" si="119"/>
        <v>46054</v>
      </c>
      <c r="AR277" s="8">
        <f t="shared" si="119"/>
        <v>46082</v>
      </c>
      <c r="AS277" s="8">
        <f t="shared" si="119"/>
        <v>46113</v>
      </c>
      <c r="AT277" s="8">
        <f t="shared" si="119"/>
        <v>46143</v>
      </c>
      <c r="AU277" s="8">
        <f t="shared" si="119"/>
        <v>46174</v>
      </c>
      <c r="AV277" s="8">
        <f t="shared" si="119"/>
        <v>46204</v>
      </c>
      <c r="AW277" s="8">
        <f t="shared" si="119"/>
        <v>46235</v>
      </c>
      <c r="AX277" s="8">
        <f t="shared" si="119"/>
        <v>46266</v>
      </c>
      <c r="AY277" s="8">
        <f t="shared" si="119"/>
        <v>46296</v>
      </c>
      <c r="AZ277" s="8">
        <f t="shared" si="119"/>
        <v>46327</v>
      </c>
      <c r="BA277" s="8">
        <f t="shared" si="119"/>
        <v>46357</v>
      </c>
      <c r="BB277" s="8">
        <f t="shared" si="119"/>
        <v>46388</v>
      </c>
      <c r="BC277" s="8">
        <f t="shared" si="119"/>
        <v>46419</v>
      </c>
      <c r="BD277" s="8">
        <f t="shared" si="119"/>
        <v>46447</v>
      </c>
      <c r="BE277" s="8">
        <f t="shared" si="119"/>
        <v>46478</v>
      </c>
      <c r="BF277" s="8">
        <f t="shared" si="119"/>
        <v>46508</v>
      </c>
      <c r="BG277" s="8">
        <f t="shared" si="119"/>
        <v>46539</v>
      </c>
      <c r="BH277" s="8">
        <f t="shared" si="119"/>
        <v>46569</v>
      </c>
      <c r="BI277" s="8">
        <f t="shared" si="119"/>
        <v>46600</v>
      </c>
      <c r="BJ277" s="8">
        <f t="shared" si="119"/>
        <v>46631</v>
      </c>
      <c r="BK277" s="8">
        <f t="shared" si="119"/>
        <v>46661</v>
      </c>
      <c r="BL277" s="8">
        <f t="shared" si="119"/>
        <v>46692</v>
      </c>
      <c r="BM277" s="8">
        <f t="shared" si="119"/>
        <v>46722</v>
      </c>
      <c r="BN277" s="8">
        <f t="shared" si="119"/>
        <v>46753</v>
      </c>
      <c r="BO277" s="8">
        <f t="shared" si="119"/>
        <v>46784</v>
      </c>
      <c r="BP277" s="8">
        <f t="shared" si="119"/>
        <v>46813</v>
      </c>
      <c r="BQ277" s="8">
        <f t="shared" si="119"/>
        <v>46844</v>
      </c>
    </row>
    <row r="278" spans="1:69" outlineLevel="2">
      <c r="E278" s="46" t="s">
        <v>238</v>
      </c>
      <c r="G278" s="46" t="s">
        <v>21</v>
      </c>
      <c r="H278" s="2">
        <f xml:space="preserve"> SUM( J278:BQ278 )</f>
        <v>1</v>
      </c>
      <c r="J278" s="2">
        <f t="shared" ref="J278:BQ278" si="120" xml:space="preserve">  IF( AND( J276 &gt;= $F275, J277 &lt;= $F275 ), 1, 0 )</f>
        <v>0</v>
      </c>
      <c r="K278" s="2">
        <f t="shared" si="120"/>
        <v>1</v>
      </c>
      <c r="L278" s="2">
        <f t="shared" si="120"/>
        <v>0</v>
      </c>
      <c r="M278" s="2">
        <f t="shared" si="120"/>
        <v>0</v>
      </c>
      <c r="N278" s="2">
        <f t="shared" si="120"/>
        <v>0</v>
      </c>
      <c r="O278" s="2">
        <f t="shared" si="120"/>
        <v>0</v>
      </c>
      <c r="P278" s="2">
        <f t="shared" si="120"/>
        <v>0</v>
      </c>
      <c r="Q278" s="2">
        <f t="shared" si="120"/>
        <v>0</v>
      </c>
      <c r="R278" s="2">
        <f t="shared" si="120"/>
        <v>0</v>
      </c>
      <c r="S278" s="2">
        <f t="shared" si="120"/>
        <v>0</v>
      </c>
      <c r="T278" s="2">
        <f t="shared" si="120"/>
        <v>0</v>
      </c>
      <c r="U278" s="2">
        <f t="shared" si="120"/>
        <v>0</v>
      </c>
      <c r="V278" s="2">
        <f t="shared" si="120"/>
        <v>0</v>
      </c>
      <c r="W278" s="2">
        <f t="shared" si="120"/>
        <v>0</v>
      </c>
      <c r="X278" s="2">
        <f t="shared" si="120"/>
        <v>0</v>
      </c>
      <c r="Y278" s="2">
        <f t="shared" si="120"/>
        <v>0</v>
      </c>
      <c r="Z278" s="2">
        <f t="shared" si="120"/>
        <v>0</v>
      </c>
      <c r="AA278" s="2">
        <f t="shared" si="120"/>
        <v>0</v>
      </c>
      <c r="AB278" s="2">
        <f t="shared" si="120"/>
        <v>0</v>
      </c>
      <c r="AC278" s="2">
        <f t="shared" si="120"/>
        <v>0</v>
      </c>
      <c r="AD278" s="2">
        <f t="shared" si="120"/>
        <v>0</v>
      </c>
      <c r="AE278" s="2">
        <f t="shared" si="120"/>
        <v>0</v>
      </c>
      <c r="AF278" s="2">
        <f t="shared" si="120"/>
        <v>0</v>
      </c>
      <c r="AG278" s="2">
        <f t="shared" si="120"/>
        <v>0</v>
      </c>
      <c r="AH278" s="2">
        <f t="shared" si="120"/>
        <v>0</v>
      </c>
      <c r="AI278" s="2">
        <f t="shared" si="120"/>
        <v>0</v>
      </c>
      <c r="AJ278" s="2">
        <f t="shared" si="120"/>
        <v>0</v>
      </c>
      <c r="AK278" s="2">
        <f t="shared" si="120"/>
        <v>0</v>
      </c>
      <c r="AL278" s="2">
        <f t="shared" si="120"/>
        <v>0</v>
      </c>
      <c r="AM278" s="2">
        <f t="shared" si="120"/>
        <v>0</v>
      </c>
      <c r="AN278" s="2">
        <f t="shared" si="120"/>
        <v>0</v>
      </c>
      <c r="AO278" s="2">
        <f t="shared" si="120"/>
        <v>0</v>
      </c>
      <c r="AP278" s="2">
        <f t="shared" si="120"/>
        <v>0</v>
      </c>
      <c r="AQ278" s="2">
        <f t="shared" si="120"/>
        <v>0</v>
      </c>
      <c r="AR278" s="2">
        <f t="shared" si="120"/>
        <v>0</v>
      </c>
      <c r="AS278" s="2">
        <f t="shared" si="120"/>
        <v>0</v>
      </c>
      <c r="AT278" s="2">
        <f t="shared" si="120"/>
        <v>0</v>
      </c>
      <c r="AU278" s="2">
        <f t="shared" si="120"/>
        <v>0</v>
      </c>
      <c r="AV278" s="2">
        <f t="shared" si="120"/>
        <v>0</v>
      </c>
      <c r="AW278" s="2">
        <f t="shared" si="120"/>
        <v>0</v>
      </c>
      <c r="AX278" s="2">
        <f t="shared" si="120"/>
        <v>0</v>
      </c>
      <c r="AY278" s="2">
        <f t="shared" si="120"/>
        <v>0</v>
      </c>
      <c r="AZ278" s="2">
        <f t="shared" si="120"/>
        <v>0</v>
      </c>
      <c r="BA278" s="2">
        <f t="shared" si="120"/>
        <v>0</v>
      </c>
      <c r="BB278" s="2">
        <f t="shared" si="120"/>
        <v>0</v>
      </c>
      <c r="BC278" s="2">
        <f t="shared" si="120"/>
        <v>0</v>
      </c>
      <c r="BD278" s="2">
        <f t="shared" si="120"/>
        <v>0</v>
      </c>
      <c r="BE278" s="2">
        <f t="shared" si="120"/>
        <v>0</v>
      </c>
      <c r="BF278" s="2">
        <f t="shared" si="120"/>
        <v>0</v>
      </c>
      <c r="BG278" s="2">
        <f t="shared" si="120"/>
        <v>0</v>
      </c>
      <c r="BH278" s="2">
        <f t="shared" si="120"/>
        <v>0</v>
      </c>
      <c r="BI278" s="2">
        <f t="shared" si="120"/>
        <v>0</v>
      </c>
      <c r="BJ278" s="2">
        <f t="shared" si="120"/>
        <v>0</v>
      </c>
      <c r="BK278" s="2">
        <f t="shared" si="120"/>
        <v>0</v>
      </c>
      <c r="BL278" s="2">
        <f t="shared" si="120"/>
        <v>0</v>
      </c>
      <c r="BM278" s="2">
        <f t="shared" si="120"/>
        <v>0</v>
      </c>
      <c r="BN278" s="2">
        <f t="shared" si="120"/>
        <v>0</v>
      </c>
      <c r="BO278" s="2">
        <f t="shared" si="120"/>
        <v>0</v>
      </c>
      <c r="BP278" s="2">
        <f t="shared" si="120"/>
        <v>0</v>
      </c>
      <c r="BQ278" s="2">
        <f t="shared" si="120"/>
        <v>0</v>
      </c>
    </row>
    <row r="279" spans="1:69" outlineLevel="1"/>
    <row r="281" spans="1:69">
      <c r="A281" s="27" t="s">
        <v>57</v>
      </c>
    </row>
    <row r="282" spans="1:69" outlineLevel="1">
      <c r="B282" s="27" t="s">
        <v>57</v>
      </c>
    </row>
    <row r="283" spans="1:69" outlineLevel="2">
      <c r="A283" s="18"/>
      <c r="B283" s="18"/>
      <c r="C283" s="30"/>
      <c r="D283" s="31"/>
      <c r="E283" s="19" t="str">
        <f xml:space="preserve">  InpC!E$94</f>
        <v>Use short term forecast flag end date</v>
      </c>
      <c r="F283" s="19">
        <f xml:space="preserve">  InpC!F$94</f>
        <v>0</v>
      </c>
      <c r="G283" s="19" t="str">
        <f xml:space="preserve">  InpC!G$94</f>
        <v>date</v>
      </c>
      <c r="M283" s="8"/>
    </row>
    <row r="284" spans="1:69" outlineLevel="2">
      <c r="E284" s="8" t="str">
        <f t="shared" ref="E284:BQ284" si="121" xml:space="preserve">  E$12</f>
        <v>Model period start</v>
      </c>
      <c r="F284" s="8">
        <f t="shared" si="121"/>
        <v>0</v>
      </c>
      <c r="G284" s="8" t="str">
        <f t="shared" si="121"/>
        <v>date</v>
      </c>
      <c r="H284" s="8">
        <f t="shared" si="121"/>
        <v>0</v>
      </c>
      <c r="I284" s="8">
        <f t="shared" si="121"/>
        <v>0</v>
      </c>
      <c r="J284" s="8">
        <f t="shared" si="121"/>
        <v>45047</v>
      </c>
      <c r="K284" s="8">
        <f t="shared" si="121"/>
        <v>45078</v>
      </c>
      <c r="L284" s="8">
        <f t="shared" si="121"/>
        <v>45108</v>
      </c>
      <c r="M284" s="8">
        <f t="shared" si="121"/>
        <v>45139</v>
      </c>
      <c r="N284" s="8">
        <f t="shared" si="121"/>
        <v>45170</v>
      </c>
      <c r="O284" s="8">
        <f t="shared" si="121"/>
        <v>45200</v>
      </c>
      <c r="P284" s="8">
        <f t="shared" si="121"/>
        <v>45231</v>
      </c>
      <c r="Q284" s="8">
        <f t="shared" si="121"/>
        <v>45261</v>
      </c>
      <c r="R284" s="8">
        <f t="shared" si="121"/>
        <v>45292</v>
      </c>
      <c r="S284" s="8">
        <f t="shared" si="121"/>
        <v>45323</v>
      </c>
      <c r="T284" s="8">
        <f t="shared" si="121"/>
        <v>45352</v>
      </c>
      <c r="U284" s="8">
        <f t="shared" si="121"/>
        <v>45383</v>
      </c>
      <c r="V284" s="8">
        <f t="shared" si="121"/>
        <v>45413</v>
      </c>
      <c r="W284" s="8">
        <f t="shared" si="121"/>
        <v>45444</v>
      </c>
      <c r="X284" s="8">
        <f t="shared" si="121"/>
        <v>45474</v>
      </c>
      <c r="Y284" s="8">
        <f t="shared" si="121"/>
        <v>45505</v>
      </c>
      <c r="Z284" s="8">
        <f t="shared" si="121"/>
        <v>45536</v>
      </c>
      <c r="AA284" s="8">
        <f t="shared" si="121"/>
        <v>45566</v>
      </c>
      <c r="AB284" s="8">
        <f t="shared" si="121"/>
        <v>45597</v>
      </c>
      <c r="AC284" s="8">
        <f t="shared" si="121"/>
        <v>45627</v>
      </c>
      <c r="AD284" s="8">
        <f t="shared" si="121"/>
        <v>45658</v>
      </c>
      <c r="AE284" s="8">
        <f t="shared" si="121"/>
        <v>45689</v>
      </c>
      <c r="AF284" s="8">
        <f t="shared" si="121"/>
        <v>45717</v>
      </c>
      <c r="AG284" s="8">
        <f t="shared" si="121"/>
        <v>45748</v>
      </c>
      <c r="AH284" s="8">
        <f t="shared" si="121"/>
        <v>45778</v>
      </c>
      <c r="AI284" s="8">
        <f t="shared" si="121"/>
        <v>45809</v>
      </c>
      <c r="AJ284" s="8">
        <f t="shared" si="121"/>
        <v>45839</v>
      </c>
      <c r="AK284" s="8">
        <f t="shared" si="121"/>
        <v>45870</v>
      </c>
      <c r="AL284" s="8">
        <f t="shared" si="121"/>
        <v>45901</v>
      </c>
      <c r="AM284" s="8">
        <f t="shared" si="121"/>
        <v>45931</v>
      </c>
      <c r="AN284" s="8">
        <f t="shared" si="121"/>
        <v>45962</v>
      </c>
      <c r="AO284" s="8">
        <f t="shared" si="121"/>
        <v>45992</v>
      </c>
      <c r="AP284" s="8">
        <f t="shared" si="121"/>
        <v>46023</v>
      </c>
      <c r="AQ284" s="8">
        <f t="shared" si="121"/>
        <v>46054</v>
      </c>
      <c r="AR284" s="8">
        <f t="shared" si="121"/>
        <v>46082</v>
      </c>
      <c r="AS284" s="8">
        <f t="shared" si="121"/>
        <v>46113</v>
      </c>
      <c r="AT284" s="8">
        <f t="shared" si="121"/>
        <v>46143</v>
      </c>
      <c r="AU284" s="8">
        <f t="shared" si="121"/>
        <v>46174</v>
      </c>
      <c r="AV284" s="8">
        <f t="shared" si="121"/>
        <v>46204</v>
      </c>
      <c r="AW284" s="8">
        <f t="shared" si="121"/>
        <v>46235</v>
      </c>
      <c r="AX284" s="8">
        <f t="shared" si="121"/>
        <v>46266</v>
      </c>
      <c r="AY284" s="8">
        <f t="shared" si="121"/>
        <v>46296</v>
      </c>
      <c r="AZ284" s="8">
        <f t="shared" si="121"/>
        <v>46327</v>
      </c>
      <c r="BA284" s="8">
        <f t="shared" si="121"/>
        <v>46357</v>
      </c>
      <c r="BB284" s="8">
        <f t="shared" si="121"/>
        <v>46388</v>
      </c>
      <c r="BC284" s="8">
        <f t="shared" si="121"/>
        <v>46419</v>
      </c>
      <c r="BD284" s="8">
        <f t="shared" si="121"/>
        <v>46447</v>
      </c>
      <c r="BE284" s="8">
        <f t="shared" si="121"/>
        <v>46478</v>
      </c>
      <c r="BF284" s="8">
        <f t="shared" si="121"/>
        <v>46508</v>
      </c>
      <c r="BG284" s="8">
        <f t="shared" si="121"/>
        <v>46539</v>
      </c>
      <c r="BH284" s="8">
        <f t="shared" si="121"/>
        <v>46569</v>
      </c>
      <c r="BI284" s="8">
        <f t="shared" si="121"/>
        <v>46600</v>
      </c>
      <c r="BJ284" s="8">
        <f t="shared" si="121"/>
        <v>46631</v>
      </c>
      <c r="BK284" s="8">
        <f t="shared" si="121"/>
        <v>46661</v>
      </c>
      <c r="BL284" s="8">
        <f t="shared" si="121"/>
        <v>46692</v>
      </c>
      <c r="BM284" s="8">
        <f t="shared" si="121"/>
        <v>46722</v>
      </c>
      <c r="BN284" s="8">
        <f t="shared" si="121"/>
        <v>46753</v>
      </c>
      <c r="BO284" s="8">
        <f t="shared" si="121"/>
        <v>46784</v>
      </c>
      <c r="BP284" s="8">
        <f t="shared" si="121"/>
        <v>46813</v>
      </c>
      <c r="BQ284" s="8">
        <f t="shared" si="121"/>
        <v>46844</v>
      </c>
    </row>
    <row r="285" spans="1:69" outlineLevel="2">
      <c r="E285" s="46" t="s">
        <v>57</v>
      </c>
      <c r="G285" s="46" t="s">
        <v>21</v>
      </c>
      <c r="H285" s="2">
        <f xml:space="preserve"> SUM( J285:BQ285 )</f>
        <v>0</v>
      </c>
      <c r="J285" s="2">
        <f t="shared" ref="J285:BQ285" si="122" xml:space="preserve">  IF( J284 &gt;= $F283, 0, 1 )</f>
        <v>0</v>
      </c>
      <c r="K285" s="2">
        <f t="shared" si="122"/>
        <v>0</v>
      </c>
      <c r="L285" s="2">
        <f t="shared" si="122"/>
        <v>0</v>
      </c>
      <c r="M285" s="2">
        <f t="shared" si="122"/>
        <v>0</v>
      </c>
      <c r="N285" s="2">
        <f t="shared" si="122"/>
        <v>0</v>
      </c>
      <c r="O285" s="2">
        <f t="shared" si="122"/>
        <v>0</v>
      </c>
      <c r="P285" s="2">
        <f t="shared" si="122"/>
        <v>0</v>
      </c>
      <c r="Q285" s="2">
        <f t="shared" si="122"/>
        <v>0</v>
      </c>
      <c r="R285" s="2">
        <f t="shared" si="122"/>
        <v>0</v>
      </c>
      <c r="S285" s="2">
        <f t="shared" si="122"/>
        <v>0</v>
      </c>
      <c r="T285" s="2">
        <f t="shared" si="122"/>
        <v>0</v>
      </c>
      <c r="U285" s="2">
        <f t="shared" si="122"/>
        <v>0</v>
      </c>
      <c r="V285" s="2">
        <f t="shared" si="122"/>
        <v>0</v>
      </c>
      <c r="W285" s="2">
        <f t="shared" si="122"/>
        <v>0</v>
      </c>
      <c r="X285" s="2">
        <f t="shared" si="122"/>
        <v>0</v>
      </c>
      <c r="Y285" s="2">
        <f t="shared" si="122"/>
        <v>0</v>
      </c>
      <c r="Z285" s="2">
        <f t="shared" si="122"/>
        <v>0</v>
      </c>
      <c r="AA285" s="2">
        <f t="shared" si="122"/>
        <v>0</v>
      </c>
      <c r="AB285" s="2">
        <f t="shared" si="122"/>
        <v>0</v>
      </c>
      <c r="AC285" s="2">
        <f t="shared" si="122"/>
        <v>0</v>
      </c>
      <c r="AD285" s="2">
        <f t="shared" si="122"/>
        <v>0</v>
      </c>
      <c r="AE285" s="2">
        <f t="shared" si="122"/>
        <v>0</v>
      </c>
      <c r="AF285" s="2">
        <f t="shared" si="122"/>
        <v>0</v>
      </c>
      <c r="AG285" s="2">
        <f t="shared" si="122"/>
        <v>0</v>
      </c>
      <c r="AH285" s="2">
        <f t="shared" si="122"/>
        <v>0</v>
      </c>
      <c r="AI285" s="2">
        <f t="shared" si="122"/>
        <v>0</v>
      </c>
      <c r="AJ285" s="2">
        <f t="shared" si="122"/>
        <v>0</v>
      </c>
      <c r="AK285" s="2">
        <f t="shared" si="122"/>
        <v>0</v>
      </c>
      <c r="AL285" s="2">
        <f t="shared" si="122"/>
        <v>0</v>
      </c>
      <c r="AM285" s="2">
        <f t="shared" si="122"/>
        <v>0</v>
      </c>
      <c r="AN285" s="2">
        <f t="shared" si="122"/>
        <v>0</v>
      </c>
      <c r="AO285" s="2">
        <f t="shared" si="122"/>
        <v>0</v>
      </c>
      <c r="AP285" s="2">
        <f t="shared" si="122"/>
        <v>0</v>
      </c>
      <c r="AQ285" s="2">
        <f t="shared" si="122"/>
        <v>0</v>
      </c>
      <c r="AR285" s="2">
        <f t="shared" si="122"/>
        <v>0</v>
      </c>
      <c r="AS285" s="2">
        <f t="shared" si="122"/>
        <v>0</v>
      </c>
      <c r="AT285" s="2">
        <f t="shared" si="122"/>
        <v>0</v>
      </c>
      <c r="AU285" s="2">
        <f t="shared" si="122"/>
        <v>0</v>
      </c>
      <c r="AV285" s="2">
        <f t="shared" si="122"/>
        <v>0</v>
      </c>
      <c r="AW285" s="2">
        <f t="shared" si="122"/>
        <v>0</v>
      </c>
      <c r="AX285" s="2">
        <f t="shared" si="122"/>
        <v>0</v>
      </c>
      <c r="AY285" s="2">
        <f t="shared" si="122"/>
        <v>0</v>
      </c>
      <c r="AZ285" s="2">
        <f t="shared" si="122"/>
        <v>0</v>
      </c>
      <c r="BA285" s="2">
        <f t="shared" si="122"/>
        <v>0</v>
      </c>
      <c r="BB285" s="2">
        <f t="shared" si="122"/>
        <v>0</v>
      </c>
      <c r="BC285" s="2">
        <f t="shared" si="122"/>
        <v>0</v>
      </c>
      <c r="BD285" s="2">
        <f t="shared" si="122"/>
        <v>0</v>
      </c>
      <c r="BE285" s="2">
        <f t="shared" si="122"/>
        <v>0</v>
      </c>
      <c r="BF285" s="2">
        <f t="shared" si="122"/>
        <v>0</v>
      </c>
      <c r="BG285" s="2">
        <f t="shared" si="122"/>
        <v>0</v>
      </c>
      <c r="BH285" s="2">
        <f t="shared" si="122"/>
        <v>0</v>
      </c>
      <c r="BI285" s="2">
        <f t="shared" si="122"/>
        <v>0</v>
      </c>
      <c r="BJ285" s="2">
        <f t="shared" si="122"/>
        <v>0</v>
      </c>
      <c r="BK285" s="2">
        <f t="shared" si="122"/>
        <v>0</v>
      </c>
      <c r="BL285" s="2">
        <f t="shared" si="122"/>
        <v>0</v>
      </c>
      <c r="BM285" s="2">
        <f t="shared" si="122"/>
        <v>0</v>
      </c>
      <c r="BN285" s="2">
        <f t="shared" si="122"/>
        <v>0</v>
      </c>
      <c r="BO285" s="2">
        <f t="shared" si="122"/>
        <v>0</v>
      </c>
      <c r="BP285" s="2">
        <f t="shared" si="122"/>
        <v>0</v>
      </c>
      <c r="BQ285" s="2">
        <f t="shared" si="122"/>
        <v>0</v>
      </c>
    </row>
    <row r="286" spans="1:69" outlineLevel="1"/>
    <row r="288" spans="1:69">
      <c r="A288" s="27" t="s">
        <v>214</v>
      </c>
    </row>
    <row r="289" spans="1:69" outlineLevel="1">
      <c r="B289" s="27" t="s">
        <v>58</v>
      </c>
    </row>
    <row r="290" spans="1:69" outlineLevel="2">
      <c r="E290" s="5" t="str">
        <f t="shared" ref="E290:BQ290" si="123" xml:space="preserve">  E$28</f>
        <v>Period number</v>
      </c>
      <c r="F290" s="5">
        <f t="shared" si="123"/>
        <v>0</v>
      </c>
      <c r="G290" s="5" t="str">
        <f t="shared" si="123"/>
        <v>Counter</v>
      </c>
      <c r="H290" s="5">
        <f t="shared" si="123"/>
        <v>0</v>
      </c>
      <c r="I290" s="5">
        <f t="shared" si="123"/>
        <v>0</v>
      </c>
      <c r="J290" s="5">
        <f t="shared" si="123"/>
        <v>1</v>
      </c>
      <c r="K290" s="5">
        <f t="shared" si="123"/>
        <v>2</v>
      </c>
      <c r="L290" s="5">
        <f t="shared" si="123"/>
        <v>3</v>
      </c>
      <c r="M290" s="5">
        <f t="shared" si="123"/>
        <v>4</v>
      </c>
      <c r="N290" s="5">
        <f t="shared" si="123"/>
        <v>5</v>
      </c>
      <c r="O290" s="5">
        <f t="shared" si="123"/>
        <v>6</v>
      </c>
      <c r="P290" s="5">
        <f t="shared" si="123"/>
        <v>7</v>
      </c>
      <c r="Q290" s="5">
        <f t="shared" si="123"/>
        <v>8</v>
      </c>
      <c r="R290" s="5">
        <f t="shared" si="123"/>
        <v>9</v>
      </c>
      <c r="S290" s="5">
        <f t="shared" si="123"/>
        <v>10</v>
      </c>
      <c r="T290" s="5">
        <f t="shared" si="123"/>
        <v>11</v>
      </c>
      <c r="U290" s="5">
        <f t="shared" si="123"/>
        <v>12</v>
      </c>
      <c r="V290" s="5">
        <f t="shared" si="123"/>
        <v>13</v>
      </c>
      <c r="W290" s="5">
        <f t="shared" si="123"/>
        <v>14</v>
      </c>
      <c r="X290" s="5">
        <f t="shared" si="123"/>
        <v>15</v>
      </c>
      <c r="Y290" s="5">
        <f t="shared" si="123"/>
        <v>16</v>
      </c>
      <c r="Z290" s="5">
        <f t="shared" si="123"/>
        <v>17</v>
      </c>
      <c r="AA290" s="5">
        <f t="shared" si="123"/>
        <v>18</v>
      </c>
      <c r="AB290" s="5">
        <f t="shared" si="123"/>
        <v>19</v>
      </c>
      <c r="AC290" s="5">
        <f t="shared" si="123"/>
        <v>20</v>
      </c>
      <c r="AD290" s="5">
        <f t="shared" si="123"/>
        <v>21</v>
      </c>
      <c r="AE290" s="5">
        <f t="shared" si="123"/>
        <v>22</v>
      </c>
      <c r="AF290" s="5">
        <f t="shared" si="123"/>
        <v>23</v>
      </c>
      <c r="AG290" s="5">
        <f t="shared" si="123"/>
        <v>24</v>
      </c>
      <c r="AH290" s="5">
        <f t="shared" si="123"/>
        <v>25</v>
      </c>
      <c r="AI290" s="5">
        <f t="shared" si="123"/>
        <v>26</v>
      </c>
      <c r="AJ290" s="5">
        <f t="shared" si="123"/>
        <v>27</v>
      </c>
      <c r="AK290" s="5">
        <f t="shared" si="123"/>
        <v>28</v>
      </c>
      <c r="AL290" s="5">
        <f t="shared" si="123"/>
        <v>29</v>
      </c>
      <c r="AM290" s="5">
        <f t="shared" si="123"/>
        <v>30</v>
      </c>
      <c r="AN290" s="5">
        <f t="shared" si="123"/>
        <v>31</v>
      </c>
      <c r="AO290" s="5">
        <f t="shared" si="123"/>
        <v>32</v>
      </c>
      <c r="AP290" s="5">
        <f t="shared" si="123"/>
        <v>33</v>
      </c>
      <c r="AQ290" s="5">
        <f t="shared" si="123"/>
        <v>34</v>
      </c>
      <c r="AR290" s="5">
        <f t="shared" si="123"/>
        <v>35</v>
      </c>
      <c r="AS290" s="5">
        <f t="shared" si="123"/>
        <v>36</v>
      </c>
      <c r="AT290" s="5">
        <f t="shared" si="123"/>
        <v>37</v>
      </c>
      <c r="AU290" s="5">
        <f t="shared" si="123"/>
        <v>38</v>
      </c>
      <c r="AV290" s="5">
        <f t="shared" si="123"/>
        <v>39</v>
      </c>
      <c r="AW290" s="5">
        <f t="shared" si="123"/>
        <v>40</v>
      </c>
      <c r="AX290" s="5">
        <f t="shared" si="123"/>
        <v>41</v>
      </c>
      <c r="AY290" s="5">
        <f t="shared" si="123"/>
        <v>42</v>
      </c>
      <c r="AZ290" s="5">
        <f t="shared" si="123"/>
        <v>43</v>
      </c>
      <c r="BA290" s="5">
        <f t="shared" si="123"/>
        <v>44</v>
      </c>
      <c r="BB290" s="5">
        <f t="shared" si="123"/>
        <v>45</v>
      </c>
      <c r="BC290" s="5">
        <f t="shared" si="123"/>
        <v>46</v>
      </c>
      <c r="BD290" s="5">
        <f t="shared" si="123"/>
        <v>47</v>
      </c>
      <c r="BE290" s="5">
        <f t="shared" si="123"/>
        <v>48</v>
      </c>
      <c r="BF290" s="5">
        <f t="shared" si="123"/>
        <v>49</v>
      </c>
      <c r="BG290" s="5">
        <f t="shared" si="123"/>
        <v>50</v>
      </c>
      <c r="BH290" s="5">
        <f t="shared" si="123"/>
        <v>51</v>
      </c>
      <c r="BI290" s="5">
        <f t="shared" si="123"/>
        <v>52</v>
      </c>
      <c r="BJ290" s="5">
        <f t="shared" si="123"/>
        <v>53</v>
      </c>
      <c r="BK290" s="5">
        <f t="shared" si="123"/>
        <v>54</v>
      </c>
      <c r="BL290" s="5">
        <f t="shared" si="123"/>
        <v>55</v>
      </c>
      <c r="BM290" s="5">
        <f t="shared" si="123"/>
        <v>56</v>
      </c>
      <c r="BN290" s="5">
        <f t="shared" si="123"/>
        <v>57</v>
      </c>
      <c r="BO290" s="5">
        <f t="shared" si="123"/>
        <v>58</v>
      </c>
      <c r="BP290" s="5">
        <f t="shared" si="123"/>
        <v>59</v>
      </c>
      <c r="BQ290" s="5">
        <f t="shared" si="123"/>
        <v>60</v>
      </c>
    </row>
    <row r="291" spans="1:69" outlineLevel="2">
      <c r="E291" s="46" t="s">
        <v>58</v>
      </c>
      <c r="G291" s="46" t="s">
        <v>90</v>
      </c>
      <c r="J291" s="5">
        <f t="shared" ref="J291:BQ291" si="124" xml:space="preserve">  IF( J290 = 1, 1, I291 + IF( MOD( J290, 12 ) = 1, 1, 0 ) )</f>
        <v>1</v>
      </c>
      <c r="K291" s="5">
        <f t="shared" si="124"/>
        <v>1</v>
      </c>
      <c r="L291" s="5">
        <f t="shared" si="124"/>
        <v>1</v>
      </c>
      <c r="M291" s="5">
        <f t="shared" si="124"/>
        <v>1</v>
      </c>
      <c r="N291" s="5">
        <f t="shared" si="124"/>
        <v>1</v>
      </c>
      <c r="O291" s="5">
        <f t="shared" si="124"/>
        <v>1</v>
      </c>
      <c r="P291" s="5">
        <f t="shared" si="124"/>
        <v>1</v>
      </c>
      <c r="Q291" s="5">
        <f t="shared" si="124"/>
        <v>1</v>
      </c>
      <c r="R291" s="5">
        <f t="shared" si="124"/>
        <v>1</v>
      </c>
      <c r="S291" s="5">
        <f t="shared" si="124"/>
        <v>1</v>
      </c>
      <c r="T291" s="5">
        <f t="shared" si="124"/>
        <v>1</v>
      </c>
      <c r="U291" s="5">
        <f t="shared" si="124"/>
        <v>1</v>
      </c>
      <c r="V291" s="5">
        <f t="shared" si="124"/>
        <v>2</v>
      </c>
      <c r="W291" s="5">
        <f t="shared" si="124"/>
        <v>2</v>
      </c>
      <c r="X291" s="5">
        <f t="shared" si="124"/>
        <v>2</v>
      </c>
      <c r="Y291" s="5">
        <f t="shared" si="124"/>
        <v>2</v>
      </c>
      <c r="Z291" s="5">
        <f t="shared" si="124"/>
        <v>2</v>
      </c>
      <c r="AA291" s="5">
        <f t="shared" si="124"/>
        <v>2</v>
      </c>
      <c r="AB291" s="5">
        <f t="shared" si="124"/>
        <v>2</v>
      </c>
      <c r="AC291" s="5">
        <f t="shared" si="124"/>
        <v>2</v>
      </c>
      <c r="AD291" s="5">
        <f t="shared" si="124"/>
        <v>2</v>
      </c>
      <c r="AE291" s="5">
        <f t="shared" si="124"/>
        <v>2</v>
      </c>
      <c r="AF291" s="5">
        <f t="shared" si="124"/>
        <v>2</v>
      </c>
      <c r="AG291" s="5">
        <f t="shared" si="124"/>
        <v>2</v>
      </c>
      <c r="AH291" s="5">
        <f t="shared" si="124"/>
        <v>3</v>
      </c>
      <c r="AI291" s="5">
        <f t="shared" si="124"/>
        <v>3</v>
      </c>
      <c r="AJ291" s="5">
        <f t="shared" si="124"/>
        <v>3</v>
      </c>
      <c r="AK291" s="5">
        <f t="shared" si="124"/>
        <v>3</v>
      </c>
      <c r="AL291" s="5">
        <f t="shared" si="124"/>
        <v>3</v>
      </c>
      <c r="AM291" s="5">
        <f t="shared" si="124"/>
        <v>3</v>
      </c>
      <c r="AN291" s="5">
        <f t="shared" si="124"/>
        <v>3</v>
      </c>
      <c r="AO291" s="5">
        <f t="shared" si="124"/>
        <v>3</v>
      </c>
      <c r="AP291" s="5">
        <f t="shared" si="124"/>
        <v>3</v>
      </c>
      <c r="AQ291" s="5">
        <f t="shared" si="124"/>
        <v>3</v>
      </c>
      <c r="AR291" s="5">
        <f t="shared" si="124"/>
        <v>3</v>
      </c>
      <c r="AS291" s="5">
        <f t="shared" si="124"/>
        <v>3</v>
      </c>
      <c r="AT291" s="5">
        <f t="shared" si="124"/>
        <v>4</v>
      </c>
      <c r="AU291" s="5">
        <f t="shared" si="124"/>
        <v>4</v>
      </c>
      <c r="AV291" s="5">
        <f t="shared" si="124"/>
        <v>4</v>
      </c>
      <c r="AW291" s="5">
        <f t="shared" si="124"/>
        <v>4</v>
      </c>
      <c r="AX291" s="5">
        <f t="shared" si="124"/>
        <v>4</v>
      </c>
      <c r="AY291" s="5">
        <f t="shared" si="124"/>
        <v>4</v>
      </c>
      <c r="AZ291" s="5">
        <f t="shared" si="124"/>
        <v>4</v>
      </c>
      <c r="BA291" s="5">
        <f t="shared" si="124"/>
        <v>4</v>
      </c>
      <c r="BB291" s="5">
        <f t="shared" si="124"/>
        <v>4</v>
      </c>
      <c r="BC291" s="5">
        <f t="shared" si="124"/>
        <v>4</v>
      </c>
      <c r="BD291" s="5">
        <f t="shared" si="124"/>
        <v>4</v>
      </c>
      <c r="BE291" s="5">
        <f t="shared" si="124"/>
        <v>4</v>
      </c>
      <c r="BF291" s="5">
        <f t="shared" si="124"/>
        <v>5</v>
      </c>
      <c r="BG291" s="5">
        <f t="shared" si="124"/>
        <v>5</v>
      </c>
      <c r="BH291" s="5">
        <f t="shared" si="124"/>
        <v>5</v>
      </c>
      <c r="BI291" s="5">
        <f t="shared" si="124"/>
        <v>5</v>
      </c>
      <c r="BJ291" s="5">
        <f t="shared" si="124"/>
        <v>5</v>
      </c>
      <c r="BK291" s="5">
        <f t="shared" si="124"/>
        <v>5</v>
      </c>
      <c r="BL291" s="5">
        <f t="shared" si="124"/>
        <v>5</v>
      </c>
      <c r="BM291" s="5">
        <f t="shared" si="124"/>
        <v>5</v>
      </c>
      <c r="BN291" s="5">
        <f t="shared" si="124"/>
        <v>5</v>
      </c>
      <c r="BO291" s="5">
        <f t="shared" si="124"/>
        <v>5</v>
      </c>
      <c r="BP291" s="5">
        <f t="shared" si="124"/>
        <v>5</v>
      </c>
      <c r="BQ291" s="5">
        <f t="shared" si="124"/>
        <v>5</v>
      </c>
    </row>
    <row r="292" spans="1:69" outlineLevel="1"/>
    <row r="293" spans="1:69" outlineLevel="1"/>
    <row r="294" spans="1:69" outlineLevel="1">
      <c r="B294" s="27" t="s">
        <v>335</v>
      </c>
    </row>
    <row r="295" spans="1:69" outlineLevel="2">
      <c r="E295" s="5" t="str">
        <f t="shared" ref="E295:BQ295" si="125" xml:space="preserve">  E$28</f>
        <v>Period number</v>
      </c>
      <c r="F295" s="5">
        <f t="shared" si="125"/>
        <v>0</v>
      </c>
      <c r="G295" s="5" t="str">
        <f t="shared" si="125"/>
        <v>Counter</v>
      </c>
      <c r="H295" s="5">
        <f t="shared" si="125"/>
        <v>0</v>
      </c>
      <c r="I295" s="5">
        <f t="shared" si="125"/>
        <v>0</v>
      </c>
      <c r="J295" s="5">
        <f t="shared" si="125"/>
        <v>1</v>
      </c>
      <c r="K295" s="5">
        <f t="shared" si="125"/>
        <v>2</v>
      </c>
      <c r="L295" s="5">
        <f t="shared" si="125"/>
        <v>3</v>
      </c>
      <c r="M295" s="5">
        <f t="shared" si="125"/>
        <v>4</v>
      </c>
      <c r="N295" s="5">
        <f t="shared" si="125"/>
        <v>5</v>
      </c>
      <c r="O295" s="5">
        <f t="shared" si="125"/>
        <v>6</v>
      </c>
      <c r="P295" s="5">
        <f t="shared" si="125"/>
        <v>7</v>
      </c>
      <c r="Q295" s="5">
        <f t="shared" si="125"/>
        <v>8</v>
      </c>
      <c r="R295" s="5">
        <f t="shared" si="125"/>
        <v>9</v>
      </c>
      <c r="S295" s="5">
        <f t="shared" si="125"/>
        <v>10</v>
      </c>
      <c r="T295" s="5">
        <f t="shared" si="125"/>
        <v>11</v>
      </c>
      <c r="U295" s="5">
        <f t="shared" si="125"/>
        <v>12</v>
      </c>
      <c r="V295" s="5">
        <f t="shared" si="125"/>
        <v>13</v>
      </c>
      <c r="W295" s="5">
        <f t="shared" si="125"/>
        <v>14</v>
      </c>
      <c r="X295" s="5">
        <f t="shared" si="125"/>
        <v>15</v>
      </c>
      <c r="Y295" s="5">
        <f t="shared" si="125"/>
        <v>16</v>
      </c>
      <c r="Z295" s="5">
        <f t="shared" si="125"/>
        <v>17</v>
      </c>
      <c r="AA295" s="5">
        <f t="shared" si="125"/>
        <v>18</v>
      </c>
      <c r="AB295" s="5">
        <f t="shared" si="125"/>
        <v>19</v>
      </c>
      <c r="AC295" s="5">
        <f t="shared" si="125"/>
        <v>20</v>
      </c>
      <c r="AD295" s="5">
        <f t="shared" si="125"/>
        <v>21</v>
      </c>
      <c r="AE295" s="5">
        <f t="shared" si="125"/>
        <v>22</v>
      </c>
      <c r="AF295" s="5">
        <f t="shared" si="125"/>
        <v>23</v>
      </c>
      <c r="AG295" s="5">
        <f t="shared" si="125"/>
        <v>24</v>
      </c>
      <c r="AH295" s="5">
        <f t="shared" si="125"/>
        <v>25</v>
      </c>
      <c r="AI295" s="5">
        <f t="shared" si="125"/>
        <v>26</v>
      </c>
      <c r="AJ295" s="5">
        <f t="shared" si="125"/>
        <v>27</v>
      </c>
      <c r="AK295" s="5">
        <f t="shared" si="125"/>
        <v>28</v>
      </c>
      <c r="AL295" s="5">
        <f t="shared" si="125"/>
        <v>29</v>
      </c>
      <c r="AM295" s="5">
        <f t="shared" si="125"/>
        <v>30</v>
      </c>
      <c r="AN295" s="5">
        <f t="shared" si="125"/>
        <v>31</v>
      </c>
      <c r="AO295" s="5">
        <f t="shared" si="125"/>
        <v>32</v>
      </c>
      <c r="AP295" s="5">
        <f t="shared" si="125"/>
        <v>33</v>
      </c>
      <c r="AQ295" s="5">
        <f t="shared" si="125"/>
        <v>34</v>
      </c>
      <c r="AR295" s="5">
        <f t="shared" si="125"/>
        <v>35</v>
      </c>
      <c r="AS295" s="5">
        <f t="shared" si="125"/>
        <v>36</v>
      </c>
      <c r="AT295" s="5">
        <f t="shared" si="125"/>
        <v>37</v>
      </c>
      <c r="AU295" s="5">
        <f t="shared" si="125"/>
        <v>38</v>
      </c>
      <c r="AV295" s="5">
        <f t="shared" si="125"/>
        <v>39</v>
      </c>
      <c r="AW295" s="5">
        <f t="shared" si="125"/>
        <v>40</v>
      </c>
      <c r="AX295" s="5">
        <f t="shared" si="125"/>
        <v>41</v>
      </c>
      <c r="AY295" s="5">
        <f t="shared" si="125"/>
        <v>42</v>
      </c>
      <c r="AZ295" s="5">
        <f t="shared" si="125"/>
        <v>43</v>
      </c>
      <c r="BA295" s="5">
        <f t="shared" si="125"/>
        <v>44</v>
      </c>
      <c r="BB295" s="5">
        <f t="shared" si="125"/>
        <v>45</v>
      </c>
      <c r="BC295" s="5">
        <f t="shared" si="125"/>
        <v>46</v>
      </c>
      <c r="BD295" s="5">
        <f t="shared" si="125"/>
        <v>47</v>
      </c>
      <c r="BE295" s="5">
        <f t="shared" si="125"/>
        <v>48</v>
      </c>
      <c r="BF295" s="5">
        <f t="shared" si="125"/>
        <v>49</v>
      </c>
      <c r="BG295" s="5">
        <f t="shared" si="125"/>
        <v>50</v>
      </c>
      <c r="BH295" s="5">
        <f t="shared" si="125"/>
        <v>51</v>
      </c>
      <c r="BI295" s="5">
        <f t="shared" si="125"/>
        <v>52</v>
      </c>
      <c r="BJ295" s="5">
        <f t="shared" si="125"/>
        <v>53</v>
      </c>
      <c r="BK295" s="5">
        <f t="shared" si="125"/>
        <v>54</v>
      </c>
      <c r="BL295" s="5">
        <f t="shared" si="125"/>
        <v>55</v>
      </c>
      <c r="BM295" s="5">
        <f t="shared" si="125"/>
        <v>56</v>
      </c>
      <c r="BN295" s="5">
        <f t="shared" si="125"/>
        <v>57</v>
      </c>
      <c r="BO295" s="5">
        <f t="shared" si="125"/>
        <v>58</v>
      </c>
      <c r="BP295" s="5">
        <f t="shared" si="125"/>
        <v>59</v>
      </c>
      <c r="BQ295" s="5">
        <f t="shared" si="125"/>
        <v>60</v>
      </c>
    </row>
    <row r="296" spans="1:69" outlineLevel="2">
      <c r="E296" s="46" t="s">
        <v>335</v>
      </c>
      <c r="G296" s="46" t="s">
        <v>90</v>
      </c>
      <c r="I296" s="5">
        <f t="shared" ref="I296:BQ296" si="126" xml:space="preserve">  IF( MOD( I295, 12 ) = 0, ( I295 / 12 ), 0 )</f>
        <v>0</v>
      </c>
      <c r="J296" s="5">
        <f t="shared" si="126"/>
        <v>0</v>
      </c>
      <c r="K296" s="5">
        <f t="shared" si="126"/>
        <v>0</v>
      </c>
      <c r="L296" s="5">
        <f t="shared" si="126"/>
        <v>0</v>
      </c>
      <c r="M296" s="5">
        <f t="shared" si="126"/>
        <v>0</v>
      </c>
      <c r="N296" s="5">
        <f t="shared" si="126"/>
        <v>0</v>
      </c>
      <c r="O296" s="5">
        <f t="shared" si="126"/>
        <v>0</v>
      </c>
      <c r="P296" s="5">
        <f t="shared" si="126"/>
        <v>0</v>
      </c>
      <c r="Q296" s="5">
        <f t="shared" si="126"/>
        <v>0</v>
      </c>
      <c r="R296" s="5">
        <f t="shared" si="126"/>
        <v>0</v>
      </c>
      <c r="S296" s="5">
        <f t="shared" si="126"/>
        <v>0</v>
      </c>
      <c r="T296" s="5">
        <f t="shared" si="126"/>
        <v>0</v>
      </c>
      <c r="U296" s="5">
        <f t="shared" si="126"/>
        <v>1</v>
      </c>
      <c r="V296" s="5">
        <f t="shared" si="126"/>
        <v>0</v>
      </c>
      <c r="W296" s="5">
        <f t="shared" si="126"/>
        <v>0</v>
      </c>
      <c r="X296" s="5">
        <f t="shared" si="126"/>
        <v>0</v>
      </c>
      <c r="Y296" s="5">
        <f t="shared" si="126"/>
        <v>0</v>
      </c>
      <c r="Z296" s="5">
        <f t="shared" si="126"/>
        <v>0</v>
      </c>
      <c r="AA296" s="5">
        <f t="shared" si="126"/>
        <v>0</v>
      </c>
      <c r="AB296" s="5">
        <f t="shared" si="126"/>
        <v>0</v>
      </c>
      <c r="AC296" s="5">
        <f t="shared" si="126"/>
        <v>0</v>
      </c>
      <c r="AD296" s="5">
        <f t="shared" si="126"/>
        <v>0</v>
      </c>
      <c r="AE296" s="5">
        <f t="shared" si="126"/>
        <v>0</v>
      </c>
      <c r="AF296" s="5">
        <f t="shared" si="126"/>
        <v>0</v>
      </c>
      <c r="AG296" s="5">
        <f t="shared" si="126"/>
        <v>2</v>
      </c>
      <c r="AH296" s="5">
        <f t="shared" si="126"/>
        <v>0</v>
      </c>
      <c r="AI296" s="5">
        <f t="shared" si="126"/>
        <v>0</v>
      </c>
      <c r="AJ296" s="5">
        <f t="shared" si="126"/>
        <v>0</v>
      </c>
      <c r="AK296" s="5">
        <f t="shared" si="126"/>
        <v>0</v>
      </c>
      <c r="AL296" s="5">
        <f t="shared" si="126"/>
        <v>0</v>
      </c>
      <c r="AM296" s="5">
        <f t="shared" si="126"/>
        <v>0</v>
      </c>
      <c r="AN296" s="5">
        <f t="shared" si="126"/>
        <v>0</v>
      </c>
      <c r="AO296" s="5">
        <f t="shared" si="126"/>
        <v>0</v>
      </c>
      <c r="AP296" s="5">
        <f t="shared" si="126"/>
        <v>0</v>
      </c>
      <c r="AQ296" s="5">
        <f t="shared" si="126"/>
        <v>0</v>
      </c>
      <c r="AR296" s="5">
        <f t="shared" si="126"/>
        <v>0</v>
      </c>
      <c r="AS296" s="5">
        <f t="shared" si="126"/>
        <v>3</v>
      </c>
      <c r="AT296" s="5">
        <f t="shared" si="126"/>
        <v>0</v>
      </c>
      <c r="AU296" s="5">
        <f t="shared" si="126"/>
        <v>0</v>
      </c>
      <c r="AV296" s="5">
        <f t="shared" si="126"/>
        <v>0</v>
      </c>
      <c r="AW296" s="5">
        <f t="shared" si="126"/>
        <v>0</v>
      </c>
      <c r="AX296" s="5">
        <f t="shared" si="126"/>
        <v>0</v>
      </c>
      <c r="AY296" s="5">
        <f t="shared" si="126"/>
        <v>0</v>
      </c>
      <c r="AZ296" s="5">
        <f t="shared" si="126"/>
        <v>0</v>
      </c>
      <c r="BA296" s="5">
        <f t="shared" si="126"/>
        <v>0</v>
      </c>
      <c r="BB296" s="5">
        <f t="shared" si="126"/>
        <v>0</v>
      </c>
      <c r="BC296" s="5">
        <f t="shared" si="126"/>
        <v>0</v>
      </c>
      <c r="BD296" s="5">
        <f t="shared" si="126"/>
        <v>0</v>
      </c>
      <c r="BE296" s="5">
        <f t="shared" si="126"/>
        <v>4</v>
      </c>
      <c r="BF296" s="5">
        <f t="shared" si="126"/>
        <v>0</v>
      </c>
      <c r="BG296" s="5">
        <f t="shared" si="126"/>
        <v>0</v>
      </c>
      <c r="BH296" s="5">
        <f t="shared" si="126"/>
        <v>0</v>
      </c>
      <c r="BI296" s="5">
        <f t="shared" si="126"/>
        <v>0</v>
      </c>
      <c r="BJ296" s="5">
        <f t="shared" si="126"/>
        <v>0</v>
      </c>
      <c r="BK296" s="5">
        <f t="shared" si="126"/>
        <v>0</v>
      </c>
      <c r="BL296" s="5">
        <f t="shared" si="126"/>
        <v>0</v>
      </c>
      <c r="BM296" s="5">
        <f t="shared" si="126"/>
        <v>0</v>
      </c>
      <c r="BN296" s="5">
        <f t="shared" si="126"/>
        <v>0</v>
      </c>
      <c r="BO296" s="5">
        <f t="shared" si="126"/>
        <v>0</v>
      </c>
      <c r="BP296" s="5">
        <f t="shared" si="126"/>
        <v>0</v>
      </c>
      <c r="BQ296" s="5">
        <f t="shared" si="126"/>
        <v>5</v>
      </c>
    </row>
    <row r="297" spans="1:69" outlineLevel="1"/>
    <row r="298" spans="1:69" outlineLevel="1"/>
    <row r="299" spans="1:69" outlineLevel="1">
      <c r="B299" s="27" t="s">
        <v>11</v>
      </c>
    </row>
    <row r="300" spans="1:69" outlineLevel="2">
      <c r="A300" s="18"/>
      <c r="B300" s="18"/>
      <c r="C300" s="30"/>
      <c r="D300" s="31"/>
      <c r="E300" s="19" t="str">
        <f xml:space="preserve">  InpC!E$100</f>
        <v>Start date</v>
      </c>
      <c r="F300" s="19">
        <f xml:space="preserve">  InpC!F$100</f>
        <v>45047</v>
      </c>
      <c r="G300" s="19" t="str">
        <f xml:space="preserve">  InpC!G$100</f>
        <v>date</v>
      </c>
      <c r="M300" s="8"/>
    </row>
    <row r="301" spans="1:69" outlineLevel="2">
      <c r="E301" s="46" t="s">
        <v>11</v>
      </c>
      <c r="F301" s="2">
        <f xml:space="preserve">  $F300 - 1</f>
        <v>45046</v>
      </c>
      <c r="G301" s="46" t="s">
        <v>210</v>
      </c>
      <c r="M301" s="2"/>
    </row>
    <row r="302" spans="1:69" outlineLevel="1"/>
    <row r="303" spans="1:69" outlineLevel="1"/>
    <row r="304" spans="1:69" outlineLevel="1">
      <c r="B304" s="27" t="s">
        <v>277</v>
      </c>
    </row>
    <row r="305" spans="1:69" outlineLevel="2">
      <c r="A305" s="18"/>
      <c r="B305" s="18"/>
      <c r="C305" s="30"/>
      <c r="D305" s="31"/>
      <c r="E305" s="4" t="str">
        <f xml:space="preserve">  InpC!E$99</f>
        <v>Financial year end month</v>
      </c>
      <c r="F305" s="4">
        <f xml:space="preserve">  InpC!F$99</f>
        <v>4</v>
      </c>
      <c r="G305" s="4" t="str">
        <f xml:space="preserve">  InpC!G$99</f>
        <v>Months</v>
      </c>
      <c r="M305" s="2"/>
    </row>
    <row r="306" spans="1:69" outlineLevel="2">
      <c r="E306" s="5" t="str">
        <f t="shared" ref="E306:BQ306" si="127" xml:space="preserve">  E$28</f>
        <v>Period number</v>
      </c>
      <c r="F306" s="5">
        <f t="shared" si="127"/>
        <v>0</v>
      </c>
      <c r="G306" s="5" t="str">
        <f t="shared" si="127"/>
        <v>Counter</v>
      </c>
      <c r="H306" s="5">
        <f t="shared" si="127"/>
        <v>0</v>
      </c>
      <c r="I306" s="5">
        <f t="shared" si="127"/>
        <v>0</v>
      </c>
      <c r="J306" s="5">
        <f t="shared" si="127"/>
        <v>1</v>
      </c>
      <c r="K306" s="5">
        <f t="shared" si="127"/>
        <v>2</v>
      </c>
      <c r="L306" s="5">
        <f t="shared" si="127"/>
        <v>3</v>
      </c>
      <c r="M306" s="5">
        <f t="shared" si="127"/>
        <v>4</v>
      </c>
      <c r="N306" s="5">
        <f t="shared" si="127"/>
        <v>5</v>
      </c>
      <c r="O306" s="5">
        <f t="shared" si="127"/>
        <v>6</v>
      </c>
      <c r="P306" s="5">
        <f t="shared" si="127"/>
        <v>7</v>
      </c>
      <c r="Q306" s="5">
        <f t="shared" si="127"/>
        <v>8</v>
      </c>
      <c r="R306" s="5">
        <f t="shared" si="127"/>
        <v>9</v>
      </c>
      <c r="S306" s="5">
        <f t="shared" si="127"/>
        <v>10</v>
      </c>
      <c r="T306" s="5">
        <f t="shared" si="127"/>
        <v>11</v>
      </c>
      <c r="U306" s="5">
        <f t="shared" si="127"/>
        <v>12</v>
      </c>
      <c r="V306" s="5">
        <f t="shared" si="127"/>
        <v>13</v>
      </c>
      <c r="W306" s="5">
        <f t="shared" si="127"/>
        <v>14</v>
      </c>
      <c r="X306" s="5">
        <f t="shared" si="127"/>
        <v>15</v>
      </c>
      <c r="Y306" s="5">
        <f t="shared" si="127"/>
        <v>16</v>
      </c>
      <c r="Z306" s="5">
        <f t="shared" si="127"/>
        <v>17</v>
      </c>
      <c r="AA306" s="5">
        <f t="shared" si="127"/>
        <v>18</v>
      </c>
      <c r="AB306" s="5">
        <f t="shared" si="127"/>
        <v>19</v>
      </c>
      <c r="AC306" s="5">
        <f t="shared" si="127"/>
        <v>20</v>
      </c>
      <c r="AD306" s="5">
        <f t="shared" si="127"/>
        <v>21</v>
      </c>
      <c r="AE306" s="5">
        <f t="shared" si="127"/>
        <v>22</v>
      </c>
      <c r="AF306" s="5">
        <f t="shared" si="127"/>
        <v>23</v>
      </c>
      <c r="AG306" s="5">
        <f t="shared" si="127"/>
        <v>24</v>
      </c>
      <c r="AH306" s="5">
        <f t="shared" si="127"/>
        <v>25</v>
      </c>
      <c r="AI306" s="5">
        <f t="shared" si="127"/>
        <v>26</v>
      </c>
      <c r="AJ306" s="5">
        <f t="shared" si="127"/>
        <v>27</v>
      </c>
      <c r="AK306" s="5">
        <f t="shared" si="127"/>
        <v>28</v>
      </c>
      <c r="AL306" s="5">
        <f t="shared" si="127"/>
        <v>29</v>
      </c>
      <c r="AM306" s="5">
        <f t="shared" si="127"/>
        <v>30</v>
      </c>
      <c r="AN306" s="5">
        <f t="shared" si="127"/>
        <v>31</v>
      </c>
      <c r="AO306" s="5">
        <f t="shared" si="127"/>
        <v>32</v>
      </c>
      <c r="AP306" s="5">
        <f t="shared" si="127"/>
        <v>33</v>
      </c>
      <c r="AQ306" s="5">
        <f t="shared" si="127"/>
        <v>34</v>
      </c>
      <c r="AR306" s="5">
        <f t="shared" si="127"/>
        <v>35</v>
      </c>
      <c r="AS306" s="5">
        <f t="shared" si="127"/>
        <v>36</v>
      </c>
      <c r="AT306" s="5">
        <f t="shared" si="127"/>
        <v>37</v>
      </c>
      <c r="AU306" s="5">
        <f t="shared" si="127"/>
        <v>38</v>
      </c>
      <c r="AV306" s="5">
        <f t="shared" si="127"/>
        <v>39</v>
      </c>
      <c r="AW306" s="5">
        <f t="shared" si="127"/>
        <v>40</v>
      </c>
      <c r="AX306" s="5">
        <f t="shared" si="127"/>
        <v>41</v>
      </c>
      <c r="AY306" s="5">
        <f t="shared" si="127"/>
        <v>42</v>
      </c>
      <c r="AZ306" s="5">
        <f t="shared" si="127"/>
        <v>43</v>
      </c>
      <c r="BA306" s="5">
        <f t="shared" si="127"/>
        <v>44</v>
      </c>
      <c r="BB306" s="5">
        <f t="shared" si="127"/>
        <v>45</v>
      </c>
      <c r="BC306" s="5">
        <f t="shared" si="127"/>
        <v>46</v>
      </c>
      <c r="BD306" s="5">
        <f t="shared" si="127"/>
        <v>47</v>
      </c>
      <c r="BE306" s="5">
        <f t="shared" si="127"/>
        <v>48</v>
      </c>
      <c r="BF306" s="5">
        <f t="shared" si="127"/>
        <v>49</v>
      </c>
      <c r="BG306" s="5">
        <f t="shared" si="127"/>
        <v>50</v>
      </c>
      <c r="BH306" s="5">
        <f t="shared" si="127"/>
        <v>51</v>
      </c>
      <c r="BI306" s="5">
        <f t="shared" si="127"/>
        <v>52</v>
      </c>
      <c r="BJ306" s="5">
        <f t="shared" si="127"/>
        <v>53</v>
      </c>
      <c r="BK306" s="5">
        <f t="shared" si="127"/>
        <v>54</v>
      </c>
      <c r="BL306" s="5">
        <f t="shared" si="127"/>
        <v>55</v>
      </c>
      <c r="BM306" s="5">
        <f t="shared" si="127"/>
        <v>56</v>
      </c>
      <c r="BN306" s="5">
        <f t="shared" si="127"/>
        <v>57</v>
      </c>
      <c r="BO306" s="5">
        <f t="shared" si="127"/>
        <v>58</v>
      </c>
      <c r="BP306" s="5">
        <f t="shared" si="127"/>
        <v>59</v>
      </c>
      <c r="BQ306" s="5">
        <f t="shared" si="127"/>
        <v>60</v>
      </c>
    </row>
    <row r="307" spans="1:69" outlineLevel="2">
      <c r="E307" s="8" t="str">
        <f t="shared" ref="E307:BQ307" si="128" xml:space="preserve">  E$19</f>
        <v>Model period end</v>
      </c>
      <c r="F307" s="8">
        <f t="shared" si="128"/>
        <v>0</v>
      </c>
      <c r="G307" s="8" t="str">
        <f t="shared" si="128"/>
        <v>date</v>
      </c>
      <c r="H307" s="8">
        <f t="shared" si="128"/>
        <v>0</v>
      </c>
      <c r="I307" s="8">
        <f t="shared" si="128"/>
        <v>0</v>
      </c>
      <c r="J307" s="8">
        <f t="shared" si="128"/>
        <v>45077</v>
      </c>
      <c r="K307" s="8">
        <f t="shared" si="128"/>
        <v>45107</v>
      </c>
      <c r="L307" s="8">
        <f t="shared" si="128"/>
        <v>45138</v>
      </c>
      <c r="M307" s="8">
        <f t="shared" si="128"/>
        <v>45169</v>
      </c>
      <c r="N307" s="8">
        <f t="shared" si="128"/>
        <v>45199</v>
      </c>
      <c r="O307" s="8">
        <f t="shared" si="128"/>
        <v>45230</v>
      </c>
      <c r="P307" s="8">
        <f t="shared" si="128"/>
        <v>45260</v>
      </c>
      <c r="Q307" s="8">
        <f t="shared" si="128"/>
        <v>45291</v>
      </c>
      <c r="R307" s="8">
        <f t="shared" si="128"/>
        <v>45322</v>
      </c>
      <c r="S307" s="8">
        <f t="shared" si="128"/>
        <v>45351</v>
      </c>
      <c r="T307" s="8">
        <f t="shared" si="128"/>
        <v>45382</v>
      </c>
      <c r="U307" s="8">
        <f t="shared" si="128"/>
        <v>45412</v>
      </c>
      <c r="V307" s="8">
        <f t="shared" si="128"/>
        <v>45443</v>
      </c>
      <c r="W307" s="8">
        <f t="shared" si="128"/>
        <v>45473</v>
      </c>
      <c r="X307" s="8">
        <f t="shared" si="128"/>
        <v>45504</v>
      </c>
      <c r="Y307" s="8">
        <f t="shared" si="128"/>
        <v>45535</v>
      </c>
      <c r="Z307" s="8">
        <f t="shared" si="128"/>
        <v>45565</v>
      </c>
      <c r="AA307" s="8">
        <f t="shared" si="128"/>
        <v>45596</v>
      </c>
      <c r="AB307" s="8">
        <f t="shared" si="128"/>
        <v>45626</v>
      </c>
      <c r="AC307" s="8">
        <f t="shared" si="128"/>
        <v>45657</v>
      </c>
      <c r="AD307" s="8">
        <f t="shared" si="128"/>
        <v>45688</v>
      </c>
      <c r="AE307" s="8">
        <f t="shared" si="128"/>
        <v>45716</v>
      </c>
      <c r="AF307" s="8">
        <f t="shared" si="128"/>
        <v>45747</v>
      </c>
      <c r="AG307" s="8">
        <f t="shared" si="128"/>
        <v>45777</v>
      </c>
      <c r="AH307" s="8">
        <f t="shared" si="128"/>
        <v>45808</v>
      </c>
      <c r="AI307" s="8">
        <f t="shared" si="128"/>
        <v>45838</v>
      </c>
      <c r="AJ307" s="8">
        <f t="shared" si="128"/>
        <v>45869</v>
      </c>
      <c r="AK307" s="8">
        <f t="shared" si="128"/>
        <v>45900</v>
      </c>
      <c r="AL307" s="8">
        <f t="shared" si="128"/>
        <v>45930</v>
      </c>
      <c r="AM307" s="8">
        <f t="shared" si="128"/>
        <v>45961</v>
      </c>
      <c r="AN307" s="8">
        <f t="shared" si="128"/>
        <v>45991</v>
      </c>
      <c r="AO307" s="8">
        <f t="shared" si="128"/>
        <v>46022</v>
      </c>
      <c r="AP307" s="8">
        <f t="shared" si="128"/>
        <v>46053</v>
      </c>
      <c r="AQ307" s="8">
        <f t="shared" si="128"/>
        <v>46081</v>
      </c>
      <c r="AR307" s="8">
        <f t="shared" si="128"/>
        <v>46112</v>
      </c>
      <c r="AS307" s="8">
        <f t="shared" si="128"/>
        <v>46142</v>
      </c>
      <c r="AT307" s="8">
        <f t="shared" si="128"/>
        <v>46173</v>
      </c>
      <c r="AU307" s="8">
        <f t="shared" si="128"/>
        <v>46203</v>
      </c>
      <c r="AV307" s="8">
        <f t="shared" si="128"/>
        <v>46234</v>
      </c>
      <c r="AW307" s="8">
        <f t="shared" si="128"/>
        <v>46265</v>
      </c>
      <c r="AX307" s="8">
        <f t="shared" si="128"/>
        <v>46295</v>
      </c>
      <c r="AY307" s="8">
        <f t="shared" si="128"/>
        <v>46326</v>
      </c>
      <c r="AZ307" s="8">
        <f t="shared" si="128"/>
        <v>46356</v>
      </c>
      <c r="BA307" s="8">
        <f t="shared" si="128"/>
        <v>46387</v>
      </c>
      <c r="BB307" s="8">
        <f t="shared" si="128"/>
        <v>46418</v>
      </c>
      <c r="BC307" s="8">
        <f t="shared" si="128"/>
        <v>46446</v>
      </c>
      <c r="BD307" s="8">
        <f t="shared" si="128"/>
        <v>46477</v>
      </c>
      <c r="BE307" s="8">
        <f t="shared" si="128"/>
        <v>46507</v>
      </c>
      <c r="BF307" s="8">
        <f t="shared" si="128"/>
        <v>46538</v>
      </c>
      <c r="BG307" s="8">
        <f t="shared" si="128"/>
        <v>46568</v>
      </c>
      <c r="BH307" s="8">
        <f t="shared" si="128"/>
        <v>46599</v>
      </c>
      <c r="BI307" s="8">
        <f t="shared" si="128"/>
        <v>46630</v>
      </c>
      <c r="BJ307" s="8">
        <f t="shared" si="128"/>
        <v>46660</v>
      </c>
      <c r="BK307" s="8">
        <f t="shared" si="128"/>
        <v>46691</v>
      </c>
      <c r="BL307" s="8">
        <f t="shared" si="128"/>
        <v>46721</v>
      </c>
      <c r="BM307" s="8">
        <f t="shared" si="128"/>
        <v>46752</v>
      </c>
      <c r="BN307" s="8">
        <f t="shared" si="128"/>
        <v>46783</v>
      </c>
      <c r="BO307" s="8">
        <f t="shared" si="128"/>
        <v>46812</v>
      </c>
      <c r="BP307" s="8">
        <f t="shared" si="128"/>
        <v>46843</v>
      </c>
      <c r="BQ307" s="8">
        <f t="shared" si="128"/>
        <v>46873</v>
      </c>
    </row>
    <row r="308" spans="1:69" outlineLevel="2">
      <c r="E308" s="46" t="s">
        <v>277</v>
      </c>
      <c r="G308" s="46" t="s">
        <v>90</v>
      </c>
      <c r="J308" s="5">
        <f t="shared" ref="J308:BQ308" si="129" xml:space="preserve">  IF( J306 = 1, 1, I308 + IF( MONTH( I307 ) = $F305, 1, 0 ) )</f>
        <v>1</v>
      </c>
      <c r="K308" s="5">
        <f t="shared" si="129"/>
        <v>1</v>
      </c>
      <c r="L308" s="5">
        <f t="shared" si="129"/>
        <v>1</v>
      </c>
      <c r="M308" s="5">
        <f t="shared" si="129"/>
        <v>1</v>
      </c>
      <c r="N308" s="5">
        <f t="shared" si="129"/>
        <v>1</v>
      </c>
      <c r="O308" s="5">
        <f t="shared" si="129"/>
        <v>1</v>
      </c>
      <c r="P308" s="5">
        <f t="shared" si="129"/>
        <v>1</v>
      </c>
      <c r="Q308" s="5">
        <f t="shared" si="129"/>
        <v>1</v>
      </c>
      <c r="R308" s="5">
        <f t="shared" si="129"/>
        <v>1</v>
      </c>
      <c r="S308" s="5">
        <f t="shared" si="129"/>
        <v>1</v>
      </c>
      <c r="T308" s="5">
        <f t="shared" si="129"/>
        <v>1</v>
      </c>
      <c r="U308" s="5">
        <f t="shared" si="129"/>
        <v>1</v>
      </c>
      <c r="V308" s="5">
        <f t="shared" si="129"/>
        <v>2</v>
      </c>
      <c r="W308" s="5">
        <f t="shared" si="129"/>
        <v>2</v>
      </c>
      <c r="X308" s="5">
        <f t="shared" si="129"/>
        <v>2</v>
      </c>
      <c r="Y308" s="5">
        <f t="shared" si="129"/>
        <v>2</v>
      </c>
      <c r="Z308" s="5">
        <f t="shared" si="129"/>
        <v>2</v>
      </c>
      <c r="AA308" s="5">
        <f t="shared" si="129"/>
        <v>2</v>
      </c>
      <c r="AB308" s="5">
        <f t="shared" si="129"/>
        <v>2</v>
      </c>
      <c r="AC308" s="5">
        <f t="shared" si="129"/>
        <v>2</v>
      </c>
      <c r="AD308" s="5">
        <f t="shared" si="129"/>
        <v>2</v>
      </c>
      <c r="AE308" s="5">
        <f t="shared" si="129"/>
        <v>2</v>
      </c>
      <c r="AF308" s="5">
        <f t="shared" si="129"/>
        <v>2</v>
      </c>
      <c r="AG308" s="5">
        <f t="shared" si="129"/>
        <v>2</v>
      </c>
      <c r="AH308" s="5">
        <f t="shared" si="129"/>
        <v>3</v>
      </c>
      <c r="AI308" s="5">
        <f t="shared" si="129"/>
        <v>3</v>
      </c>
      <c r="AJ308" s="5">
        <f t="shared" si="129"/>
        <v>3</v>
      </c>
      <c r="AK308" s="5">
        <f t="shared" si="129"/>
        <v>3</v>
      </c>
      <c r="AL308" s="5">
        <f t="shared" si="129"/>
        <v>3</v>
      </c>
      <c r="AM308" s="5">
        <f t="shared" si="129"/>
        <v>3</v>
      </c>
      <c r="AN308" s="5">
        <f t="shared" si="129"/>
        <v>3</v>
      </c>
      <c r="AO308" s="5">
        <f t="shared" si="129"/>
        <v>3</v>
      </c>
      <c r="AP308" s="5">
        <f t="shared" si="129"/>
        <v>3</v>
      </c>
      <c r="AQ308" s="5">
        <f t="shared" si="129"/>
        <v>3</v>
      </c>
      <c r="AR308" s="5">
        <f t="shared" si="129"/>
        <v>3</v>
      </c>
      <c r="AS308" s="5">
        <f t="shared" si="129"/>
        <v>3</v>
      </c>
      <c r="AT308" s="5">
        <f t="shared" si="129"/>
        <v>4</v>
      </c>
      <c r="AU308" s="5">
        <f t="shared" si="129"/>
        <v>4</v>
      </c>
      <c r="AV308" s="5">
        <f t="shared" si="129"/>
        <v>4</v>
      </c>
      <c r="AW308" s="5">
        <f t="shared" si="129"/>
        <v>4</v>
      </c>
      <c r="AX308" s="5">
        <f t="shared" si="129"/>
        <v>4</v>
      </c>
      <c r="AY308" s="5">
        <f t="shared" si="129"/>
        <v>4</v>
      </c>
      <c r="AZ308" s="5">
        <f t="shared" si="129"/>
        <v>4</v>
      </c>
      <c r="BA308" s="5">
        <f t="shared" si="129"/>
        <v>4</v>
      </c>
      <c r="BB308" s="5">
        <f t="shared" si="129"/>
        <v>4</v>
      </c>
      <c r="BC308" s="5">
        <f t="shared" si="129"/>
        <v>4</v>
      </c>
      <c r="BD308" s="5">
        <f t="shared" si="129"/>
        <v>4</v>
      </c>
      <c r="BE308" s="5">
        <f t="shared" si="129"/>
        <v>4</v>
      </c>
      <c r="BF308" s="5">
        <f t="shared" si="129"/>
        <v>5</v>
      </c>
      <c r="BG308" s="5">
        <f t="shared" si="129"/>
        <v>5</v>
      </c>
      <c r="BH308" s="5">
        <f t="shared" si="129"/>
        <v>5</v>
      </c>
      <c r="BI308" s="5">
        <f t="shared" si="129"/>
        <v>5</v>
      </c>
      <c r="BJ308" s="5">
        <f t="shared" si="129"/>
        <v>5</v>
      </c>
      <c r="BK308" s="5">
        <f t="shared" si="129"/>
        <v>5</v>
      </c>
      <c r="BL308" s="5">
        <f t="shared" si="129"/>
        <v>5</v>
      </c>
      <c r="BM308" s="5">
        <f t="shared" si="129"/>
        <v>5</v>
      </c>
      <c r="BN308" s="5">
        <f t="shared" si="129"/>
        <v>5</v>
      </c>
      <c r="BO308" s="5">
        <f t="shared" si="129"/>
        <v>5</v>
      </c>
      <c r="BP308" s="5">
        <f t="shared" si="129"/>
        <v>5</v>
      </c>
      <c r="BQ308" s="5">
        <f t="shared" si="129"/>
        <v>5</v>
      </c>
    </row>
    <row r="309" spans="1:69" outlineLevel="1"/>
    <row r="310" spans="1:69" outlineLevel="1"/>
    <row r="311" spans="1:69" outlineLevel="1">
      <c r="B311" s="27" t="s">
        <v>168</v>
      </c>
    </row>
    <row r="312" spans="1:69" outlineLevel="2">
      <c r="A312" s="18"/>
      <c r="B312" s="18"/>
      <c r="C312" s="30"/>
      <c r="D312" s="31"/>
      <c r="E312" s="4" t="str">
        <f xml:space="preserve">  InpC!E$99</f>
        <v>Financial year end month</v>
      </c>
      <c r="F312" s="4">
        <f xml:space="preserve">  InpC!F$99</f>
        <v>4</v>
      </c>
      <c r="G312" s="4" t="str">
        <f xml:space="preserve">  InpC!G$99</f>
        <v>Months</v>
      </c>
      <c r="M312" s="2"/>
    </row>
    <row r="313" spans="1:69" outlineLevel="2">
      <c r="E313" s="8" t="str">
        <f t="shared" ref="E313:BQ313" si="130" xml:space="preserve">  E$19</f>
        <v>Model period end</v>
      </c>
      <c r="F313" s="8">
        <f t="shared" si="130"/>
        <v>0</v>
      </c>
      <c r="G313" s="8" t="str">
        <f t="shared" si="130"/>
        <v>date</v>
      </c>
      <c r="H313" s="8">
        <f t="shared" si="130"/>
        <v>0</v>
      </c>
      <c r="I313" s="8">
        <f t="shared" si="130"/>
        <v>0</v>
      </c>
      <c r="J313" s="8">
        <f t="shared" si="130"/>
        <v>45077</v>
      </c>
      <c r="K313" s="8">
        <f t="shared" si="130"/>
        <v>45107</v>
      </c>
      <c r="L313" s="8">
        <f t="shared" si="130"/>
        <v>45138</v>
      </c>
      <c r="M313" s="8">
        <f t="shared" si="130"/>
        <v>45169</v>
      </c>
      <c r="N313" s="8">
        <f t="shared" si="130"/>
        <v>45199</v>
      </c>
      <c r="O313" s="8">
        <f t="shared" si="130"/>
        <v>45230</v>
      </c>
      <c r="P313" s="8">
        <f t="shared" si="130"/>
        <v>45260</v>
      </c>
      <c r="Q313" s="8">
        <f t="shared" si="130"/>
        <v>45291</v>
      </c>
      <c r="R313" s="8">
        <f t="shared" si="130"/>
        <v>45322</v>
      </c>
      <c r="S313" s="8">
        <f t="shared" si="130"/>
        <v>45351</v>
      </c>
      <c r="T313" s="8">
        <f t="shared" si="130"/>
        <v>45382</v>
      </c>
      <c r="U313" s="8">
        <f t="shared" si="130"/>
        <v>45412</v>
      </c>
      <c r="V313" s="8">
        <f t="shared" si="130"/>
        <v>45443</v>
      </c>
      <c r="W313" s="8">
        <f t="shared" si="130"/>
        <v>45473</v>
      </c>
      <c r="X313" s="8">
        <f t="shared" si="130"/>
        <v>45504</v>
      </c>
      <c r="Y313" s="8">
        <f t="shared" si="130"/>
        <v>45535</v>
      </c>
      <c r="Z313" s="8">
        <f t="shared" si="130"/>
        <v>45565</v>
      </c>
      <c r="AA313" s="8">
        <f t="shared" si="130"/>
        <v>45596</v>
      </c>
      <c r="AB313" s="8">
        <f t="shared" si="130"/>
        <v>45626</v>
      </c>
      <c r="AC313" s="8">
        <f t="shared" si="130"/>
        <v>45657</v>
      </c>
      <c r="AD313" s="8">
        <f t="shared" si="130"/>
        <v>45688</v>
      </c>
      <c r="AE313" s="8">
        <f t="shared" si="130"/>
        <v>45716</v>
      </c>
      <c r="AF313" s="8">
        <f t="shared" si="130"/>
        <v>45747</v>
      </c>
      <c r="AG313" s="8">
        <f t="shared" si="130"/>
        <v>45777</v>
      </c>
      <c r="AH313" s="8">
        <f t="shared" si="130"/>
        <v>45808</v>
      </c>
      <c r="AI313" s="8">
        <f t="shared" si="130"/>
        <v>45838</v>
      </c>
      <c r="AJ313" s="8">
        <f t="shared" si="130"/>
        <v>45869</v>
      </c>
      <c r="AK313" s="8">
        <f t="shared" si="130"/>
        <v>45900</v>
      </c>
      <c r="AL313" s="8">
        <f t="shared" si="130"/>
        <v>45930</v>
      </c>
      <c r="AM313" s="8">
        <f t="shared" si="130"/>
        <v>45961</v>
      </c>
      <c r="AN313" s="8">
        <f t="shared" si="130"/>
        <v>45991</v>
      </c>
      <c r="AO313" s="8">
        <f t="shared" si="130"/>
        <v>46022</v>
      </c>
      <c r="AP313" s="8">
        <f t="shared" si="130"/>
        <v>46053</v>
      </c>
      <c r="AQ313" s="8">
        <f t="shared" si="130"/>
        <v>46081</v>
      </c>
      <c r="AR313" s="8">
        <f t="shared" si="130"/>
        <v>46112</v>
      </c>
      <c r="AS313" s="8">
        <f t="shared" si="130"/>
        <v>46142</v>
      </c>
      <c r="AT313" s="8">
        <f t="shared" si="130"/>
        <v>46173</v>
      </c>
      <c r="AU313" s="8">
        <f t="shared" si="130"/>
        <v>46203</v>
      </c>
      <c r="AV313" s="8">
        <f t="shared" si="130"/>
        <v>46234</v>
      </c>
      <c r="AW313" s="8">
        <f t="shared" si="130"/>
        <v>46265</v>
      </c>
      <c r="AX313" s="8">
        <f t="shared" si="130"/>
        <v>46295</v>
      </c>
      <c r="AY313" s="8">
        <f t="shared" si="130"/>
        <v>46326</v>
      </c>
      <c r="AZ313" s="8">
        <f t="shared" si="130"/>
        <v>46356</v>
      </c>
      <c r="BA313" s="8">
        <f t="shared" si="130"/>
        <v>46387</v>
      </c>
      <c r="BB313" s="8">
        <f t="shared" si="130"/>
        <v>46418</v>
      </c>
      <c r="BC313" s="8">
        <f t="shared" si="130"/>
        <v>46446</v>
      </c>
      <c r="BD313" s="8">
        <f t="shared" si="130"/>
        <v>46477</v>
      </c>
      <c r="BE313" s="8">
        <f t="shared" si="130"/>
        <v>46507</v>
      </c>
      <c r="BF313" s="8">
        <f t="shared" si="130"/>
        <v>46538</v>
      </c>
      <c r="BG313" s="8">
        <f t="shared" si="130"/>
        <v>46568</v>
      </c>
      <c r="BH313" s="8">
        <f t="shared" si="130"/>
        <v>46599</v>
      </c>
      <c r="BI313" s="8">
        <f t="shared" si="130"/>
        <v>46630</v>
      </c>
      <c r="BJ313" s="8">
        <f t="shared" si="130"/>
        <v>46660</v>
      </c>
      <c r="BK313" s="8">
        <f t="shared" si="130"/>
        <v>46691</v>
      </c>
      <c r="BL313" s="8">
        <f t="shared" si="130"/>
        <v>46721</v>
      </c>
      <c r="BM313" s="8">
        <f t="shared" si="130"/>
        <v>46752</v>
      </c>
      <c r="BN313" s="8">
        <f t="shared" si="130"/>
        <v>46783</v>
      </c>
      <c r="BO313" s="8">
        <f t="shared" si="130"/>
        <v>46812</v>
      </c>
      <c r="BP313" s="8">
        <f t="shared" si="130"/>
        <v>46843</v>
      </c>
      <c r="BQ313" s="8">
        <f t="shared" si="130"/>
        <v>46873</v>
      </c>
    </row>
    <row r="314" spans="1:69" outlineLevel="2">
      <c r="E314" s="5" t="str">
        <f t="shared" ref="E314:BQ314" si="131" xml:space="preserve">  E$28</f>
        <v>Period number</v>
      </c>
      <c r="F314" s="5">
        <f t="shared" si="131"/>
        <v>0</v>
      </c>
      <c r="G314" s="5" t="str">
        <f t="shared" si="131"/>
        <v>Counter</v>
      </c>
      <c r="H314" s="5">
        <f t="shared" si="131"/>
        <v>0</v>
      </c>
      <c r="I314" s="5">
        <f t="shared" si="131"/>
        <v>0</v>
      </c>
      <c r="J314" s="5">
        <f t="shared" si="131"/>
        <v>1</v>
      </c>
      <c r="K314" s="5">
        <f t="shared" si="131"/>
        <v>2</v>
      </c>
      <c r="L314" s="5">
        <f t="shared" si="131"/>
        <v>3</v>
      </c>
      <c r="M314" s="5">
        <f t="shared" si="131"/>
        <v>4</v>
      </c>
      <c r="N314" s="5">
        <f t="shared" si="131"/>
        <v>5</v>
      </c>
      <c r="O314" s="5">
        <f t="shared" si="131"/>
        <v>6</v>
      </c>
      <c r="P314" s="5">
        <f t="shared" si="131"/>
        <v>7</v>
      </c>
      <c r="Q314" s="5">
        <f t="shared" si="131"/>
        <v>8</v>
      </c>
      <c r="R314" s="5">
        <f t="shared" si="131"/>
        <v>9</v>
      </c>
      <c r="S314" s="5">
        <f t="shared" si="131"/>
        <v>10</v>
      </c>
      <c r="T314" s="5">
        <f t="shared" si="131"/>
        <v>11</v>
      </c>
      <c r="U314" s="5">
        <f t="shared" si="131"/>
        <v>12</v>
      </c>
      <c r="V314" s="5">
        <f t="shared" si="131"/>
        <v>13</v>
      </c>
      <c r="W314" s="5">
        <f t="shared" si="131"/>
        <v>14</v>
      </c>
      <c r="X314" s="5">
        <f t="shared" si="131"/>
        <v>15</v>
      </c>
      <c r="Y314" s="5">
        <f t="shared" si="131"/>
        <v>16</v>
      </c>
      <c r="Z314" s="5">
        <f t="shared" si="131"/>
        <v>17</v>
      </c>
      <c r="AA314" s="5">
        <f t="shared" si="131"/>
        <v>18</v>
      </c>
      <c r="AB314" s="5">
        <f t="shared" si="131"/>
        <v>19</v>
      </c>
      <c r="AC314" s="5">
        <f t="shared" si="131"/>
        <v>20</v>
      </c>
      <c r="AD314" s="5">
        <f t="shared" si="131"/>
        <v>21</v>
      </c>
      <c r="AE314" s="5">
        <f t="shared" si="131"/>
        <v>22</v>
      </c>
      <c r="AF314" s="5">
        <f t="shared" si="131"/>
        <v>23</v>
      </c>
      <c r="AG314" s="5">
        <f t="shared" si="131"/>
        <v>24</v>
      </c>
      <c r="AH314" s="5">
        <f t="shared" si="131"/>
        <v>25</v>
      </c>
      <c r="AI314" s="5">
        <f t="shared" si="131"/>
        <v>26</v>
      </c>
      <c r="AJ314" s="5">
        <f t="shared" si="131"/>
        <v>27</v>
      </c>
      <c r="AK314" s="5">
        <f t="shared" si="131"/>
        <v>28</v>
      </c>
      <c r="AL314" s="5">
        <f t="shared" si="131"/>
        <v>29</v>
      </c>
      <c r="AM314" s="5">
        <f t="shared" si="131"/>
        <v>30</v>
      </c>
      <c r="AN314" s="5">
        <f t="shared" si="131"/>
        <v>31</v>
      </c>
      <c r="AO314" s="5">
        <f t="shared" si="131"/>
        <v>32</v>
      </c>
      <c r="AP314" s="5">
        <f t="shared" si="131"/>
        <v>33</v>
      </c>
      <c r="AQ314" s="5">
        <f t="shared" si="131"/>
        <v>34</v>
      </c>
      <c r="AR314" s="5">
        <f t="shared" si="131"/>
        <v>35</v>
      </c>
      <c r="AS314" s="5">
        <f t="shared" si="131"/>
        <v>36</v>
      </c>
      <c r="AT314" s="5">
        <f t="shared" si="131"/>
        <v>37</v>
      </c>
      <c r="AU314" s="5">
        <f t="shared" si="131"/>
        <v>38</v>
      </c>
      <c r="AV314" s="5">
        <f t="shared" si="131"/>
        <v>39</v>
      </c>
      <c r="AW314" s="5">
        <f t="shared" si="131"/>
        <v>40</v>
      </c>
      <c r="AX314" s="5">
        <f t="shared" si="131"/>
        <v>41</v>
      </c>
      <c r="AY314" s="5">
        <f t="shared" si="131"/>
        <v>42</v>
      </c>
      <c r="AZ314" s="5">
        <f t="shared" si="131"/>
        <v>43</v>
      </c>
      <c r="BA314" s="5">
        <f t="shared" si="131"/>
        <v>44</v>
      </c>
      <c r="BB314" s="5">
        <f t="shared" si="131"/>
        <v>45</v>
      </c>
      <c r="BC314" s="5">
        <f t="shared" si="131"/>
        <v>46</v>
      </c>
      <c r="BD314" s="5">
        <f t="shared" si="131"/>
        <v>47</v>
      </c>
      <c r="BE314" s="5">
        <f t="shared" si="131"/>
        <v>48</v>
      </c>
      <c r="BF314" s="5">
        <f t="shared" si="131"/>
        <v>49</v>
      </c>
      <c r="BG314" s="5">
        <f t="shared" si="131"/>
        <v>50</v>
      </c>
      <c r="BH314" s="5">
        <f t="shared" si="131"/>
        <v>51</v>
      </c>
      <c r="BI314" s="5">
        <f t="shared" si="131"/>
        <v>52</v>
      </c>
      <c r="BJ314" s="5">
        <f t="shared" si="131"/>
        <v>53</v>
      </c>
      <c r="BK314" s="5">
        <f t="shared" si="131"/>
        <v>54</v>
      </c>
      <c r="BL314" s="5">
        <f t="shared" si="131"/>
        <v>55</v>
      </c>
      <c r="BM314" s="5">
        <f t="shared" si="131"/>
        <v>56</v>
      </c>
      <c r="BN314" s="5">
        <f t="shared" si="131"/>
        <v>57</v>
      </c>
      <c r="BO314" s="5">
        <f t="shared" si="131"/>
        <v>58</v>
      </c>
      <c r="BP314" s="5">
        <f t="shared" si="131"/>
        <v>59</v>
      </c>
      <c r="BQ314" s="5">
        <f t="shared" si="131"/>
        <v>60</v>
      </c>
    </row>
    <row r="315" spans="1:69" outlineLevel="2">
      <c r="E315" s="46" t="s">
        <v>168</v>
      </c>
      <c r="G315" s="46" t="s">
        <v>90</v>
      </c>
      <c r="I315" s="5">
        <f t="shared" ref="I315:BQ315" si="132" xml:space="preserve">  IF( MONTH( I313 ) = $F312, ROUNDUP( I314 / 12, 0 ), 0 )</f>
        <v>0</v>
      </c>
      <c r="J315" s="5">
        <f t="shared" si="132"/>
        <v>0</v>
      </c>
      <c r="K315" s="5">
        <f t="shared" si="132"/>
        <v>0</v>
      </c>
      <c r="L315" s="5">
        <f t="shared" si="132"/>
        <v>0</v>
      </c>
      <c r="M315" s="5">
        <f t="shared" si="132"/>
        <v>0</v>
      </c>
      <c r="N315" s="5">
        <f t="shared" si="132"/>
        <v>0</v>
      </c>
      <c r="O315" s="5">
        <f t="shared" si="132"/>
        <v>0</v>
      </c>
      <c r="P315" s="5">
        <f t="shared" si="132"/>
        <v>0</v>
      </c>
      <c r="Q315" s="5">
        <f t="shared" si="132"/>
        <v>0</v>
      </c>
      <c r="R315" s="5">
        <f t="shared" si="132"/>
        <v>0</v>
      </c>
      <c r="S315" s="5">
        <f t="shared" si="132"/>
        <v>0</v>
      </c>
      <c r="T315" s="5">
        <f t="shared" si="132"/>
        <v>0</v>
      </c>
      <c r="U315" s="5">
        <f t="shared" si="132"/>
        <v>1</v>
      </c>
      <c r="V315" s="5">
        <f t="shared" si="132"/>
        <v>0</v>
      </c>
      <c r="W315" s="5">
        <f t="shared" si="132"/>
        <v>0</v>
      </c>
      <c r="X315" s="5">
        <f t="shared" si="132"/>
        <v>0</v>
      </c>
      <c r="Y315" s="5">
        <f t="shared" si="132"/>
        <v>0</v>
      </c>
      <c r="Z315" s="5">
        <f t="shared" si="132"/>
        <v>0</v>
      </c>
      <c r="AA315" s="5">
        <f t="shared" si="132"/>
        <v>0</v>
      </c>
      <c r="AB315" s="5">
        <f t="shared" si="132"/>
        <v>0</v>
      </c>
      <c r="AC315" s="5">
        <f t="shared" si="132"/>
        <v>0</v>
      </c>
      <c r="AD315" s="5">
        <f t="shared" si="132"/>
        <v>0</v>
      </c>
      <c r="AE315" s="5">
        <f t="shared" si="132"/>
        <v>0</v>
      </c>
      <c r="AF315" s="5">
        <f t="shared" si="132"/>
        <v>0</v>
      </c>
      <c r="AG315" s="5">
        <f t="shared" si="132"/>
        <v>2</v>
      </c>
      <c r="AH315" s="5">
        <f t="shared" si="132"/>
        <v>0</v>
      </c>
      <c r="AI315" s="5">
        <f t="shared" si="132"/>
        <v>0</v>
      </c>
      <c r="AJ315" s="5">
        <f t="shared" si="132"/>
        <v>0</v>
      </c>
      <c r="AK315" s="5">
        <f t="shared" si="132"/>
        <v>0</v>
      </c>
      <c r="AL315" s="5">
        <f t="shared" si="132"/>
        <v>0</v>
      </c>
      <c r="AM315" s="5">
        <f t="shared" si="132"/>
        <v>0</v>
      </c>
      <c r="AN315" s="5">
        <f t="shared" si="132"/>
        <v>0</v>
      </c>
      <c r="AO315" s="5">
        <f t="shared" si="132"/>
        <v>0</v>
      </c>
      <c r="AP315" s="5">
        <f t="shared" si="132"/>
        <v>0</v>
      </c>
      <c r="AQ315" s="5">
        <f t="shared" si="132"/>
        <v>0</v>
      </c>
      <c r="AR315" s="5">
        <f t="shared" si="132"/>
        <v>0</v>
      </c>
      <c r="AS315" s="5">
        <f t="shared" si="132"/>
        <v>3</v>
      </c>
      <c r="AT315" s="5">
        <f t="shared" si="132"/>
        <v>0</v>
      </c>
      <c r="AU315" s="5">
        <f t="shared" si="132"/>
        <v>0</v>
      </c>
      <c r="AV315" s="5">
        <f t="shared" si="132"/>
        <v>0</v>
      </c>
      <c r="AW315" s="5">
        <f t="shared" si="132"/>
        <v>0</v>
      </c>
      <c r="AX315" s="5">
        <f t="shared" si="132"/>
        <v>0</v>
      </c>
      <c r="AY315" s="5">
        <f t="shared" si="132"/>
        <v>0</v>
      </c>
      <c r="AZ315" s="5">
        <f t="shared" si="132"/>
        <v>0</v>
      </c>
      <c r="BA315" s="5">
        <f t="shared" si="132"/>
        <v>0</v>
      </c>
      <c r="BB315" s="5">
        <f t="shared" si="132"/>
        <v>0</v>
      </c>
      <c r="BC315" s="5">
        <f t="shared" si="132"/>
        <v>0</v>
      </c>
      <c r="BD315" s="5">
        <f t="shared" si="132"/>
        <v>0</v>
      </c>
      <c r="BE315" s="5">
        <f t="shared" si="132"/>
        <v>4</v>
      </c>
      <c r="BF315" s="5">
        <f t="shared" si="132"/>
        <v>0</v>
      </c>
      <c r="BG315" s="5">
        <f t="shared" si="132"/>
        <v>0</v>
      </c>
      <c r="BH315" s="5">
        <f t="shared" si="132"/>
        <v>0</v>
      </c>
      <c r="BI315" s="5">
        <f t="shared" si="132"/>
        <v>0</v>
      </c>
      <c r="BJ315" s="5">
        <f t="shared" si="132"/>
        <v>0</v>
      </c>
      <c r="BK315" s="5">
        <f t="shared" si="132"/>
        <v>0</v>
      </c>
      <c r="BL315" s="5">
        <f t="shared" si="132"/>
        <v>0</v>
      </c>
      <c r="BM315" s="5">
        <f t="shared" si="132"/>
        <v>0</v>
      </c>
      <c r="BN315" s="5">
        <f t="shared" si="132"/>
        <v>0</v>
      </c>
      <c r="BO315" s="5">
        <f t="shared" si="132"/>
        <v>0</v>
      </c>
      <c r="BP315" s="5">
        <f t="shared" si="132"/>
        <v>0</v>
      </c>
      <c r="BQ315" s="5">
        <f t="shared" si="132"/>
        <v>5</v>
      </c>
    </row>
    <row r="316" spans="1:69" outlineLevel="1"/>
    <row r="317" spans="1:69" outlineLevel="1"/>
    <row r="318" spans="1:69" outlineLevel="1">
      <c r="B318" s="27" t="s">
        <v>215</v>
      </c>
    </row>
    <row r="319" spans="1:69" outlineLevel="2">
      <c r="A319" s="18"/>
      <c r="B319" s="18"/>
      <c r="C319" s="30"/>
      <c r="D319" s="31"/>
      <c r="E319" s="19" t="str">
        <f xml:space="preserve">  InpC!E$100</f>
        <v>Start date</v>
      </c>
      <c r="F319" s="19">
        <f xml:space="preserve">  InpC!F$100</f>
        <v>45047</v>
      </c>
      <c r="G319" s="19" t="str">
        <f xml:space="preserve">  InpC!G$100</f>
        <v>date</v>
      </c>
      <c r="M319" s="8"/>
    </row>
    <row r="320" spans="1:69" outlineLevel="2">
      <c r="A320" s="18"/>
      <c r="B320" s="18"/>
      <c r="C320" s="30"/>
      <c r="D320" s="31"/>
      <c r="E320" s="4" t="str">
        <f xml:space="preserve">  InpC!E$99</f>
        <v>Financial year end month</v>
      </c>
      <c r="F320" s="4">
        <f xml:space="preserve">  InpC!F$99</f>
        <v>4</v>
      </c>
      <c r="G320" s="4" t="str">
        <f xml:space="preserve">  InpC!G$99</f>
        <v>Months</v>
      </c>
      <c r="M320" s="2"/>
    </row>
    <row r="321" spans="1:69" outlineLevel="2">
      <c r="E321" s="46" t="s">
        <v>215</v>
      </c>
      <c r="F321" s="2">
        <f xml:space="preserve">  EOMONTH( DATE( YEAR( $F319 ) + IF( MONTH( $F319 ) &gt; MONTH( $F320 ), 0, -1 ), $F320, 1 ), 0 )</f>
        <v>45046</v>
      </c>
      <c r="G321" s="46" t="s">
        <v>210</v>
      </c>
      <c r="M321" s="2"/>
    </row>
    <row r="322" spans="1:69" outlineLevel="1"/>
    <row r="323" spans="1:69" outlineLevel="1"/>
    <row r="324" spans="1:69" outlineLevel="1">
      <c r="B324" s="27" t="s">
        <v>149</v>
      </c>
    </row>
    <row r="325" spans="1:69" outlineLevel="2">
      <c r="E325" s="5" t="str">
        <f t="shared" ref="E325:BQ325" si="133" xml:space="preserve">  E$28</f>
        <v>Period number</v>
      </c>
      <c r="F325" s="5">
        <f t="shared" si="133"/>
        <v>0</v>
      </c>
      <c r="G325" s="5" t="str">
        <f t="shared" si="133"/>
        <v>Counter</v>
      </c>
      <c r="H325" s="5">
        <f t="shared" si="133"/>
        <v>0</v>
      </c>
      <c r="I325" s="5">
        <f t="shared" si="133"/>
        <v>0</v>
      </c>
      <c r="J325" s="5">
        <f t="shared" si="133"/>
        <v>1</v>
      </c>
      <c r="K325" s="5">
        <f t="shared" si="133"/>
        <v>2</v>
      </c>
      <c r="L325" s="5">
        <f t="shared" si="133"/>
        <v>3</v>
      </c>
      <c r="M325" s="5">
        <f t="shared" si="133"/>
        <v>4</v>
      </c>
      <c r="N325" s="5">
        <f t="shared" si="133"/>
        <v>5</v>
      </c>
      <c r="O325" s="5">
        <f t="shared" si="133"/>
        <v>6</v>
      </c>
      <c r="P325" s="5">
        <f t="shared" si="133"/>
        <v>7</v>
      </c>
      <c r="Q325" s="5">
        <f t="shared" si="133"/>
        <v>8</v>
      </c>
      <c r="R325" s="5">
        <f t="shared" si="133"/>
        <v>9</v>
      </c>
      <c r="S325" s="5">
        <f t="shared" si="133"/>
        <v>10</v>
      </c>
      <c r="T325" s="5">
        <f t="shared" si="133"/>
        <v>11</v>
      </c>
      <c r="U325" s="5">
        <f t="shared" si="133"/>
        <v>12</v>
      </c>
      <c r="V325" s="5">
        <f t="shared" si="133"/>
        <v>13</v>
      </c>
      <c r="W325" s="5">
        <f t="shared" si="133"/>
        <v>14</v>
      </c>
      <c r="X325" s="5">
        <f t="shared" si="133"/>
        <v>15</v>
      </c>
      <c r="Y325" s="5">
        <f t="shared" si="133"/>
        <v>16</v>
      </c>
      <c r="Z325" s="5">
        <f t="shared" si="133"/>
        <v>17</v>
      </c>
      <c r="AA325" s="5">
        <f t="shared" si="133"/>
        <v>18</v>
      </c>
      <c r="AB325" s="5">
        <f t="shared" si="133"/>
        <v>19</v>
      </c>
      <c r="AC325" s="5">
        <f t="shared" si="133"/>
        <v>20</v>
      </c>
      <c r="AD325" s="5">
        <f t="shared" si="133"/>
        <v>21</v>
      </c>
      <c r="AE325" s="5">
        <f t="shared" si="133"/>
        <v>22</v>
      </c>
      <c r="AF325" s="5">
        <f t="shared" si="133"/>
        <v>23</v>
      </c>
      <c r="AG325" s="5">
        <f t="shared" si="133"/>
        <v>24</v>
      </c>
      <c r="AH325" s="5">
        <f t="shared" si="133"/>
        <v>25</v>
      </c>
      <c r="AI325" s="5">
        <f t="shared" si="133"/>
        <v>26</v>
      </c>
      <c r="AJ325" s="5">
        <f t="shared" si="133"/>
        <v>27</v>
      </c>
      <c r="AK325" s="5">
        <f t="shared" si="133"/>
        <v>28</v>
      </c>
      <c r="AL325" s="5">
        <f t="shared" si="133"/>
        <v>29</v>
      </c>
      <c r="AM325" s="5">
        <f t="shared" si="133"/>
        <v>30</v>
      </c>
      <c r="AN325" s="5">
        <f t="shared" si="133"/>
        <v>31</v>
      </c>
      <c r="AO325" s="5">
        <f t="shared" si="133"/>
        <v>32</v>
      </c>
      <c r="AP325" s="5">
        <f t="shared" si="133"/>
        <v>33</v>
      </c>
      <c r="AQ325" s="5">
        <f t="shared" si="133"/>
        <v>34</v>
      </c>
      <c r="AR325" s="5">
        <f t="shared" si="133"/>
        <v>35</v>
      </c>
      <c r="AS325" s="5">
        <f t="shared" si="133"/>
        <v>36</v>
      </c>
      <c r="AT325" s="5">
        <f t="shared" si="133"/>
        <v>37</v>
      </c>
      <c r="AU325" s="5">
        <f t="shared" si="133"/>
        <v>38</v>
      </c>
      <c r="AV325" s="5">
        <f t="shared" si="133"/>
        <v>39</v>
      </c>
      <c r="AW325" s="5">
        <f t="shared" si="133"/>
        <v>40</v>
      </c>
      <c r="AX325" s="5">
        <f t="shared" si="133"/>
        <v>41</v>
      </c>
      <c r="AY325" s="5">
        <f t="shared" si="133"/>
        <v>42</v>
      </c>
      <c r="AZ325" s="5">
        <f t="shared" si="133"/>
        <v>43</v>
      </c>
      <c r="BA325" s="5">
        <f t="shared" si="133"/>
        <v>44</v>
      </c>
      <c r="BB325" s="5">
        <f t="shared" si="133"/>
        <v>45</v>
      </c>
      <c r="BC325" s="5">
        <f t="shared" si="133"/>
        <v>46</v>
      </c>
      <c r="BD325" s="5">
        <f t="shared" si="133"/>
        <v>47</v>
      </c>
      <c r="BE325" s="5">
        <f t="shared" si="133"/>
        <v>48</v>
      </c>
      <c r="BF325" s="5">
        <f t="shared" si="133"/>
        <v>49</v>
      </c>
      <c r="BG325" s="5">
        <f t="shared" si="133"/>
        <v>50</v>
      </c>
      <c r="BH325" s="5">
        <f t="shared" si="133"/>
        <v>51</v>
      </c>
      <c r="BI325" s="5">
        <f t="shared" si="133"/>
        <v>52</v>
      </c>
      <c r="BJ325" s="5">
        <f t="shared" si="133"/>
        <v>53</v>
      </c>
      <c r="BK325" s="5">
        <f t="shared" si="133"/>
        <v>54</v>
      </c>
      <c r="BL325" s="5">
        <f t="shared" si="133"/>
        <v>55</v>
      </c>
      <c r="BM325" s="5">
        <f t="shared" si="133"/>
        <v>56</v>
      </c>
      <c r="BN325" s="5">
        <f t="shared" si="133"/>
        <v>57</v>
      </c>
      <c r="BO325" s="5">
        <f t="shared" si="133"/>
        <v>58</v>
      </c>
      <c r="BP325" s="5">
        <f t="shared" si="133"/>
        <v>59</v>
      </c>
      <c r="BQ325" s="5">
        <f t="shared" si="133"/>
        <v>60</v>
      </c>
    </row>
    <row r="326" spans="1:69" outlineLevel="2">
      <c r="E326" s="46" t="s">
        <v>149</v>
      </c>
      <c r="G326" s="46" t="s">
        <v>90</v>
      </c>
      <c r="J326" s="5">
        <f t="shared" ref="J326:BQ326" si="134" xml:space="preserve">  IF( J325 = 1, 1, I326 + IF( MOD( J325, 3 ) = 1, 1, 0 ) )</f>
        <v>1</v>
      </c>
      <c r="K326" s="5">
        <f t="shared" si="134"/>
        <v>1</v>
      </c>
      <c r="L326" s="5">
        <f t="shared" si="134"/>
        <v>1</v>
      </c>
      <c r="M326" s="5">
        <f t="shared" si="134"/>
        <v>2</v>
      </c>
      <c r="N326" s="5">
        <f t="shared" si="134"/>
        <v>2</v>
      </c>
      <c r="O326" s="5">
        <f t="shared" si="134"/>
        <v>2</v>
      </c>
      <c r="P326" s="5">
        <f t="shared" si="134"/>
        <v>3</v>
      </c>
      <c r="Q326" s="5">
        <f t="shared" si="134"/>
        <v>3</v>
      </c>
      <c r="R326" s="5">
        <f t="shared" si="134"/>
        <v>3</v>
      </c>
      <c r="S326" s="5">
        <f t="shared" si="134"/>
        <v>4</v>
      </c>
      <c r="T326" s="5">
        <f t="shared" si="134"/>
        <v>4</v>
      </c>
      <c r="U326" s="5">
        <f t="shared" si="134"/>
        <v>4</v>
      </c>
      <c r="V326" s="5">
        <f t="shared" si="134"/>
        <v>5</v>
      </c>
      <c r="W326" s="5">
        <f t="shared" si="134"/>
        <v>5</v>
      </c>
      <c r="X326" s="5">
        <f t="shared" si="134"/>
        <v>5</v>
      </c>
      <c r="Y326" s="5">
        <f t="shared" si="134"/>
        <v>6</v>
      </c>
      <c r="Z326" s="5">
        <f t="shared" si="134"/>
        <v>6</v>
      </c>
      <c r="AA326" s="5">
        <f t="shared" si="134"/>
        <v>6</v>
      </c>
      <c r="AB326" s="5">
        <f t="shared" si="134"/>
        <v>7</v>
      </c>
      <c r="AC326" s="5">
        <f t="shared" si="134"/>
        <v>7</v>
      </c>
      <c r="AD326" s="5">
        <f t="shared" si="134"/>
        <v>7</v>
      </c>
      <c r="AE326" s="5">
        <f t="shared" si="134"/>
        <v>8</v>
      </c>
      <c r="AF326" s="5">
        <f t="shared" si="134"/>
        <v>8</v>
      </c>
      <c r="AG326" s="5">
        <f t="shared" si="134"/>
        <v>8</v>
      </c>
      <c r="AH326" s="5">
        <f t="shared" si="134"/>
        <v>9</v>
      </c>
      <c r="AI326" s="5">
        <f t="shared" si="134"/>
        <v>9</v>
      </c>
      <c r="AJ326" s="5">
        <f t="shared" si="134"/>
        <v>9</v>
      </c>
      <c r="AK326" s="5">
        <f t="shared" si="134"/>
        <v>10</v>
      </c>
      <c r="AL326" s="5">
        <f t="shared" si="134"/>
        <v>10</v>
      </c>
      <c r="AM326" s="5">
        <f t="shared" si="134"/>
        <v>10</v>
      </c>
      <c r="AN326" s="5">
        <f t="shared" si="134"/>
        <v>11</v>
      </c>
      <c r="AO326" s="5">
        <f t="shared" si="134"/>
        <v>11</v>
      </c>
      <c r="AP326" s="5">
        <f t="shared" si="134"/>
        <v>11</v>
      </c>
      <c r="AQ326" s="5">
        <f t="shared" si="134"/>
        <v>12</v>
      </c>
      <c r="AR326" s="5">
        <f t="shared" si="134"/>
        <v>12</v>
      </c>
      <c r="AS326" s="5">
        <f t="shared" si="134"/>
        <v>12</v>
      </c>
      <c r="AT326" s="5">
        <f t="shared" si="134"/>
        <v>13</v>
      </c>
      <c r="AU326" s="5">
        <f t="shared" si="134"/>
        <v>13</v>
      </c>
      <c r="AV326" s="5">
        <f t="shared" si="134"/>
        <v>13</v>
      </c>
      <c r="AW326" s="5">
        <f t="shared" si="134"/>
        <v>14</v>
      </c>
      <c r="AX326" s="5">
        <f t="shared" si="134"/>
        <v>14</v>
      </c>
      <c r="AY326" s="5">
        <f t="shared" si="134"/>
        <v>14</v>
      </c>
      <c r="AZ326" s="5">
        <f t="shared" si="134"/>
        <v>15</v>
      </c>
      <c r="BA326" s="5">
        <f t="shared" si="134"/>
        <v>15</v>
      </c>
      <c r="BB326" s="5">
        <f t="shared" si="134"/>
        <v>15</v>
      </c>
      <c r="BC326" s="5">
        <f t="shared" si="134"/>
        <v>16</v>
      </c>
      <c r="BD326" s="5">
        <f t="shared" si="134"/>
        <v>16</v>
      </c>
      <c r="BE326" s="5">
        <f t="shared" si="134"/>
        <v>16</v>
      </c>
      <c r="BF326" s="5">
        <f t="shared" si="134"/>
        <v>17</v>
      </c>
      <c r="BG326" s="5">
        <f t="shared" si="134"/>
        <v>17</v>
      </c>
      <c r="BH326" s="5">
        <f t="shared" si="134"/>
        <v>17</v>
      </c>
      <c r="BI326" s="5">
        <f t="shared" si="134"/>
        <v>18</v>
      </c>
      <c r="BJ326" s="5">
        <f t="shared" si="134"/>
        <v>18</v>
      </c>
      <c r="BK326" s="5">
        <f t="shared" si="134"/>
        <v>18</v>
      </c>
      <c r="BL326" s="5">
        <f t="shared" si="134"/>
        <v>19</v>
      </c>
      <c r="BM326" s="5">
        <f t="shared" si="134"/>
        <v>19</v>
      </c>
      <c r="BN326" s="5">
        <f t="shared" si="134"/>
        <v>19</v>
      </c>
      <c r="BO326" s="5">
        <f t="shared" si="134"/>
        <v>20</v>
      </c>
      <c r="BP326" s="5">
        <f t="shared" si="134"/>
        <v>20</v>
      </c>
      <c r="BQ326" s="5">
        <f t="shared" si="134"/>
        <v>20</v>
      </c>
    </row>
    <row r="327" spans="1:69" outlineLevel="1"/>
    <row r="328" spans="1:69" outlineLevel="1"/>
    <row r="329" spans="1:69" outlineLevel="1">
      <c r="B329" s="27" t="s">
        <v>34</v>
      </c>
    </row>
    <row r="330" spans="1:69" outlineLevel="2">
      <c r="E330" s="5" t="str">
        <f t="shared" ref="E330:BQ330" si="135" xml:space="preserve">  E$28</f>
        <v>Period number</v>
      </c>
      <c r="F330" s="5">
        <f t="shared" si="135"/>
        <v>0</v>
      </c>
      <c r="G330" s="5" t="str">
        <f t="shared" si="135"/>
        <v>Counter</v>
      </c>
      <c r="H330" s="5">
        <f t="shared" si="135"/>
        <v>0</v>
      </c>
      <c r="I330" s="5">
        <f t="shared" si="135"/>
        <v>0</v>
      </c>
      <c r="J330" s="5">
        <f t="shared" si="135"/>
        <v>1</v>
      </c>
      <c r="K330" s="5">
        <f t="shared" si="135"/>
        <v>2</v>
      </c>
      <c r="L330" s="5">
        <f t="shared" si="135"/>
        <v>3</v>
      </c>
      <c r="M330" s="5">
        <f t="shared" si="135"/>
        <v>4</v>
      </c>
      <c r="N330" s="5">
        <f t="shared" si="135"/>
        <v>5</v>
      </c>
      <c r="O330" s="5">
        <f t="shared" si="135"/>
        <v>6</v>
      </c>
      <c r="P330" s="5">
        <f t="shared" si="135"/>
        <v>7</v>
      </c>
      <c r="Q330" s="5">
        <f t="shared" si="135"/>
        <v>8</v>
      </c>
      <c r="R330" s="5">
        <f t="shared" si="135"/>
        <v>9</v>
      </c>
      <c r="S330" s="5">
        <f t="shared" si="135"/>
        <v>10</v>
      </c>
      <c r="T330" s="5">
        <f t="shared" si="135"/>
        <v>11</v>
      </c>
      <c r="U330" s="5">
        <f t="shared" si="135"/>
        <v>12</v>
      </c>
      <c r="V330" s="5">
        <f t="shared" si="135"/>
        <v>13</v>
      </c>
      <c r="W330" s="5">
        <f t="shared" si="135"/>
        <v>14</v>
      </c>
      <c r="X330" s="5">
        <f t="shared" si="135"/>
        <v>15</v>
      </c>
      <c r="Y330" s="5">
        <f t="shared" si="135"/>
        <v>16</v>
      </c>
      <c r="Z330" s="5">
        <f t="shared" si="135"/>
        <v>17</v>
      </c>
      <c r="AA330" s="5">
        <f t="shared" si="135"/>
        <v>18</v>
      </c>
      <c r="AB330" s="5">
        <f t="shared" si="135"/>
        <v>19</v>
      </c>
      <c r="AC330" s="5">
        <f t="shared" si="135"/>
        <v>20</v>
      </c>
      <c r="AD330" s="5">
        <f t="shared" si="135"/>
        <v>21</v>
      </c>
      <c r="AE330" s="5">
        <f t="shared" si="135"/>
        <v>22</v>
      </c>
      <c r="AF330" s="5">
        <f t="shared" si="135"/>
        <v>23</v>
      </c>
      <c r="AG330" s="5">
        <f t="shared" si="135"/>
        <v>24</v>
      </c>
      <c r="AH330" s="5">
        <f t="shared" si="135"/>
        <v>25</v>
      </c>
      <c r="AI330" s="5">
        <f t="shared" si="135"/>
        <v>26</v>
      </c>
      <c r="AJ330" s="5">
        <f t="shared" si="135"/>
        <v>27</v>
      </c>
      <c r="AK330" s="5">
        <f t="shared" si="135"/>
        <v>28</v>
      </c>
      <c r="AL330" s="5">
        <f t="shared" si="135"/>
        <v>29</v>
      </c>
      <c r="AM330" s="5">
        <f t="shared" si="135"/>
        <v>30</v>
      </c>
      <c r="AN330" s="5">
        <f t="shared" si="135"/>
        <v>31</v>
      </c>
      <c r="AO330" s="5">
        <f t="shared" si="135"/>
        <v>32</v>
      </c>
      <c r="AP330" s="5">
        <f t="shared" si="135"/>
        <v>33</v>
      </c>
      <c r="AQ330" s="5">
        <f t="shared" si="135"/>
        <v>34</v>
      </c>
      <c r="AR330" s="5">
        <f t="shared" si="135"/>
        <v>35</v>
      </c>
      <c r="AS330" s="5">
        <f t="shared" si="135"/>
        <v>36</v>
      </c>
      <c r="AT330" s="5">
        <f t="shared" si="135"/>
        <v>37</v>
      </c>
      <c r="AU330" s="5">
        <f t="shared" si="135"/>
        <v>38</v>
      </c>
      <c r="AV330" s="5">
        <f t="shared" si="135"/>
        <v>39</v>
      </c>
      <c r="AW330" s="5">
        <f t="shared" si="135"/>
        <v>40</v>
      </c>
      <c r="AX330" s="5">
        <f t="shared" si="135"/>
        <v>41</v>
      </c>
      <c r="AY330" s="5">
        <f t="shared" si="135"/>
        <v>42</v>
      </c>
      <c r="AZ330" s="5">
        <f t="shared" si="135"/>
        <v>43</v>
      </c>
      <c r="BA330" s="5">
        <f t="shared" si="135"/>
        <v>44</v>
      </c>
      <c r="BB330" s="5">
        <f t="shared" si="135"/>
        <v>45</v>
      </c>
      <c r="BC330" s="5">
        <f t="shared" si="135"/>
        <v>46</v>
      </c>
      <c r="BD330" s="5">
        <f t="shared" si="135"/>
        <v>47</v>
      </c>
      <c r="BE330" s="5">
        <f t="shared" si="135"/>
        <v>48</v>
      </c>
      <c r="BF330" s="5">
        <f t="shared" si="135"/>
        <v>49</v>
      </c>
      <c r="BG330" s="5">
        <f t="shared" si="135"/>
        <v>50</v>
      </c>
      <c r="BH330" s="5">
        <f t="shared" si="135"/>
        <v>51</v>
      </c>
      <c r="BI330" s="5">
        <f t="shared" si="135"/>
        <v>52</v>
      </c>
      <c r="BJ330" s="5">
        <f t="shared" si="135"/>
        <v>53</v>
      </c>
      <c r="BK330" s="5">
        <f t="shared" si="135"/>
        <v>54</v>
      </c>
      <c r="BL330" s="5">
        <f t="shared" si="135"/>
        <v>55</v>
      </c>
      <c r="BM330" s="5">
        <f t="shared" si="135"/>
        <v>56</v>
      </c>
      <c r="BN330" s="5">
        <f t="shared" si="135"/>
        <v>57</v>
      </c>
      <c r="BO330" s="5">
        <f t="shared" si="135"/>
        <v>58</v>
      </c>
      <c r="BP330" s="5">
        <f t="shared" si="135"/>
        <v>59</v>
      </c>
      <c r="BQ330" s="5">
        <f t="shared" si="135"/>
        <v>60</v>
      </c>
    </row>
    <row r="331" spans="1:69" outlineLevel="2">
      <c r="E331" s="46" t="s">
        <v>34</v>
      </c>
      <c r="G331" s="46" t="s">
        <v>90</v>
      </c>
      <c r="I331" s="5">
        <f t="shared" ref="I331:BQ331" si="136" xml:space="preserve">  IF( MOD( I330, 3 ) = 0, ( I330 / 3 ), 0 )</f>
        <v>0</v>
      </c>
      <c r="J331" s="5">
        <f t="shared" si="136"/>
        <v>0</v>
      </c>
      <c r="K331" s="5">
        <f t="shared" si="136"/>
        <v>0</v>
      </c>
      <c r="L331" s="5">
        <f t="shared" si="136"/>
        <v>1</v>
      </c>
      <c r="M331" s="5">
        <f t="shared" si="136"/>
        <v>0</v>
      </c>
      <c r="N331" s="5">
        <f t="shared" si="136"/>
        <v>0</v>
      </c>
      <c r="O331" s="5">
        <f t="shared" si="136"/>
        <v>2</v>
      </c>
      <c r="P331" s="5">
        <f t="shared" si="136"/>
        <v>0</v>
      </c>
      <c r="Q331" s="5">
        <f t="shared" si="136"/>
        <v>0</v>
      </c>
      <c r="R331" s="5">
        <f t="shared" si="136"/>
        <v>3</v>
      </c>
      <c r="S331" s="5">
        <f t="shared" si="136"/>
        <v>0</v>
      </c>
      <c r="T331" s="5">
        <f t="shared" si="136"/>
        <v>0</v>
      </c>
      <c r="U331" s="5">
        <f t="shared" si="136"/>
        <v>4</v>
      </c>
      <c r="V331" s="5">
        <f t="shared" si="136"/>
        <v>0</v>
      </c>
      <c r="W331" s="5">
        <f t="shared" si="136"/>
        <v>0</v>
      </c>
      <c r="X331" s="5">
        <f t="shared" si="136"/>
        <v>5</v>
      </c>
      <c r="Y331" s="5">
        <f t="shared" si="136"/>
        <v>0</v>
      </c>
      <c r="Z331" s="5">
        <f t="shared" si="136"/>
        <v>0</v>
      </c>
      <c r="AA331" s="5">
        <f t="shared" si="136"/>
        <v>6</v>
      </c>
      <c r="AB331" s="5">
        <f t="shared" si="136"/>
        <v>0</v>
      </c>
      <c r="AC331" s="5">
        <f t="shared" si="136"/>
        <v>0</v>
      </c>
      <c r="AD331" s="5">
        <f t="shared" si="136"/>
        <v>7</v>
      </c>
      <c r="AE331" s="5">
        <f t="shared" si="136"/>
        <v>0</v>
      </c>
      <c r="AF331" s="5">
        <f t="shared" si="136"/>
        <v>0</v>
      </c>
      <c r="AG331" s="5">
        <f t="shared" si="136"/>
        <v>8</v>
      </c>
      <c r="AH331" s="5">
        <f t="shared" si="136"/>
        <v>0</v>
      </c>
      <c r="AI331" s="5">
        <f t="shared" si="136"/>
        <v>0</v>
      </c>
      <c r="AJ331" s="5">
        <f t="shared" si="136"/>
        <v>9</v>
      </c>
      <c r="AK331" s="5">
        <f t="shared" si="136"/>
        <v>0</v>
      </c>
      <c r="AL331" s="5">
        <f t="shared" si="136"/>
        <v>0</v>
      </c>
      <c r="AM331" s="5">
        <f t="shared" si="136"/>
        <v>10</v>
      </c>
      <c r="AN331" s="5">
        <f t="shared" si="136"/>
        <v>0</v>
      </c>
      <c r="AO331" s="5">
        <f t="shared" si="136"/>
        <v>0</v>
      </c>
      <c r="AP331" s="5">
        <f t="shared" si="136"/>
        <v>11</v>
      </c>
      <c r="AQ331" s="5">
        <f t="shared" si="136"/>
        <v>0</v>
      </c>
      <c r="AR331" s="5">
        <f t="shared" si="136"/>
        <v>0</v>
      </c>
      <c r="AS331" s="5">
        <f t="shared" si="136"/>
        <v>12</v>
      </c>
      <c r="AT331" s="5">
        <f t="shared" si="136"/>
        <v>0</v>
      </c>
      <c r="AU331" s="5">
        <f t="shared" si="136"/>
        <v>0</v>
      </c>
      <c r="AV331" s="5">
        <f t="shared" si="136"/>
        <v>13</v>
      </c>
      <c r="AW331" s="5">
        <f t="shared" si="136"/>
        <v>0</v>
      </c>
      <c r="AX331" s="5">
        <f t="shared" si="136"/>
        <v>0</v>
      </c>
      <c r="AY331" s="5">
        <f t="shared" si="136"/>
        <v>14</v>
      </c>
      <c r="AZ331" s="5">
        <f t="shared" si="136"/>
        <v>0</v>
      </c>
      <c r="BA331" s="5">
        <f t="shared" si="136"/>
        <v>0</v>
      </c>
      <c r="BB331" s="5">
        <f t="shared" si="136"/>
        <v>15</v>
      </c>
      <c r="BC331" s="5">
        <f t="shared" si="136"/>
        <v>0</v>
      </c>
      <c r="BD331" s="5">
        <f t="shared" si="136"/>
        <v>0</v>
      </c>
      <c r="BE331" s="5">
        <f t="shared" si="136"/>
        <v>16</v>
      </c>
      <c r="BF331" s="5">
        <f t="shared" si="136"/>
        <v>0</v>
      </c>
      <c r="BG331" s="5">
        <f t="shared" si="136"/>
        <v>0</v>
      </c>
      <c r="BH331" s="5">
        <f t="shared" si="136"/>
        <v>17</v>
      </c>
      <c r="BI331" s="5">
        <f t="shared" si="136"/>
        <v>0</v>
      </c>
      <c r="BJ331" s="5">
        <f t="shared" si="136"/>
        <v>0</v>
      </c>
      <c r="BK331" s="5">
        <f t="shared" si="136"/>
        <v>18</v>
      </c>
      <c r="BL331" s="5">
        <f t="shared" si="136"/>
        <v>0</v>
      </c>
      <c r="BM331" s="5">
        <f t="shared" si="136"/>
        <v>0</v>
      </c>
      <c r="BN331" s="5">
        <f t="shared" si="136"/>
        <v>19</v>
      </c>
      <c r="BO331" s="5">
        <f t="shared" si="136"/>
        <v>0</v>
      </c>
      <c r="BP331" s="5">
        <f t="shared" si="136"/>
        <v>0</v>
      </c>
      <c r="BQ331" s="5">
        <f t="shared" si="136"/>
        <v>20</v>
      </c>
    </row>
    <row r="332" spans="1:69" outlineLevel="1"/>
    <row r="333" spans="1:69" outlineLevel="1"/>
    <row r="334" spans="1:69" outlineLevel="1">
      <c r="B334" s="27" t="s">
        <v>79</v>
      </c>
    </row>
    <row r="335" spans="1:69" outlineLevel="2">
      <c r="A335" s="18"/>
      <c r="B335" s="18"/>
      <c r="C335" s="30"/>
      <c r="D335" s="31"/>
      <c r="E335" s="19" t="str">
        <f xml:space="preserve">  InpC!E$100</f>
        <v>Start date</v>
      </c>
      <c r="F335" s="19">
        <f xml:space="preserve">  InpC!F$100</f>
        <v>45047</v>
      </c>
      <c r="G335" s="19" t="str">
        <f xml:space="preserve">  InpC!G$100</f>
        <v>date</v>
      </c>
      <c r="M335" s="8"/>
    </row>
    <row r="336" spans="1:69" outlineLevel="2">
      <c r="E336" s="46" t="s">
        <v>79</v>
      </c>
      <c r="F336" s="2">
        <f xml:space="preserve">  $F335 - 1</f>
        <v>45046</v>
      </c>
      <c r="G336" s="46" t="s">
        <v>210</v>
      </c>
      <c r="M336" s="2"/>
    </row>
    <row r="337" spans="1:69" outlineLevel="1"/>
    <row r="338" spans="1:69" outlineLevel="1"/>
    <row r="339" spans="1:69" outlineLevel="1">
      <c r="B339" s="27" t="s">
        <v>312</v>
      </c>
    </row>
    <row r="340" spans="1:69" outlineLevel="2">
      <c r="E340" s="5" t="str">
        <f t="shared" ref="E340:BQ340" si="137" xml:space="preserve">  E$28</f>
        <v>Period number</v>
      </c>
      <c r="F340" s="5">
        <f t="shared" si="137"/>
        <v>0</v>
      </c>
      <c r="G340" s="5" t="str">
        <f t="shared" si="137"/>
        <v>Counter</v>
      </c>
      <c r="H340" s="5">
        <f t="shared" si="137"/>
        <v>0</v>
      </c>
      <c r="I340" s="5">
        <f t="shared" si="137"/>
        <v>0</v>
      </c>
      <c r="J340" s="5">
        <f t="shared" si="137"/>
        <v>1</v>
      </c>
      <c r="K340" s="5">
        <f t="shared" si="137"/>
        <v>2</v>
      </c>
      <c r="L340" s="5">
        <f t="shared" si="137"/>
        <v>3</v>
      </c>
      <c r="M340" s="5">
        <f t="shared" si="137"/>
        <v>4</v>
      </c>
      <c r="N340" s="5">
        <f t="shared" si="137"/>
        <v>5</v>
      </c>
      <c r="O340" s="5">
        <f t="shared" si="137"/>
        <v>6</v>
      </c>
      <c r="P340" s="5">
        <f t="shared" si="137"/>
        <v>7</v>
      </c>
      <c r="Q340" s="5">
        <f t="shared" si="137"/>
        <v>8</v>
      </c>
      <c r="R340" s="5">
        <f t="shared" si="137"/>
        <v>9</v>
      </c>
      <c r="S340" s="5">
        <f t="shared" si="137"/>
        <v>10</v>
      </c>
      <c r="T340" s="5">
        <f t="shared" si="137"/>
        <v>11</v>
      </c>
      <c r="U340" s="5">
        <f t="shared" si="137"/>
        <v>12</v>
      </c>
      <c r="V340" s="5">
        <f t="shared" si="137"/>
        <v>13</v>
      </c>
      <c r="W340" s="5">
        <f t="shared" si="137"/>
        <v>14</v>
      </c>
      <c r="X340" s="5">
        <f t="shared" si="137"/>
        <v>15</v>
      </c>
      <c r="Y340" s="5">
        <f t="shared" si="137"/>
        <v>16</v>
      </c>
      <c r="Z340" s="5">
        <f t="shared" si="137"/>
        <v>17</v>
      </c>
      <c r="AA340" s="5">
        <f t="shared" si="137"/>
        <v>18</v>
      </c>
      <c r="AB340" s="5">
        <f t="shared" si="137"/>
        <v>19</v>
      </c>
      <c r="AC340" s="5">
        <f t="shared" si="137"/>
        <v>20</v>
      </c>
      <c r="AD340" s="5">
        <f t="shared" si="137"/>
        <v>21</v>
      </c>
      <c r="AE340" s="5">
        <f t="shared" si="137"/>
        <v>22</v>
      </c>
      <c r="AF340" s="5">
        <f t="shared" si="137"/>
        <v>23</v>
      </c>
      <c r="AG340" s="5">
        <f t="shared" si="137"/>
        <v>24</v>
      </c>
      <c r="AH340" s="5">
        <f t="shared" si="137"/>
        <v>25</v>
      </c>
      <c r="AI340" s="5">
        <f t="shared" si="137"/>
        <v>26</v>
      </c>
      <c r="AJ340" s="5">
        <f t="shared" si="137"/>
        <v>27</v>
      </c>
      <c r="AK340" s="5">
        <f t="shared" si="137"/>
        <v>28</v>
      </c>
      <c r="AL340" s="5">
        <f t="shared" si="137"/>
        <v>29</v>
      </c>
      <c r="AM340" s="5">
        <f t="shared" si="137"/>
        <v>30</v>
      </c>
      <c r="AN340" s="5">
        <f t="shared" si="137"/>
        <v>31</v>
      </c>
      <c r="AO340" s="5">
        <f t="shared" si="137"/>
        <v>32</v>
      </c>
      <c r="AP340" s="5">
        <f t="shared" si="137"/>
        <v>33</v>
      </c>
      <c r="AQ340" s="5">
        <f t="shared" si="137"/>
        <v>34</v>
      </c>
      <c r="AR340" s="5">
        <f t="shared" si="137"/>
        <v>35</v>
      </c>
      <c r="AS340" s="5">
        <f t="shared" si="137"/>
        <v>36</v>
      </c>
      <c r="AT340" s="5">
        <f t="shared" si="137"/>
        <v>37</v>
      </c>
      <c r="AU340" s="5">
        <f t="shared" si="137"/>
        <v>38</v>
      </c>
      <c r="AV340" s="5">
        <f t="shared" si="137"/>
        <v>39</v>
      </c>
      <c r="AW340" s="5">
        <f t="shared" si="137"/>
        <v>40</v>
      </c>
      <c r="AX340" s="5">
        <f t="shared" si="137"/>
        <v>41</v>
      </c>
      <c r="AY340" s="5">
        <f t="shared" si="137"/>
        <v>42</v>
      </c>
      <c r="AZ340" s="5">
        <f t="shared" si="137"/>
        <v>43</v>
      </c>
      <c r="BA340" s="5">
        <f t="shared" si="137"/>
        <v>44</v>
      </c>
      <c r="BB340" s="5">
        <f t="shared" si="137"/>
        <v>45</v>
      </c>
      <c r="BC340" s="5">
        <f t="shared" si="137"/>
        <v>46</v>
      </c>
      <c r="BD340" s="5">
        <f t="shared" si="137"/>
        <v>47</v>
      </c>
      <c r="BE340" s="5">
        <f t="shared" si="137"/>
        <v>48</v>
      </c>
      <c r="BF340" s="5">
        <f t="shared" si="137"/>
        <v>49</v>
      </c>
      <c r="BG340" s="5">
        <f t="shared" si="137"/>
        <v>50</v>
      </c>
      <c r="BH340" s="5">
        <f t="shared" si="137"/>
        <v>51</v>
      </c>
      <c r="BI340" s="5">
        <f t="shared" si="137"/>
        <v>52</v>
      </c>
      <c r="BJ340" s="5">
        <f t="shared" si="137"/>
        <v>53</v>
      </c>
      <c r="BK340" s="5">
        <f t="shared" si="137"/>
        <v>54</v>
      </c>
      <c r="BL340" s="5">
        <f t="shared" si="137"/>
        <v>55</v>
      </c>
      <c r="BM340" s="5">
        <f t="shared" si="137"/>
        <v>56</v>
      </c>
      <c r="BN340" s="5">
        <f t="shared" si="137"/>
        <v>57</v>
      </c>
      <c r="BO340" s="5">
        <f t="shared" si="137"/>
        <v>58</v>
      </c>
      <c r="BP340" s="5">
        <f t="shared" si="137"/>
        <v>59</v>
      </c>
      <c r="BQ340" s="5">
        <f t="shared" si="137"/>
        <v>60</v>
      </c>
    </row>
    <row r="341" spans="1:69" outlineLevel="2">
      <c r="E341" s="46" t="s">
        <v>312</v>
      </c>
      <c r="G341" s="46" t="s">
        <v>90</v>
      </c>
      <c r="J341" s="5">
        <f t="shared" ref="J341:BQ341" si="138" xml:space="preserve">  IF( J340 = 1, 1, I341 + IF( MOD( J340, 6 ) = 1, 1, 0 ) )</f>
        <v>1</v>
      </c>
      <c r="K341" s="5">
        <f t="shared" si="138"/>
        <v>1</v>
      </c>
      <c r="L341" s="5">
        <f t="shared" si="138"/>
        <v>1</v>
      </c>
      <c r="M341" s="5">
        <f t="shared" si="138"/>
        <v>1</v>
      </c>
      <c r="N341" s="5">
        <f t="shared" si="138"/>
        <v>1</v>
      </c>
      <c r="O341" s="5">
        <f t="shared" si="138"/>
        <v>1</v>
      </c>
      <c r="P341" s="5">
        <f t="shared" si="138"/>
        <v>2</v>
      </c>
      <c r="Q341" s="5">
        <f t="shared" si="138"/>
        <v>2</v>
      </c>
      <c r="R341" s="5">
        <f t="shared" si="138"/>
        <v>2</v>
      </c>
      <c r="S341" s="5">
        <f t="shared" si="138"/>
        <v>2</v>
      </c>
      <c r="T341" s="5">
        <f t="shared" si="138"/>
        <v>2</v>
      </c>
      <c r="U341" s="5">
        <f t="shared" si="138"/>
        <v>2</v>
      </c>
      <c r="V341" s="5">
        <f t="shared" si="138"/>
        <v>3</v>
      </c>
      <c r="W341" s="5">
        <f t="shared" si="138"/>
        <v>3</v>
      </c>
      <c r="X341" s="5">
        <f t="shared" si="138"/>
        <v>3</v>
      </c>
      <c r="Y341" s="5">
        <f t="shared" si="138"/>
        <v>3</v>
      </c>
      <c r="Z341" s="5">
        <f t="shared" si="138"/>
        <v>3</v>
      </c>
      <c r="AA341" s="5">
        <f t="shared" si="138"/>
        <v>3</v>
      </c>
      <c r="AB341" s="5">
        <f t="shared" si="138"/>
        <v>4</v>
      </c>
      <c r="AC341" s="5">
        <f t="shared" si="138"/>
        <v>4</v>
      </c>
      <c r="AD341" s="5">
        <f t="shared" si="138"/>
        <v>4</v>
      </c>
      <c r="AE341" s="5">
        <f t="shared" si="138"/>
        <v>4</v>
      </c>
      <c r="AF341" s="5">
        <f t="shared" si="138"/>
        <v>4</v>
      </c>
      <c r="AG341" s="5">
        <f t="shared" si="138"/>
        <v>4</v>
      </c>
      <c r="AH341" s="5">
        <f t="shared" si="138"/>
        <v>5</v>
      </c>
      <c r="AI341" s="5">
        <f t="shared" si="138"/>
        <v>5</v>
      </c>
      <c r="AJ341" s="5">
        <f t="shared" si="138"/>
        <v>5</v>
      </c>
      <c r="AK341" s="5">
        <f t="shared" si="138"/>
        <v>5</v>
      </c>
      <c r="AL341" s="5">
        <f t="shared" si="138"/>
        <v>5</v>
      </c>
      <c r="AM341" s="5">
        <f t="shared" si="138"/>
        <v>5</v>
      </c>
      <c r="AN341" s="5">
        <f t="shared" si="138"/>
        <v>6</v>
      </c>
      <c r="AO341" s="5">
        <f t="shared" si="138"/>
        <v>6</v>
      </c>
      <c r="AP341" s="5">
        <f t="shared" si="138"/>
        <v>6</v>
      </c>
      <c r="AQ341" s="5">
        <f t="shared" si="138"/>
        <v>6</v>
      </c>
      <c r="AR341" s="5">
        <f t="shared" si="138"/>
        <v>6</v>
      </c>
      <c r="AS341" s="5">
        <f t="shared" si="138"/>
        <v>6</v>
      </c>
      <c r="AT341" s="5">
        <f t="shared" si="138"/>
        <v>7</v>
      </c>
      <c r="AU341" s="5">
        <f t="shared" si="138"/>
        <v>7</v>
      </c>
      <c r="AV341" s="5">
        <f t="shared" si="138"/>
        <v>7</v>
      </c>
      <c r="AW341" s="5">
        <f t="shared" si="138"/>
        <v>7</v>
      </c>
      <c r="AX341" s="5">
        <f t="shared" si="138"/>
        <v>7</v>
      </c>
      <c r="AY341" s="5">
        <f t="shared" si="138"/>
        <v>7</v>
      </c>
      <c r="AZ341" s="5">
        <f t="shared" si="138"/>
        <v>8</v>
      </c>
      <c r="BA341" s="5">
        <f t="shared" si="138"/>
        <v>8</v>
      </c>
      <c r="BB341" s="5">
        <f t="shared" si="138"/>
        <v>8</v>
      </c>
      <c r="BC341" s="5">
        <f t="shared" si="138"/>
        <v>8</v>
      </c>
      <c r="BD341" s="5">
        <f t="shared" si="138"/>
        <v>8</v>
      </c>
      <c r="BE341" s="5">
        <f t="shared" si="138"/>
        <v>8</v>
      </c>
      <c r="BF341" s="5">
        <f t="shared" si="138"/>
        <v>9</v>
      </c>
      <c r="BG341" s="5">
        <f t="shared" si="138"/>
        <v>9</v>
      </c>
      <c r="BH341" s="5">
        <f t="shared" si="138"/>
        <v>9</v>
      </c>
      <c r="BI341" s="5">
        <f t="shared" si="138"/>
        <v>9</v>
      </c>
      <c r="BJ341" s="5">
        <f t="shared" si="138"/>
        <v>9</v>
      </c>
      <c r="BK341" s="5">
        <f t="shared" si="138"/>
        <v>9</v>
      </c>
      <c r="BL341" s="5">
        <f t="shared" si="138"/>
        <v>10</v>
      </c>
      <c r="BM341" s="5">
        <f t="shared" si="138"/>
        <v>10</v>
      </c>
      <c r="BN341" s="5">
        <f t="shared" si="138"/>
        <v>10</v>
      </c>
      <c r="BO341" s="5">
        <f t="shared" si="138"/>
        <v>10</v>
      </c>
      <c r="BP341" s="5">
        <f t="shared" si="138"/>
        <v>10</v>
      </c>
      <c r="BQ341" s="5">
        <f t="shared" si="138"/>
        <v>10</v>
      </c>
    </row>
    <row r="342" spans="1:69" outlineLevel="1"/>
    <row r="343" spans="1:69" outlineLevel="1"/>
    <row r="344" spans="1:69" outlineLevel="1">
      <c r="B344" s="27" t="s">
        <v>255</v>
      </c>
    </row>
    <row r="345" spans="1:69" outlineLevel="2">
      <c r="E345" s="5" t="str">
        <f t="shared" ref="E345:BQ345" si="139" xml:space="preserve">  E$28</f>
        <v>Period number</v>
      </c>
      <c r="F345" s="5">
        <f t="shared" si="139"/>
        <v>0</v>
      </c>
      <c r="G345" s="5" t="str">
        <f t="shared" si="139"/>
        <v>Counter</v>
      </c>
      <c r="H345" s="5">
        <f t="shared" si="139"/>
        <v>0</v>
      </c>
      <c r="I345" s="5">
        <f t="shared" si="139"/>
        <v>0</v>
      </c>
      <c r="J345" s="5">
        <f t="shared" si="139"/>
        <v>1</v>
      </c>
      <c r="K345" s="5">
        <f t="shared" si="139"/>
        <v>2</v>
      </c>
      <c r="L345" s="5">
        <f t="shared" si="139"/>
        <v>3</v>
      </c>
      <c r="M345" s="5">
        <f t="shared" si="139"/>
        <v>4</v>
      </c>
      <c r="N345" s="5">
        <f t="shared" si="139"/>
        <v>5</v>
      </c>
      <c r="O345" s="5">
        <f t="shared" si="139"/>
        <v>6</v>
      </c>
      <c r="P345" s="5">
        <f t="shared" si="139"/>
        <v>7</v>
      </c>
      <c r="Q345" s="5">
        <f t="shared" si="139"/>
        <v>8</v>
      </c>
      <c r="R345" s="5">
        <f t="shared" si="139"/>
        <v>9</v>
      </c>
      <c r="S345" s="5">
        <f t="shared" si="139"/>
        <v>10</v>
      </c>
      <c r="T345" s="5">
        <f t="shared" si="139"/>
        <v>11</v>
      </c>
      <c r="U345" s="5">
        <f t="shared" si="139"/>
        <v>12</v>
      </c>
      <c r="V345" s="5">
        <f t="shared" si="139"/>
        <v>13</v>
      </c>
      <c r="W345" s="5">
        <f t="shared" si="139"/>
        <v>14</v>
      </c>
      <c r="X345" s="5">
        <f t="shared" si="139"/>
        <v>15</v>
      </c>
      <c r="Y345" s="5">
        <f t="shared" si="139"/>
        <v>16</v>
      </c>
      <c r="Z345" s="5">
        <f t="shared" si="139"/>
        <v>17</v>
      </c>
      <c r="AA345" s="5">
        <f t="shared" si="139"/>
        <v>18</v>
      </c>
      <c r="AB345" s="5">
        <f t="shared" si="139"/>
        <v>19</v>
      </c>
      <c r="AC345" s="5">
        <f t="shared" si="139"/>
        <v>20</v>
      </c>
      <c r="AD345" s="5">
        <f t="shared" si="139"/>
        <v>21</v>
      </c>
      <c r="AE345" s="5">
        <f t="shared" si="139"/>
        <v>22</v>
      </c>
      <c r="AF345" s="5">
        <f t="shared" si="139"/>
        <v>23</v>
      </c>
      <c r="AG345" s="5">
        <f t="shared" si="139"/>
        <v>24</v>
      </c>
      <c r="AH345" s="5">
        <f t="shared" si="139"/>
        <v>25</v>
      </c>
      <c r="AI345" s="5">
        <f t="shared" si="139"/>
        <v>26</v>
      </c>
      <c r="AJ345" s="5">
        <f t="shared" si="139"/>
        <v>27</v>
      </c>
      <c r="AK345" s="5">
        <f t="shared" si="139"/>
        <v>28</v>
      </c>
      <c r="AL345" s="5">
        <f t="shared" si="139"/>
        <v>29</v>
      </c>
      <c r="AM345" s="5">
        <f t="shared" si="139"/>
        <v>30</v>
      </c>
      <c r="AN345" s="5">
        <f t="shared" si="139"/>
        <v>31</v>
      </c>
      <c r="AO345" s="5">
        <f t="shared" si="139"/>
        <v>32</v>
      </c>
      <c r="AP345" s="5">
        <f t="shared" si="139"/>
        <v>33</v>
      </c>
      <c r="AQ345" s="5">
        <f t="shared" si="139"/>
        <v>34</v>
      </c>
      <c r="AR345" s="5">
        <f t="shared" si="139"/>
        <v>35</v>
      </c>
      <c r="AS345" s="5">
        <f t="shared" si="139"/>
        <v>36</v>
      </c>
      <c r="AT345" s="5">
        <f t="shared" si="139"/>
        <v>37</v>
      </c>
      <c r="AU345" s="5">
        <f t="shared" si="139"/>
        <v>38</v>
      </c>
      <c r="AV345" s="5">
        <f t="shared" si="139"/>
        <v>39</v>
      </c>
      <c r="AW345" s="5">
        <f t="shared" si="139"/>
        <v>40</v>
      </c>
      <c r="AX345" s="5">
        <f t="shared" si="139"/>
        <v>41</v>
      </c>
      <c r="AY345" s="5">
        <f t="shared" si="139"/>
        <v>42</v>
      </c>
      <c r="AZ345" s="5">
        <f t="shared" si="139"/>
        <v>43</v>
      </c>
      <c r="BA345" s="5">
        <f t="shared" si="139"/>
        <v>44</v>
      </c>
      <c r="BB345" s="5">
        <f t="shared" si="139"/>
        <v>45</v>
      </c>
      <c r="BC345" s="5">
        <f t="shared" si="139"/>
        <v>46</v>
      </c>
      <c r="BD345" s="5">
        <f t="shared" si="139"/>
        <v>47</v>
      </c>
      <c r="BE345" s="5">
        <f t="shared" si="139"/>
        <v>48</v>
      </c>
      <c r="BF345" s="5">
        <f t="shared" si="139"/>
        <v>49</v>
      </c>
      <c r="BG345" s="5">
        <f t="shared" si="139"/>
        <v>50</v>
      </c>
      <c r="BH345" s="5">
        <f t="shared" si="139"/>
        <v>51</v>
      </c>
      <c r="BI345" s="5">
        <f t="shared" si="139"/>
        <v>52</v>
      </c>
      <c r="BJ345" s="5">
        <f t="shared" si="139"/>
        <v>53</v>
      </c>
      <c r="BK345" s="5">
        <f t="shared" si="139"/>
        <v>54</v>
      </c>
      <c r="BL345" s="5">
        <f t="shared" si="139"/>
        <v>55</v>
      </c>
      <c r="BM345" s="5">
        <f t="shared" si="139"/>
        <v>56</v>
      </c>
      <c r="BN345" s="5">
        <f t="shared" si="139"/>
        <v>57</v>
      </c>
      <c r="BO345" s="5">
        <f t="shared" si="139"/>
        <v>58</v>
      </c>
      <c r="BP345" s="5">
        <f t="shared" si="139"/>
        <v>59</v>
      </c>
      <c r="BQ345" s="5">
        <f t="shared" si="139"/>
        <v>60</v>
      </c>
    </row>
    <row r="346" spans="1:69" outlineLevel="2">
      <c r="E346" s="46" t="s">
        <v>255</v>
      </c>
      <c r="G346" s="46" t="s">
        <v>90</v>
      </c>
      <c r="I346" s="5">
        <f t="shared" ref="I346:BQ346" si="140" xml:space="preserve">  IF( MOD( I345, 6 ) = 0, ( I345 / 6 ), 0 )</f>
        <v>0</v>
      </c>
      <c r="J346" s="5">
        <f t="shared" si="140"/>
        <v>0</v>
      </c>
      <c r="K346" s="5">
        <f t="shared" si="140"/>
        <v>0</v>
      </c>
      <c r="L346" s="5">
        <f t="shared" si="140"/>
        <v>0</v>
      </c>
      <c r="M346" s="5">
        <f t="shared" si="140"/>
        <v>0</v>
      </c>
      <c r="N346" s="5">
        <f t="shared" si="140"/>
        <v>0</v>
      </c>
      <c r="O346" s="5">
        <f t="shared" si="140"/>
        <v>1</v>
      </c>
      <c r="P346" s="5">
        <f t="shared" si="140"/>
        <v>0</v>
      </c>
      <c r="Q346" s="5">
        <f t="shared" si="140"/>
        <v>0</v>
      </c>
      <c r="R346" s="5">
        <f t="shared" si="140"/>
        <v>0</v>
      </c>
      <c r="S346" s="5">
        <f t="shared" si="140"/>
        <v>0</v>
      </c>
      <c r="T346" s="5">
        <f t="shared" si="140"/>
        <v>0</v>
      </c>
      <c r="U346" s="5">
        <f t="shared" si="140"/>
        <v>2</v>
      </c>
      <c r="V346" s="5">
        <f t="shared" si="140"/>
        <v>0</v>
      </c>
      <c r="W346" s="5">
        <f t="shared" si="140"/>
        <v>0</v>
      </c>
      <c r="X346" s="5">
        <f t="shared" si="140"/>
        <v>0</v>
      </c>
      <c r="Y346" s="5">
        <f t="shared" si="140"/>
        <v>0</v>
      </c>
      <c r="Z346" s="5">
        <f t="shared" si="140"/>
        <v>0</v>
      </c>
      <c r="AA346" s="5">
        <f t="shared" si="140"/>
        <v>3</v>
      </c>
      <c r="AB346" s="5">
        <f t="shared" si="140"/>
        <v>0</v>
      </c>
      <c r="AC346" s="5">
        <f t="shared" si="140"/>
        <v>0</v>
      </c>
      <c r="AD346" s="5">
        <f t="shared" si="140"/>
        <v>0</v>
      </c>
      <c r="AE346" s="5">
        <f t="shared" si="140"/>
        <v>0</v>
      </c>
      <c r="AF346" s="5">
        <f t="shared" si="140"/>
        <v>0</v>
      </c>
      <c r="AG346" s="5">
        <f t="shared" si="140"/>
        <v>4</v>
      </c>
      <c r="AH346" s="5">
        <f t="shared" si="140"/>
        <v>0</v>
      </c>
      <c r="AI346" s="5">
        <f t="shared" si="140"/>
        <v>0</v>
      </c>
      <c r="AJ346" s="5">
        <f t="shared" si="140"/>
        <v>0</v>
      </c>
      <c r="AK346" s="5">
        <f t="shared" si="140"/>
        <v>0</v>
      </c>
      <c r="AL346" s="5">
        <f t="shared" si="140"/>
        <v>0</v>
      </c>
      <c r="AM346" s="5">
        <f t="shared" si="140"/>
        <v>5</v>
      </c>
      <c r="AN346" s="5">
        <f t="shared" si="140"/>
        <v>0</v>
      </c>
      <c r="AO346" s="5">
        <f t="shared" si="140"/>
        <v>0</v>
      </c>
      <c r="AP346" s="5">
        <f t="shared" si="140"/>
        <v>0</v>
      </c>
      <c r="AQ346" s="5">
        <f t="shared" si="140"/>
        <v>0</v>
      </c>
      <c r="AR346" s="5">
        <f t="shared" si="140"/>
        <v>0</v>
      </c>
      <c r="AS346" s="5">
        <f t="shared" si="140"/>
        <v>6</v>
      </c>
      <c r="AT346" s="5">
        <f t="shared" si="140"/>
        <v>0</v>
      </c>
      <c r="AU346" s="5">
        <f t="shared" si="140"/>
        <v>0</v>
      </c>
      <c r="AV346" s="5">
        <f t="shared" si="140"/>
        <v>0</v>
      </c>
      <c r="AW346" s="5">
        <f t="shared" si="140"/>
        <v>0</v>
      </c>
      <c r="AX346" s="5">
        <f t="shared" si="140"/>
        <v>0</v>
      </c>
      <c r="AY346" s="5">
        <f t="shared" si="140"/>
        <v>7</v>
      </c>
      <c r="AZ346" s="5">
        <f t="shared" si="140"/>
        <v>0</v>
      </c>
      <c r="BA346" s="5">
        <f t="shared" si="140"/>
        <v>0</v>
      </c>
      <c r="BB346" s="5">
        <f t="shared" si="140"/>
        <v>0</v>
      </c>
      <c r="BC346" s="5">
        <f t="shared" si="140"/>
        <v>0</v>
      </c>
      <c r="BD346" s="5">
        <f t="shared" si="140"/>
        <v>0</v>
      </c>
      <c r="BE346" s="5">
        <f t="shared" si="140"/>
        <v>8</v>
      </c>
      <c r="BF346" s="5">
        <f t="shared" si="140"/>
        <v>0</v>
      </c>
      <c r="BG346" s="5">
        <f t="shared" si="140"/>
        <v>0</v>
      </c>
      <c r="BH346" s="5">
        <f t="shared" si="140"/>
        <v>0</v>
      </c>
      <c r="BI346" s="5">
        <f t="shared" si="140"/>
        <v>0</v>
      </c>
      <c r="BJ346" s="5">
        <f t="shared" si="140"/>
        <v>0</v>
      </c>
      <c r="BK346" s="5">
        <f t="shared" si="140"/>
        <v>9</v>
      </c>
      <c r="BL346" s="5">
        <f t="shared" si="140"/>
        <v>0</v>
      </c>
      <c r="BM346" s="5">
        <f t="shared" si="140"/>
        <v>0</v>
      </c>
      <c r="BN346" s="5">
        <f t="shared" si="140"/>
        <v>0</v>
      </c>
      <c r="BO346" s="5">
        <f t="shared" si="140"/>
        <v>0</v>
      </c>
      <c r="BP346" s="5">
        <f t="shared" si="140"/>
        <v>0</v>
      </c>
      <c r="BQ346" s="5">
        <f t="shared" si="140"/>
        <v>10</v>
      </c>
    </row>
    <row r="347" spans="1:69" outlineLevel="1"/>
    <row r="348" spans="1:69" outlineLevel="1"/>
    <row r="349" spans="1:69" outlineLevel="1">
      <c r="B349" s="27" t="s">
        <v>256</v>
      </c>
    </row>
    <row r="350" spans="1:69" outlineLevel="2">
      <c r="A350" s="18"/>
      <c r="B350" s="18"/>
      <c r="C350" s="30"/>
      <c r="D350" s="31"/>
      <c r="E350" s="19" t="str">
        <f xml:space="preserve">  InpC!E$100</f>
        <v>Start date</v>
      </c>
      <c r="F350" s="19">
        <f xml:space="preserve">  InpC!F$100</f>
        <v>45047</v>
      </c>
      <c r="G350" s="19" t="str">
        <f xml:space="preserve">  InpC!G$100</f>
        <v>date</v>
      </c>
      <c r="M350" s="8"/>
    </row>
    <row r="351" spans="1:69" outlineLevel="2">
      <c r="E351" s="46" t="s">
        <v>256</v>
      </c>
      <c r="F351" s="2">
        <f xml:space="preserve">  $F350 - 1</f>
        <v>45046</v>
      </c>
      <c r="G351" s="46" t="s">
        <v>210</v>
      </c>
      <c r="M351" s="2"/>
    </row>
    <row r="352" spans="1:69" outlineLevel="1"/>
    <row r="355" spans="2:2">
      <c r="B355" s="27" t="s">
        <v>265</v>
      </c>
    </row>
  </sheetData>
  <conditionalFormatting sqref="F2:F3">
    <cfRule type="cellIs" dxfId="266" priority="1" stopIfTrue="1" operator="notEqual">
      <formula>0</formula>
    </cfRule>
    <cfRule type="cellIs" dxfId="265" priority="2" stopIfTrue="1" operator="equal">
      <formula>""</formula>
    </cfRule>
  </conditionalFormatting>
  <conditionalFormatting sqref="J3:BQ3">
    <cfRule type="cellIs" dxfId="264" priority="8" operator="equal">
      <formula>"PPA ext."</formula>
    </cfRule>
    <cfRule type="cellIs" dxfId="263" priority="9" operator="equal">
      <formula>"Delay"</formula>
    </cfRule>
    <cfRule type="cellIs" dxfId="262" priority="10" operator="equal">
      <formula>"Fin Close"</formula>
    </cfRule>
    <cfRule type="cellIs" dxfId="261" priority="11" stopIfTrue="1" operator="equal">
      <formula>"Construction"</formula>
    </cfRule>
    <cfRule type="cellIs" dxfId="26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Q9"/>
  <sheetViews>
    <sheetView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7" customWidth="1"/>
    <col min="3" max="3" width="1.453125" style="61" customWidth="1"/>
    <col min="4" max="4" width="1.453125" style="88" customWidth="1"/>
    <col min="5" max="5" width="23.3632812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Unallocated</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9" spans="1:69">
      <c r="B9" s="27" t="s">
        <v>265</v>
      </c>
    </row>
  </sheetData>
  <conditionalFormatting sqref="F2:F3">
    <cfRule type="cellIs" dxfId="259" priority="1" stopIfTrue="1" operator="notEqual">
      <formula>0</formula>
    </cfRule>
    <cfRule type="cellIs" dxfId="258" priority="2" stopIfTrue="1" operator="equal">
      <formula>""</formula>
    </cfRule>
  </conditionalFormatting>
  <conditionalFormatting sqref="J3:BQ3">
    <cfRule type="cellIs" dxfId="257" priority="8" operator="equal">
      <formula>"PPA ext."</formula>
    </cfRule>
    <cfRule type="cellIs" dxfId="256" priority="9" operator="equal">
      <formula>"Delay"</formula>
    </cfRule>
    <cfRule type="cellIs" dxfId="255" priority="10" operator="equal">
      <formula>"Fin Close"</formula>
    </cfRule>
    <cfRule type="cellIs" dxfId="254" priority="11" stopIfTrue="1" operator="equal">
      <formula>"Construction"</formula>
    </cfRule>
    <cfRule type="cellIs" dxfId="25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Q1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23.3632812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8164062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69" width="13.179687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Metrics</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59</v>
      </c>
    </row>
    <row r="9" spans="1:69" outlineLevel="1">
      <c r="A9" s="18"/>
      <c r="B9" s="18"/>
      <c r="C9" s="30"/>
      <c r="D9" s="31"/>
      <c r="E9" s="4" t="str">
        <f xml:space="preserve">  Financials!E$13</f>
        <v>Cash</v>
      </c>
      <c r="F9" s="4">
        <f xml:space="preserve">  Financials!F$13</f>
        <v>0</v>
      </c>
      <c r="G9" s="4" t="str">
        <f xml:space="preserve">  Financials!G$13</f>
        <v>GBP</v>
      </c>
      <c r="H9" s="4">
        <f xml:space="preserve">  Financials!H$13</f>
        <v>0</v>
      </c>
      <c r="I9" s="4">
        <f xml:space="preserve">  Financials!I$13</f>
        <v>0</v>
      </c>
      <c r="J9" s="4">
        <f ca="1" xml:space="preserve">  Financials!J$13</f>
        <v>65080</v>
      </c>
      <c r="K9" s="4">
        <f ca="1" xml:space="preserve">  Financials!K$13</f>
        <v>-1278.5814267161477</v>
      </c>
      <c r="L9" s="4">
        <f ca="1" xml:space="preserve">  Financials!L$13</f>
        <v>-22293.538857459123</v>
      </c>
      <c r="M9" s="4">
        <f ca="1" xml:space="preserve">  Financials!M$13</f>
        <v>-90197.196723540823</v>
      </c>
      <c r="N9" s="4">
        <f ca="1" xml:space="preserve">  Financials!N$13</f>
        <v>-158349.10984163778</v>
      </c>
      <c r="O9" s="4">
        <f ca="1" xml:space="preserve">  Financials!O$13</f>
        <v>-210483.1648393847</v>
      </c>
      <c r="P9" s="4">
        <f ca="1" xml:space="preserve">  Financials!P$13</f>
        <v>-304989.09830507642</v>
      </c>
      <c r="Q9" s="4">
        <f ca="1" xml:space="preserve">  Financials!Q$13</f>
        <v>-383826.99653525883</v>
      </c>
      <c r="R9" s="4">
        <f ca="1" xml:space="preserve">  Financials!R$13</f>
        <v>-531500.75634385983</v>
      </c>
      <c r="S9" s="4">
        <f ca="1" xml:space="preserve">  Financials!S$13</f>
        <v>113282.85980705544</v>
      </c>
      <c r="T9" s="4">
        <f ca="1" xml:space="preserve">  Financials!T$13</f>
        <v>162480.90729248483</v>
      </c>
      <c r="U9" s="4">
        <f ca="1" xml:space="preserve">  Financials!U$13</f>
        <v>85687.307120060359</v>
      </c>
      <c r="V9" s="4">
        <f ca="1" xml:space="preserve">  Financials!V$13</f>
        <v>-21235.963378236353</v>
      </c>
      <c r="W9" s="4">
        <f ca="1" xml:space="preserve">  Financials!W$13</f>
        <v>-112587.09431037454</v>
      </c>
      <c r="X9" s="4">
        <f ca="1" xml:space="preserve">  Financials!X$13</f>
        <v>-277417.68244850443</v>
      </c>
      <c r="Y9" s="4">
        <f ca="1" xml:space="preserve">  Financials!Y$13</f>
        <v>393862.8647888485</v>
      </c>
      <c r="Z9" s="4">
        <f ca="1" xml:space="preserve">  Financials!Z$13</f>
        <v>522500.47260836291</v>
      </c>
      <c r="AA9" s="4">
        <f ca="1" xml:space="preserve">  Financials!AA$13</f>
        <v>458771.91933099797</v>
      </c>
      <c r="AB9" s="4">
        <f ca="1" xml:space="preserve">  Financials!AB$13</f>
        <v>207820.75438051188</v>
      </c>
      <c r="AC9" s="4">
        <f ca="1" xml:space="preserve">  Financials!AC$13</f>
        <v>103568.05213959339</v>
      </c>
      <c r="AD9" s="4">
        <f ca="1" xml:space="preserve">  Financials!AD$13</f>
        <v>-121932.7064087187</v>
      </c>
      <c r="AE9" s="4">
        <f ca="1" xml:space="preserve">  Financials!AE$13</f>
        <v>1352029.9829183647</v>
      </c>
      <c r="AF9" s="4">
        <f ca="1" xml:space="preserve">  Financials!AF$13</f>
        <v>1219351.9533178117</v>
      </c>
      <c r="AG9" s="4">
        <f ca="1" xml:space="preserve">  Financials!AG$13</f>
        <v>1270059.1436541709</v>
      </c>
      <c r="AH9" s="4">
        <f ca="1" xml:space="preserve">  Financials!AH$13</f>
        <v>1136571.9236112288</v>
      </c>
      <c r="AI9" s="4">
        <f ca="1" xml:space="preserve">  Financials!AI$13</f>
        <v>1988680.368939661</v>
      </c>
      <c r="AJ9" s="4">
        <f ca="1" xml:space="preserve">  Financials!AJ$13</f>
        <v>1493816.009861479</v>
      </c>
      <c r="AK9" s="4">
        <f ca="1" xml:space="preserve">  Financials!AK$13</f>
        <v>2089026.9445731256</v>
      </c>
      <c r="AL9" s="4">
        <f ca="1" xml:space="preserve">  Financials!AL$13</f>
        <v>2346943.6905272803</v>
      </c>
      <c r="AM9" s="4">
        <f ca="1" xml:space="preserve">  Financials!AM$13</f>
        <v>2907144.5956911985</v>
      </c>
      <c r="AN9" s="4">
        <f ca="1" xml:space="preserve">  Financials!AN$13</f>
        <v>2952867.4310991955</v>
      </c>
      <c r="AO9" s="4">
        <f ca="1" xml:space="preserve">  Financials!AO$13</f>
        <v>2985100.5749406866</v>
      </c>
      <c r="AP9" s="4">
        <f ca="1" xml:space="preserve">  Financials!AP$13</f>
        <v>3571594.9770108908</v>
      </c>
      <c r="AQ9" s="4">
        <f ca="1" xml:space="preserve">  Financials!AQ$13</f>
        <v>4627996.2976419367</v>
      </c>
      <c r="AR9" s="4">
        <f ca="1" xml:space="preserve">  Financials!AR$13</f>
        <v>5419107.4814385166</v>
      </c>
      <c r="AS9" s="4">
        <f ca="1" xml:space="preserve">  Financials!AS$13</f>
        <v>5417962.1105279103</v>
      </c>
      <c r="AT9" s="4">
        <f ca="1" xml:space="preserve">  Financials!AT$13</f>
        <v>5632761.3181295507</v>
      </c>
      <c r="AU9" s="4">
        <f ca="1" xml:space="preserve">  Financials!AU$13</f>
        <v>7311254.2574025085</v>
      </c>
      <c r="AV9" s="4">
        <f ca="1" xml:space="preserve">  Financials!AV$13</f>
        <v>7176541.8878858238</v>
      </c>
      <c r="AW9" s="4">
        <f ca="1" xml:space="preserve">  Financials!AW$13</f>
        <v>6615483.5906824237</v>
      </c>
      <c r="AX9" s="4">
        <f ca="1" xml:space="preserve">  Financials!AX$13</f>
        <v>7792808.9858711632</v>
      </c>
      <c r="AY9" s="4">
        <f ca="1" xml:space="preserve">  Financials!AY$13</f>
        <v>8364893.5536060641</v>
      </c>
      <c r="AZ9" s="4">
        <f ca="1" xml:space="preserve">  Financials!AZ$13</f>
        <v>9568903.7634976264</v>
      </c>
      <c r="BA9" s="4">
        <f ca="1" xml:space="preserve">  Financials!BA$13</f>
        <v>10081503.126618337</v>
      </c>
      <c r="BB9" s="4">
        <f ca="1" xml:space="preserve">  Financials!BB$13</f>
        <v>11575627.624527765</v>
      </c>
      <c r="BC9" s="4">
        <f ca="1" xml:space="preserve">  Financials!BC$13</f>
        <v>12859222.467884783</v>
      </c>
      <c r="BD9" s="4">
        <f ca="1" xml:space="preserve">  Financials!BD$13</f>
        <v>14321000.017769378</v>
      </c>
      <c r="BE9" s="4">
        <f ca="1" xml:space="preserve">  Financials!BE$13</f>
        <v>14984790.399722619</v>
      </c>
      <c r="BF9" s="4">
        <f ca="1" xml:space="preserve">  Financials!BF$13</f>
        <v>16369550.379369862</v>
      </c>
      <c r="BG9" s="4">
        <f ca="1" xml:space="preserve">  Financials!BG$13</f>
        <v>17788642.260716364</v>
      </c>
      <c r="BH9" s="4">
        <f ca="1" xml:space="preserve">  Financials!BH$13</f>
        <v>18468975.262084499</v>
      </c>
      <c r="BI9" s="4">
        <f ca="1" xml:space="preserve">  Financials!BI$13</f>
        <v>18208606.425801814</v>
      </c>
      <c r="BJ9" s="4">
        <f ca="1" xml:space="preserve">  Financials!BJ$13</f>
        <v>20788446.028001931</v>
      </c>
      <c r="BK9" s="4">
        <f ca="1" xml:space="preserve">  Financials!BK$13</f>
        <v>21348061.694594067</v>
      </c>
      <c r="BL9" s="4">
        <f ca="1" xml:space="preserve">  Financials!BL$13</f>
        <v>24050398.192393359</v>
      </c>
      <c r="BM9" s="4">
        <f ca="1" xml:space="preserve">  Financials!BM$13</f>
        <v>25958666.134170778</v>
      </c>
      <c r="BN9" s="4">
        <f ca="1" xml:space="preserve">  Financials!BN$13</f>
        <v>27468981.104767993</v>
      </c>
      <c r="BO9" s="4">
        <f ca="1" xml:space="preserve">  Financials!BO$13</f>
        <v>30389349.899374958</v>
      </c>
      <c r="BP9" s="4">
        <f ca="1" xml:space="preserve">  Financials!BP$13</f>
        <v>32527227.920244526</v>
      </c>
      <c r="BQ9" s="4">
        <f ca="1" xml:space="preserve">  Financials!BQ$13</f>
        <v>34145444.452532314</v>
      </c>
    </row>
    <row r="10" spans="1:69" outlineLevel="1">
      <c r="A10" s="36"/>
      <c r="B10" s="36"/>
      <c r="C10" s="65"/>
      <c r="D10" s="64"/>
      <c r="E10" s="21" t="s">
        <v>59</v>
      </c>
      <c r="F10" s="3">
        <f ca="1" xml:space="preserve">  MIN( $J9:$BQ9 )</f>
        <v>-531500.75634385983</v>
      </c>
      <c r="G10" s="21" t="s">
        <v>252</v>
      </c>
      <c r="M10" s="2"/>
    </row>
    <row r="13" spans="1:69">
      <c r="B13" s="27" t="s">
        <v>265</v>
      </c>
    </row>
  </sheetData>
  <conditionalFormatting sqref="F2:F3">
    <cfRule type="cellIs" dxfId="252" priority="1" stopIfTrue="1" operator="notEqual">
      <formula>0</formula>
    </cfRule>
    <cfRule type="cellIs" dxfId="251" priority="2" stopIfTrue="1" operator="equal">
      <formula>""</formula>
    </cfRule>
  </conditionalFormatting>
  <conditionalFormatting sqref="J3:BQ3">
    <cfRule type="cellIs" dxfId="250" priority="8" operator="equal">
      <formula>"PPA ext."</formula>
    </cfRule>
    <cfRule type="cellIs" dxfId="249" priority="9" operator="equal">
      <formula>"Delay"</formula>
    </cfRule>
    <cfRule type="cellIs" dxfId="248" priority="10" operator="equal">
      <formula>"Fin Close"</formula>
    </cfRule>
    <cfRule type="cellIs" dxfId="247" priority="11" stopIfTrue="1" operator="equal">
      <formula>"Construction"</formula>
    </cfRule>
    <cfRule type="cellIs" dxfId="24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Q4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31.632812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8164062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8164062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69" width="13.179687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Financials</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313</v>
      </c>
    </row>
    <row r="9" spans="1:69" s="85" customFormat="1">
      <c r="A9" s="59"/>
      <c r="B9" s="59"/>
      <c r="C9" s="86"/>
      <c r="D9" s="84"/>
      <c r="E9" s="40" t="str">
        <f xml:space="preserve">  InpC!E$47</f>
        <v>Opening Cash</v>
      </c>
      <c r="F9" s="40">
        <f xml:space="preserve">  InpC!F$47</f>
        <v>0</v>
      </c>
      <c r="G9" s="40" t="str">
        <f xml:space="preserve">  InpC!G$47</f>
        <v>GBP</v>
      </c>
      <c r="M9" s="87"/>
    </row>
    <row r="10" spans="1:69">
      <c r="A10" s="18"/>
      <c r="B10" s="18"/>
      <c r="C10" s="30"/>
      <c r="D10" s="31"/>
      <c r="E10" s="10" t="str">
        <f xml:space="preserve">  Time!E$28</f>
        <v>Period number</v>
      </c>
      <c r="F10" s="10">
        <f xml:space="preserve">  Time!F$28</f>
        <v>0</v>
      </c>
      <c r="G10" s="10" t="str">
        <f xml:space="preserve">  Time!G$28</f>
        <v>Counter</v>
      </c>
      <c r="H10" s="10">
        <f xml:space="preserve">  Time!H$28</f>
        <v>0</v>
      </c>
      <c r="I10" s="10">
        <f xml:space="preserve">  Time!I$28</f>
        <v>0</v>
      </c>
      <c r="J10" s="10">
        <f xml:space="preserve">  Time!J$28</f>
        <v>1</v>
      </c>
      <c r="K10" s="10">
        <f xml:space="preserve">  Time!K$28</f>
        <v>2</v>
      </c>
      <c r="L10" s="10">
        <f xml:space="preserve">  Time!L$28</f>
        <v>3</v>
      </c>
      <c r="M10" s="10">
        <f xml:space="preserve">  Time!M$28</f>
        <v>4</v>
      </c>
      <c r="N10" s="10">
        <f xml:space="preserve">  Time!N$28</f>
        <v>5</v>
      </c>
      <c r="O10" s="10">
        <f xml:space="preserve">  Time!O$28</f>
        <v>6</v>
      </c>
      <c r="P10" s="10">
        <f xml:space="preserve">  Time!P$28</f>
        <v>7</v>
      </c>
      <c r="Q10" s="10">
        <f xml:space="preserve">  Time!Q$28</f>
        <v>8</v>
      </c>
      <c r="R10" s="10">
        <f xml:space="preserve">  Time!R$28</f>
        <v>9</v>
      </c>
      <c r="S10" s="10">
        <f xml:space="preserve">  Time!S$28</f>
        <v>10</v>
      </c>
      <c r="T10" s="10">
        <f xml:space="preserve">  Time!T$28</f>
        <v>11</v>
      </c>
      <c r="U10" s="10">
        <f xml:space="preserve">  Time!U$28</f>
        <v>12</v>
      </c>
      <c r="V10" s="10">
        <f xml:space="preserve">  Time!V$28</f>
        <v>13</v>
      </c>
      <c r="W10" s="10">
        <f xml:space="preserve">  Time!W$28</f>
        <v>14</v>
      </c>
      <c r="X10" s="10">
        <f xml:space="preserve">  Time!X$28</f>
        <v>15</v>
      </c>
      <c r="Y10" s="10">
        <f xml:space="preserve">  Time!Y$28</f>
        <v>16</v>
      </c>
      <c r="Z10" s="10">
        <f xml:space="preserve">  Time!Z$28</f>
        <v>17</v>
      </c>
      <c r="AA10" s="10">
        <f xml:space="preserve">  Time!AA$28</f>
        <v>18</v>
      </c>
      <c r="AB10" s="10">
        <f xml:space="preserve">  Time!AB$28</f>
        <v>19</v>
      </c>
      <c r="AC10" s="10">
        <f xml:space="preserve">  Time!AC$28</f>
        <v>20</v>
      </c>
      <c r="AD10" s="10">
        <f xml:space="preserve">  Time!AD$28</f>
        <v>21</v>
      </c>
      <c r="AE10" s="10">
        <f xml:space="preserve">  Time!AE$28</f>
        <v>22</v>
      </c>
      <c r="AF10" s="10">
        <f xml:space="preserve">  Time!AF$28</f>
        <v>23</v>
      </c>
      <c r="AG10" s="10">
        <f xml:space="preserve">  Time!AG$28</f>
        <v>24</v>
      </c>
      <c r="AH10" s="10">
        <f xml:space="preserve">  Time!AH$28</f>
        <v>25</v>
      </c>
      <c r="AI10" s="10">
        <f xml:space="preserve">  Time!AI$28</f>
        <v>26</v>
      </c>
      <c r="AJ10" s="10">
        <f xml:space="preserve">  Time!AJ$28</f>
        <v>27</v>
      </c>
      <c r="AK10" s="10">
        <f xml:space="preserve">  Time!AK$28</f>
        <v>28</v>
      </c>
      <c r="AL10" s="10">
        <f xml:space="preserve">  Time!AL$28</f>
        <v>29</v>
      </c>
      <c r="AM10" s="10">
        <f xml:space="preserve">  Time!AM$28</f>
        <v>30</v>
      </c>
      <c r="AN10" s="10">
        <f xml:space="preserve">  Time!AN$28</f>
        <v>31</v>
      </c>
      <c r="AO10" s="10">
        <f xml:space="preserve">  Time!AO$28</f>
        <v>32</v>
      </c>
      <c r="AP10" s="10">
        <f xml:space="preserve">  Time!AP$28</f>
        <v>33</v>
      </c>
      <c r="AQ10" s="10">
        <f xml:space="preserve">  Time!AQ$28</f>
        <v>34</v>
      </c>
      <c r="AR10" s="10">
        <f xml:space="preserve">  Time!AR$28</f>
        <v>35</v>
      </c>
      <c r="AS10" s="10">
        <f xml:space="preserve">  Time!AS$28</f>
        <v>36</v>
      </c>
      <c r="AT10" s="10">
        <f xml:space="preserve">  Time!AT$28</f>
        <v>37</v>
      </c>
      <c r="AU10" s="10">
        <f xml:space="preserve">  Time!AU$28</f>
        <v>38</v>
      </c>
      <c r="AV10" s="10">
        <f xml:space="preserve">  Time!AV$28</f>
        <v>39</v>
      </c>
      <c r="AW10" s="10">
        <f xml:space="preserve">  Time!AW$28</f>
        <v>40</v>
      </c>
      <c r="AX10" s="10">
        <f xml:space="preserve">  Time!AX$28</f>
        <v>41</v>
      </c>
      <c r="AY10" s="10">
        <f xml:space="preserve">  Time!AY$28</f>
        <v>42</v>
      </c>
      <c r="AZ10" s="10">
        <f xml:space="preserve">  Time!AZ$28</f>
        <v>43</v>
      </c>
      <c r="BA10" s="10">
        <f xml:space="preserve">  Time!BA$28</f>
        <v>44</v>
      </c>
      <c r="BB10" s="10">
        <f xml:space="preserve">  Time!BB$28</f>
        <v>45</v>
      </c>
      <c r="BC10" s="10">
        <f xml:space="preserve">  Time!BC$28</f>
        <v>46</v>
      </c>
      <c r="BD10" s="10">
        <f xml:space="preserve">  Time!BD$28</f>
        <v>47</v>
      </c>
      <c r="BE10" s="10">
        <f xml:space="preserve">  Time!BE$28</f>
        <v>48</v>
      </c>
      <c r="BF10" s="10">
        <f xml:space="preserve">  Time!BF$28</f>
        <v>49</v>
      </c>
      <c r="BG10" s="10">
        <f xml:space="preserve">  Time!BG$28</f>
        <v>50</v>
      </c>
      <c r="BH10" s="10">
        <f xml:space="preserve">  Time!BH$28</f>
        <v>51</v>
      </c>
      <c r="BI10" s="10">
        <f xml:space="preserve">  Time!BI$28</f>
        <v>52</v>
      </c>
      <c r="BJ10" s="10">
        <f xml:space="preserve">  Time!BJ$28</f>
        <v>53</v>
      </c>
      <c r="BK10" s="10">
        <f xml:space="preserve">  Time!BK$28</f>
        <v>54</v>
      </c>
      <c r="BL10" s="10">
        <f xml:space="preserve">  Time!BL$28</f>
        <v>55</v>
      </c>
      <c r="BM10" s="10">
        <f xml:space="preserve">  Time!BM$28</f>
        <v>56</v>
      </c>
      <c r="BN10" s="10">
        <f xml:space="preserve">  Time!BN$28</f>
        <v>57</v>
      </c>
      <c r="BO10" s="10">
        <f xml:space="preserve">  Time!BO$28</f>
        <v>58</v>
      </c>
      <c r="BP10" s="10">
        <f xml:space="preserve">  Time!BP$28</f>
        <v>59</v>
      </c>
      <c r="BQ10" s="10">
        <f xml:space="preserve">  Time!BQ$28</f>
        <v>60</v>
      </c>
    </row>
    <row r="11" spans="1:69">
      <c r="E11" s="46" t="s">
        <v>300</v>
      </c>
      <c r="G11" s="46" t="s">
        <v>252</v>
      </c>
      <c r="J11" s="2">
        <f t="shared" ref="J11:BQ11" si="0" xml:space="preserve">  I13</f>
        <v>0</v>
      </c>
      <c r="K11" s="2">
        <f t="shared" ca="1" si="0"/>
        <v>65080</v>
      </c>
      <c r="L11" s="2">
        <f t="shared" ca="1" si="0"/>
        <v>-1278.5814267161477</v>
      </c>
      <c r="M11" s="2">
        <f t="shared" ca="1" si="0"/>
        <v>-22293.538857459123</v>
      </c>
      <c r="N11" s="2">
        <f t="shared" ca="1" si="0"/>
        <v>-90197.196723540823</v>
      </c>
      <c r="O11" s="2">
        <f t="shared" ca="1" si="0"/>
        <v>-158349.10984163778</v>
      </c>
      <c r="P11" s="2">
        <f t="shared" ca="1" si="0"/>
        <v>-210483.1648393847</v>
      </c>
      <c r="Q11" s="2">
        <f t="shared" ca="1" si="0"/>
        <v>-304989.09830507642</v>
      </c>
      <c r="R11" s="2">
        <f t="shared" ca="1" si="0"/>
        <v>-383826.99653525883</v>
      </c>
      <c r="S11" s="2">
        <f t="shared" ca="1" si="0"/>
        <v>-531500.75634385983</v>
      </c>
      <c r="T11" s="2">
        <f t="shared" ca="1" si="0"/>
        <v>113282.85980705544</v>
      </c>
      <c r="U11" s="2">
        <f t="shared" ca="1" si="0"/>
        <v>162480.90729248483</v>
      </c>
      <c r="V11" s="2">
        <f t="shared" ca="1" si="0"/>
        <v>85687.307120060359</v>
      </c>
      <c r="W11" s="2">
        <f t="shared" ca="1" si="0"/>
        <v>-21235.963378236353</v>
      </c>
      <c r="X11" s="2">
        <f t="shared" ca="1" si="0"/>
        <v>-112587.09431037454</v>
      </c>
      <c r="Y11" s="2">
        <f t="shared" ca="1" si="0"/>
        <v>-277417.68244850443</v>
      </c>
      <c r="Z11" s="2">
        <f t="shared" ca="1" si="0"/>
        <v>393862.8647888485</v>
      </c>
      <c r="AA11" s="2">
        <f t="shared" ca="1" si="0"/>
        <v>522500.47260836291</v>
      </c>
      <c r="AB11" s="2">
        <f t="shared" ca="1" si="0"/>
        <v>458771.91933099797</v>
      </c>
      <c r="AC11" s="2">
        <f t="shared" ca="1" si="0"/>
        <v>207820.75438051188</v>
      </c>
      <c r="AD11" s="2">
        <f t="shared" ca="1" si="0"/>
        <v>103568.05213959339</v>
      </c>
      <c r="AE11" s="2">
        <f t="shared" ca="1" si="0"/>
        <v>-121932.7064087187</v>
      </c>
      <c r="AF11" s="2">
        <f t="shared" ca="1" si="0"/>
        <v>1352029.9829183647</v>
      </c>
      <c r="AG11" s="2">
        <f t="shared" ca="1" si="0"/>
        <v>1219351.9533178117</v>
      </c>
      <c r="AH11" s="2">
        <f t="shared" ca="1" si="0"/>
        <v>1270059.1436541709</v>
      </c>
      <c r="AI11" s="2">
        <f t="shared" ca="1" si="0"/>
        <v>1136571.9236112288</v>
      </c>
      <c r="AJ11" s="2">
        <f t="shared" ca="1" si="0"/>
        <v>1988680.368939661</v>
      </c>
      <c r="AK11" s="2">
        <f t="shared" ca="1" si="0"/>
        <v>1493816.009861479</v>
      </c>
      <c r="AL11" s="2">
        <f t="shared" ca="1" si="0"/>
        <v>2089026.9445731256</v>
      </c>
      <c r="AM11" s="2">
        <f t="shared" ca="1" si="0"/>
        <v>2346943.6905272803</v>
      </c>
      <c r="AN11" s="2">
        <f t="shared" ca="1" si="0"/>
        <v>2907144.5956911985</v>
      </c>
      <c r="AO11" s="2">
        <f t="shared" ca="1" si="0"/>
        <v>2952867.4310991955</v>
      </c>
      <c r="AP11" s="2">
        <f t="shared" ca="1" si="0"/>
        <v>2985100.5749406866</v>
      </c>
      <c r="AQ11" s="2">
        <f t="shared" ca="1" si="0"/>
        <v>3571594.9770108908</v>
      </c>
      <c r="AR11" s="2">
        <f t="shared" ca="1" si="0"/>
        <v>4627996.2976419367</v>
      </c>
      <c r="AS11" s="2">
        <f t="shared" ca="1" si="0"/>
        <v>5419107.4814385166</v>
      </c>
      <c r="AT11" s="2">
        <f t="shared" ca="1" si="0"/>
        <v>5417962.1105279103</v>
      </c>
      <c r="AU11" s="2">
        <f t="shared" ca="1" si="0"/>
        <v>5632761.3181295507</v>
      </c>
      <c r="AV11" s="2">
        <f t="shared" ca="1" si="0"/>
        <v>7311254.2574025085</v>
      </c>
      <c r="AW11" s="2">
        <f t="shared" ca="1" si="0"/>
        <v>7176541.8878858238</v>
      </c>
      <c r="AX11" s="2">
        <f t="shared" ca="1" si="0"/>
        <v>6615483.5906824237</v>
      </c>
      <c r="AY11" s="2">
        <f t="shared" ca="1" si="0"/>
        <v>7792808.9858711632</v>
      </c>
      <c r="AZ11" s="2">
        <f t="shared" ca="1" si="0"/>
        <v>8364893.5536060641</v>
      </c>
      <c r="BA11" s="2">
        <f t="shared" ca="1" si="0"/>
        <v>9568903.7634976264</v>
      </c>
      <c r="BB11" s="2">
        <f t="shared" ca="1" si="0"/>
        <v>10081503.126618337</v>
      </c>
      <c r="BC11" s="2">
        <f t="shared" ca="1" si="0"/>
        <v>11575627.624527765</v>
      </c>
      <c r="BD11" s="2">
        <f t="shared" ca="1" si="0"/>
        <v>12859222.467884783</v>
      </c>
      <c r="BE11" s="2">
        <f t="shared" ca="1" si="0"/>
        <v>14321000.017769378</v>
      </c>
      <c r="BF11" s="2">
        <f t="shared" ca="1" si="0"/>
        <v>14984790.399722619</v>
      </c>
      <c r="BG11" s="2">
        <f t="shared" ca="1" si="0"/>
        <v>16369550.379369862</v>
      </c>
      <c r="BH11" s="2">
        <f t="shared" ca="1" si="0"/>
        <v>17788642.260716364</v>
      </c>
      <c r="BI11" s="2">
        <f t="shared" ca="1" si="0"/>
        <v>18468975.262084499</v>
      </c>
      <c r="BJ11" s="2">
        <f t="shared" ca="1" si="0"/>
        <v>18208606.425801814</v>
      </c>
      <c r="BK11" s="2">
        <f t="shared" ca="1" si="0"/>
        <v>20788446.028001931</v>
      </c>
      <c r="BL11" s="2">
        <f t="shared" ca="1" si="0"/>
        <v>21348061.694594067</v>
      </c>
      <c r="BM11" s="2">
        <f t="shared" ca="1" si="0"/>
        <v>24050398.192393359</v>
      </c>
      <c r="BN11" s="2">
        <f t="shared" ca="1" si="0"/>
        <v>25958666.134170778</v>
      </c>
      <c r="BO11" s="2">
        <f t="shared" ca="1" si="0"/>
        <v>27468981.104767993</v>
      </c>
      <c r="BP11" s="2">
        <f t="shared" ca="1" si="0"/>
        <v>30389349.899374958</v>
      </c>
      <c r="BQ11" s="2">
        <f t="shared" ca="1" si="0"/>
        <v>32527227.920244526</v>
      </c>
    </row>
    <row r="12" spans="1:69">
      <c r="A12" s="18"/>
      <c r="B12" s="18"/>
      <c r="C12" s="30"/>
      <c r="D12" s="31" t="s">
        <v>216</v>
      </c>
      <c r="E12" s="4" t="str">
        <f xml:space="preserve">  Cashflow!E$29</f>
        <v>Net Cashflow</v>
      </c>
      <c r="F12" s="4">
        <f xml:space="preserve">  Cashflow!F$29</f>
        <v>0</v>
      </c>
      <c r="G12" s="4" t="str">
        <f xml:space="preserve">  Cashflow!G$29</f>
        <v>GBP</v>
      </c>
      <c r="H12" s="4">
        <f ca="1" xml:space="preserve">  Cashflow!H$29</f>
        <v>34145444.452532314</v>
      </c>
      <c r="I12" s="4">
        <f xml:space="preserve">  Cashflow!I$29</f>
        <v>0</v>
      </c>
      <c r="J12" s="4">
        <f ca="1" xml:space="preserve">  Cashflow!J$29</f>
        <v>65080</v>
      </c>
      <c r="K12" s="4">
        <f ca="1" xml:space="preserve">  Cashflow!K$29</f>
        <v>-66358.581426716148</v>
      </c>
      <c r="L12" s="4">
        <f ca="1" xml:space="preserve">  Cashflow!L$29</f>
        <v>-21014.957430742976</v>
      </c>
      <c r="M12" s="4">
        <f ca="1" xml:space="preserve">  Cashflow!M$29</f>
        <v>-67903.657866081703</v>
      </c>
      <c r="N12" s="4">
        <f ca="1" xml:space="preserve">  Cashflow!N$29</f>
        <v>-68151.913118096956</v>
      </c>
      <c r="O12" s="4">
        <f ca="1" xml:space="preserve">  Cashflow!O$29</f>
        <v>-52134.054997746913</v>
      </c>
      <c r="P12" s="4">
        <f ca="1" xml:space="preserve">  Cashflow!P$29</f>
        <v>-94505.93346569172</v>
      </c>
      <c r="Q12" s="4">
        <f ca="1" xml:space="preserve">  Cashflow!Q$29</f>
        <v>-78837.898230182444</v>
      </c>
      <c r="R12" s="4">
        <f ca="1" xml:space="preserve">  Cashflow!R$29</f>
        <v>-147673.75980860103</v>
      </c>
      <c r="S12" s="4">
        <f ca="1" xml:space="preserve">  Cashflow!S$29</f>
        <v>644783.61615091527</v>
      </c>
      <c r="T12" s="4">
        <f ca="1" xml:space="preserve">  Cashflow!T$29</f>
        <v>49198.047485429386</v>
      </c>
      <c r="U12" s="4">
        <f ca="1" xml:space="preserve">  Cashflow!U$29</f>
        <v>-76793.600172424471</v>
      </c>
      <c r="V12" s="4">
        <f ca="1" xml:space="preserve">  Cashflow!V$29</f>
        <v>-106923.27049829671</v>
      </c>
      <c r="W12" s="4">
        <f ca="1" xml:space="preserve">  Cashflow!W$29</f>
        <v>-91351.130932138185</v>
      </c>
      <c r="X12" s="4">
        <f ca="1" xml:space="preserve">  Cashflow!X$29</f>
        <v>-164830.58813812991</v>
      </c>
      <c r="Y12" s="4">
        <f ca="1" xml:space="preserve">  Cashflow!Y$29</f>
        <v>671280.54723735293</v>
      </c>
      <c r="Z12" s="4">
        <f ca="1" xml:space="preserve">  Cashflow!Z$29</f>
        <v>128637.60781951444</v>
      </c>
      <c r="AA12" s="4">
        <f ca="1" xml:space="preserve">  Cashflow!AA$29</f>
        <v>-63728.553277364947</v>
      </c>
      <c r="AB12" s="4">
        <f ca="1" xml:space="preserve">  Cashflow!AB$29</f>
        <v>-250951.1649504861</v>
      </c>
      <c r="AC12" s="4">
        <f ca="1" xml:space="preserve">  Cashflow!AC$29</f>
        <v>-104252.70224091849</v>
      </c>
      <c r="AD12" s="4">
        <f ca="1" xml:space="preserve">  Cashflow!AD$29</f>
        <v>-225500.75854831209</v>
      </c>
      <c r="AE12" s="4">
        <f ca="1" xml:space="preserve">  Cashflow!AE$29</f>
        <v>1473962.6893270833</v>
      </c>
      <c r="AF12" s="4">
        <f ca="1" xml:space="preserve">  Cashflow!AF$29</f>
        <v>-132678.02960055287</v>
      </c>
      <c r="AG12" s="4">
        <f ca="1" xml:space="preserve">  Cashflow!AG$29</f>
        <v>50707.19033635917</v>
      </c>
      <c r="AH12" s="4">
        <f ca="1" xml:space="preserve">  Cashflow!AH$29</f>
        <v>-133487.22004294206</v>
      </c>
      <c r="AI12" s="4">
        <f ca="1" xml:space="preserve">  Cashflow!AI$29</f>
        <v>852108.44532843214</v>
      </c>
      <c r="AJ12" s="4">
        <f ca="1" xml:space="preserve">  Cashflow!AJ$29</f>
        <v>-494864.35907818202</v>
      </c>
      <c r="AK12" s="4">
        <f ca="1" xml:space="preserve">  Cashflow!AK$29</f>
        <v>595210.93471164652</v>
      </c>
      <c r="AL12" s="4">
        <f ca="1" xml:space="preserve">  Cashflow!AL$29</f>
        <v>257916.74595415458</v>
      </c>
      <c r="AM12" s="4">
        <f ca="1" xml:space="preserve">  Cashflow!AM$29</f>
        <v>560200.90516391792</v>
      </c>
      <c r="AN12" s="4">
        <f ca="1" xml:space="preserve">  Cashflow!AN$29</f>
        <v>45722.835407997154</v>
      </c>
      <c r="AO12" s="4">
        <f ca="1" xml:space="preserve">  Cashflow!AO$29</f>
        <v>32233.143841491037</v>
      </c>
      <c r="AP12" s="4">
        <f ca="1" xml:space="preserve">  Cashflow!AP$29</f>
        <v>586494.40207020449</v>
      </c>
      <c r="AQ12" s="4">
        <f ca="1" xml:space="preserve">  Cashflow!AQ$29</f>
        <v>1056401.3206310463</v>
      </c>
      <c r="AR12" s="4">
        <f ca="1" xml:space="preserve">  Cashflow!AR$29</f>
        <v>791111.1837965803</v>
      </c>
      <c r="AS12" s="4">
        <f ca="1" xml:space="preserve">  Cashflow!AS$29</f>
        <v>-1145.370910606478</v>
      </c>
      <c r="AT12" s="4">
        <f ca="1" xml:space="preserve">  Cashflow!AT$29</f>
        <v>214799.20760164055</v>
      </c>
      <c r="AU12" s="4">
        <f ca="1" xml:space="preserve">  Cashflow!AU$29</f>
        <v>1678492.9392729576</v>
      </c>
      <c r="AV12" s="4">
        <f ca="1" xml:space="preserve">  Cashflow!AV$29</f>
        <v>-134712.3695166843</v>
      </c>
      <c r="AW12" s="4">
        <f ca="1" xml:space="preserve">  Cashflow!AW$29</f>
        <v>-561058.29720339994</v>
      </c>
      <c r="AX12" s="4">
        <f ca="1" xml:space="preserve">  Cashflow!AX$29</f>
        <v>1177325.3951887395</v>
      </c>
      <c r="AY12" s="4">
        <f ca="1" xml:space="preserve">  Cashflow!AY$29</f>
        <v>572084.56773490121</v>
      </c>
      <c r="AZ12" s="4">
        <f ca="1" xml:space="preserve">  Cashflow!AZ$29</f>
        <v>1204010.2098915628</v>
      </c>
      <c r="BA12" s="4">
        <f ca="1" xml:space="preserve">  Cashflow!BA$29</f>
        <v>512599.36312071007</v>
      </c>
      <c r="BB12" s="4">
        <f ca="1" xml:space="preserve">  Cashflow!BB$29</f>
        <v>1494124.4979094286</v>
      </c>
      <c r="BC12" s="4">
        <f ca="1" xml:space="preserve">  Cashflow!BC$29</f>
        <v>1283594.8433570175</v>
      </c>
      <c r="BD12" s="4">
        <f ca="1" xml:space="preserve">  Cashflow!BD$29</f>
        <v>1461777.549884595</v>
      </c>
      <c r="BE12" s="4">
        <f ca="1" xml:space="preserve">  Cashflow!BE$29</f>
        <v>663790.38195324165</v>
      </c>
      <c r="BF12" s="4">
        <f ca="1" xml:space="preserve">  Cashflow!BF$29</f>
        <v>1384759.9796472439</v>
      </c>
      <c r="BG12" s="4">
        <f ca="1" xml:space="preserve">  Cashflow!BG$29</f>
        <v>1419091.8813465012</v>
      </c>
      <c r="BH12" s="4">
        <f ca="1" xml:space="preserve">  Cashflow!BH$29</f>
        <v>680333.00136813545</v>
      </c>
      <c r="BI12" s="4">
        <f ca="1" xml:space="preserve">  Cashflow!BI$29</f>
        <v>-260368.83628268697</v>
      </c>
      <c r="BJ12" s="4">
        <f ca="1" xml:space="preserve">  Cashflow!BJ$29</f>
        <v>2579839.6022001165</v>
      </c>
      <c r="BK12" s="4">
        <f ca="1" xml:space="preserve">  Cashflow!BK$29</f>
        <v>559615.66659213637</v>
      </c>
      <c r="BL12" s="4">
        <f ca="1" xml:space="preserve">  Cashflow!BL$29</f>
        <v>2702336.4977992922</v>
      </c>
      <c r="BM12" s="4">
        <f ca="1" xml:space="preserve">  Cashflow!BM$29</f>
        <v>1908267.9417774179</v>
      </c>
      <c r="BN12" s="4">
        <f ca="1" xml:space="preserve">  Cashflow!BN$29</f>
        <v>1510314.9705972143</v>
      </c>
      <c r="BO12" s="4">
        <f ca="1" xml:space="preserve">  Cashflow!BO$29</f>
        <v>2920368.7946069636</v>
      </c>
      <c r="BP12" s="4">
        <f ca="1" xml:space="preserve">  Cashflow!BP$29</f>
        <v>2137878.0208695685</v>
      </c>
      <c r="BQ12" s="4">
        <f ca="1" xml:space="preserve">  Cashflow!BQ$29</f>
        <v>1618216.53228779</v>
      </c>
    </row>
    <row r="13" spans="1:69" s="83" customFormat="1">
      <c r="A13" s="62"/>
      <c r="B13" s="62"/>
      <c r="C13" s="90"/>
      <c r="D13" s="91"/>
      <c r="E13" s="35" t="s">
        <v>313</v>
      </c>
      <c r="F13" s="35"/>
      <c r="G13" s="35" t="s">
        <v>252</v>
      </c>
      <c r="H13" s="35"/>
      <c r="I13" s="11">
        <f t="shared" ref="I13:BQ13" si="1" xml:space="preserve">  IF( I10 = 0, $F9, I11 + I12 )</f>
        <v>0</v>
      </c>
      <c r="J13" s="11">
        <f t="shared" ca="1" si="1"/>
        <v>65080</v>
      </c>
      <c r="K13" s="11">
        <f t="shared" ca="1" si="1"/>
        <v>-1278.5814267161477</v>
      </c>
      <c r="L13" s="11">
        <f t="shared" ca="1" si="1"/>
        <v>-22293.538857459123</v>
      </c>
      <c r="M13" s="11">
        <f t="shared" ca="1" si="1"/>
        <v>-90197.196723540823</v>
      </c>
      <c r="N13" s="11">
        <f t="shared" ca="1" si="1"/>
        <v>-158349.10984163778</v>
      </c>
      <c r="O13" s="11">
        <f t="shared" ca="1" si="1"/>
        <v>-210483.1648393847</v>
      </c>
      <c r="P13" s="11">
        <f t="shared" ca="1" si="1"/>
        <v>-304989.09830507642</v>
      </c>
      <c r="Q13" s="11">
        <f t="shared" ca="1" si="1"/>
        <v>-383826.99653525883</v>
      </c>
      <c r="R13" s="11">
        <f t="shared" ca="1" si="1"/>
        <v>-531500.75634385983</v>
      </c>
      <c r="S13" s="11">
        <f t="shared" ca="1" si="1"/>
        <v>113282.85980705544</v>
      </c>
      <c r="T13" s="11">
        <f t="shared" ca="1" si="1"/>
        <v>162480.90729248483</v>
      </c>
      <c r="U13" s="11">
        <f t="shared" ca="1" si="1"/>
        <v>85687.307120060359</v>
      </c>
      <c r="V13" s="11">
        <f t="shared" ca="1" si="1"/>
        <v>-21235.963378236353</v>
      </c>
      <c r="W13" s="11">
        <f t="shared" ca="1" si="1"/>
        <v>-112587.09431037454</v>
      </c>
      <c r="X13" s="11">
        <f t="shared" ca="1" si="1"/>
        <v>-277417.68244850443</v>
      </c>
      <c r="Y13" s="11">
        <f t="shared" ca="1" si="1"/>
        <v>393862.8647888485</v>
      </c>
      <c r="Z13" s="11">
        <f t="shared" ca="1" si="1"/>
        <v>522500.47260836291</v>
      </c>
      <c r="AA13" s="11">
        <f t="shared" ca="1" si="1"/>
        <v>458771.91933099797</v>
      </c>
      <c r="AB13" s="11">
        <f t="shared" ca="1" si="1"/>
        <v>207820.75438051188</v>
      </c>
      <c r="AC13" s="11">
        <f t="shared" ca="1" si="1"/>
        <v>103568.05213959339</v>
      </c>
      <c r="AD13" s="11">
        <f t="shared" ca="1" si="1"/>
        <v>-121932.7064087187</v>
      </c>
      <c r="AE13" s="11">
        <f t="shared" ca="1" si="1"/>
        <v>1352029.9829183647</v>
      </c>
      <c r="AF13" s="11">
        <f t="shared" ca="1" si="1"/>
        <v>1219351.9533178117</v>
      </c>
      <c r="AG13" s="11">
        <f t="shared" ca="1" si="1"/>
        <v>1270059.1436541709</v>
      </c>
      <c r="AH13" s="11">
        <f t="shared" ca="1" si="1"/>
        <v>1136571.9236112288</v>
      </c>
      <c r="AI13" s="11">
        <f t="shared" ca="1" si="1"/>
        <v>1988680.368939661</v>
      </c>
      <c r="AJ13" s="11">
        <f t="shared" ca="1" si="1"/>
        <v>1493816.009861479</v>
      </c>
      <c r="AK13" s="11">
        <f t="shared" ca="1" si="1"/>
        <v>2089026.9445731256</v>
      </c>
      <c r="AL13" s="11">
        <f t="shared" ca="1" si="1"/>
        <v>2346943.6905272803</v>
      </c>
      <c r="AM13" s="11">
        <f t="shared" ca="1" si="1"/>
        <v>2907144.5956911985</v>
      </c>
      <c r="AN13" s="11">
        <f t="shared" ca="1" si="1"/>
        <v>2952867.4310991955</v>
      </c>
      <c r="AO13" s="11">
        <f t="shared" ca="1" si="1"/>
        <v>2985100.5749406866</v>
      </c>
      <c r="AP13" s="11">
        <f t="shared" ca="1" si="1"/>
        <v>3571594.9770108908</v>
      </c>
      <c r="AQ13" s="11">
        <f t="shared" ca="1" si="1"/>
        <v>4627996.2976419367</v>
      </c>
      <c r="AR13" s="11">
        <f t="shared" ca="1" si="1"/>
        <v>5419107.4814385166</v>
      </c>
      <c r="AS13" s="11">
        <f t="shared" ca="1" si="1"/>
        <v>5417962.1105279103</v>
      </c>
      <c r="AT13" s="11">
        <f t="shared" ca="1" si="1"/>
        <v>5632761.3181295507</v>
      </c>
      <c r="AU13" s="11">
        <f t="shared" ca="1" si="1"/>
        <v>7311254.2574025085</v>
      </c>
      <c r="AV13" s="11">
        <f t="shared" ca="1" si="1"/>
        <v>7176541.8878858238</v>
      </c>
      <c r="AW13" s="11">
        <f t="shared" ca="1" si="1"/>
        <v>6615483.5906824237</v>
      </c>
      <c r="AX13" s="11">
        <f t="shared" ca="1" si="1"/>
        <v>7792808.9858711632</v>
      </c>
      <c r="AY13" s="11">
        <f t="shared" ca="1" si="1"/>
        <v>8364893.5536060641</v>
      </c>
      <c r="AZ13" s="11">
        <f t="shared" ca="1" si="1"/>
        <v>9568903.7634976264</v>
      </c>
      <c r="BA13" s="11">
        <f t="shared" ca="1" si="1"/>
        <v>10081503.126618337</v>
      </c>
      <c r="BB13" s="11">
        <f t="shared" ca="1" si="1"/>
        <v>11575627.624527765</v>
      </c>
      <c r="BC13" s="11">
        <f t="shared" ca="1" si="1"/>
        <v>12859222.467884783</v>
      </c>
      <c r="BD13" s="11">
        <f t="shared" ca="1" si="1"/>
        <v>14321000.017769378</v>
      </c>
      <c r="BE13" s="11">
        <f t="shared" ca="1" si="1"/>
        <v>14984790.399722619</v>
      </c>
      <c r="BF13" s="11">
        <f t="shared" ca="1" si="1"/>
        <v>16369550.379369862</v>
      </c>
      <c r="BG13" s="11">
        <f t="shared" ca="1" si="1"/>
        <v>17788642.260716364</v>
      </c>
      <c r="BH13" s="11">
        <f t="shared" ca="1" si="1"/>
        <v>18468975.262084499</v>
      </c>
      <c r="BI13" s="11">
        <f t="shared" ca="1" si="1"/>
        <v>18208606.425801814</v>
      </c>
      <c r="BJ13" s="11">
        <f t="shared" ca="1" si="1"/>
        <v>20788446.028001931</v>
      </c>
      <c r="BK13" s="11">
        <f t="shared" ca="1" si="1"/>
        <v>21348061.694594067</v>
      </c>
      <c r="BL13" s="11">
        <f t="shared" ca="1" si="1"/>
        <v>24050398.192393359</v>
      </c>
      <c r="BM13" s="11">
        <f t="shared" ca="1" si="1"/>
        <v>25958666.134170778</v>
      </c>
      <c r="BN13" s="11">
        <f t="shared" ca="1" si="1"/>
        <v>27468981.104767993</v>
      </c>
      <c r="BO13" s="11">
        <f t="shared" ca="1" si="1"/>
        <v>30389349.899374958</v>
      </c>
      <c r="BP13" s="11">
        <f t="shared" ca="1" si="1"/>
        <v>32527227.920244526</v>
      </c>
      <c r="BQ13" s="11">
        <f t="shared" ca="1" si="1"/>
        <v>34145444.452532314</v>
      </c>
    </row>
    <row r="15" spans="1:69">
      <c r="B15" s="27" t="s">
        <v>314</v>
      </c>
    </row>
    <row r="16" spans="1:69" outlineLevel="1">
      <c r="A16" s="18"/>
      <c r="B16" s="18"/>
      <c r="C16" s="30"/>
      <c r="D16" s="31"/>
      <c r="E16" s="4" t="str">
        <f xml:space="preserve">  InpC!E$34</f>
        <v>Supplier price per unit</v>
      </c>
      <c r="F16" s="4">
        <f xml:space="preserve">  InpC!F$34</f>
        <v>35</v>
      </c>
      <c r="G16" s="4" t="str">
        <f xml:space="preserve">  InpC!G$34</f>
        <v>GBP</v>
      </c>
      <c r="M16" s="2"/>
    </row>
    <row r="17" spans="1:69" outlineLevel="1">
      <c r="A17" s="18"/>
      <c r="B17" s="18"/>
      <c r="C17" s="30"/>
      <c r="D17" s="31"/>
      <c r="E17" s="4" t="str">
        <f xml:space="preserve">  Inventory!E$26</f>
        <v>Units ordered</v>
      </c>
      <c r="F17" s="4">
        <f xml:space="preserve">  Inventory!F$26</f>
        <v>0</v>
      </c>
      <c r="G17" s="4" t="str">
        <f xml:space="preserve">  Inventory!G$26</f>
        <v>Units</v>
      </c>
      <c r="H17" s="4">
        <f ca="1" xml:space="preserve">  Inventory!H$26</f>
        <v>165000</v>
      </c>
      <c r="I17" s="4">
        <f xml:space="preserve">  Inventory!I$26</f>
        <v>0</v>
      </c>
      <c r="J17" s="4">
        <f ca="1" xml:space="preserve">  Inventory!J$26</f>
        <v>5000</v>
      </c>
      <c r="K17" s="4">
        <f ca="1" xml:space="preserve">  Inventory!K$26</f>
        <v>0</v>
      </c>
      <c r="L17" s="4">
        <f ca="1" xml:space="preserve">  Inventory!L$26</f>
        <v>0</v>
      </c>
      <c r="M17" s="4">
        <f ca="1" xml:space="preserve">  Inventory!M$26</f>
        <v>0</v>
      </c>
      <c r="N17" s="4">
        <f ca="1" xml:space="preserve">  Inventory!N$26</f>
        <v>0</v>
      </c>
      <c r="O17" s="4">
        <f ca="1" xml:space="preserve">  Inventory!O$26</f>
        <v>0</v>
      </c>
      <c r="P17" s="4">
        <f ca="1" xml:space="preserve">  Inventory!P$26</f>
        <v>5000</v>
      </c>
      <c r="Q17" s="4">
        <f ca="1" xml:space="preserve">  Inventory!Q$26</f>
        <v>0</v>
      </c>
      <c r="R17" s="4">
        <f ca="1" xml:space="preserve">  Inventory!R$26</f>
        <v>0</v>
      </c>
      <c r="S17" s="4">
        <f ca="1" xml:space="preserve">  Inventory!S$26</f>
        <v>0</v>
      </c>
      <c r="T17" s="4">
        <f ca="1" xml:space="preserve">  Inventory!T$26</f>
        <v>0</v>
      </c>
      <c r="U17" s="4">
        <f ca="1" xml:space="preserve">  Inventory!U$26</f>
        <v>0</v>
      </c>
      <c r="V17" s="4">
        <f ca="1" xml:space="preserve">  Inventory!V$26</f>
        <v>5000</v>
      </c>
      <c r="W17" s="4">
        <f ca="1" xml:space="preserve">  Inventory!W$26</f>
        <v>0</v>
      </c>
      <c r="X17" s="4">
        <f ca="1" xml:space="preserve">  Inventory!X$26</f>
        <v>0</v>
      </c>
      <c r="Y17" s="4">
        <f ca="1" xml:space="preserve">  Inventory!Y$26</f>
        <v>0</v>
      </c>
      <c r="Z17" s="4">
        <f ca="1" xml:space="preserve">  Inventory!Z$26</f>
        <v>5000</v>
      </c>
      <c r="AA17" s="4">
        <f ca="1" xml:space="preserve">  Inventory!AA$26</f>
        <v>0</v>
      </c>
      <c r="AB17" s="4">
        <f ca="1" xml:space="preserve">  Inventory!AB$26</f>
        <v>0</v>
      </c>
      <c r="AC17" s="4">
        <f ca="1" xml:space="preserve">  Inventory!AC$26</f>
        <v>0</v>
      </c>
      <c r="AD17" s="4">
        <f ca="1" xml:space="preserve">  Inventory!AD$26</f>
        <v>5000</v>
      </c>
      <c r="AE17" s="4">
        <f ca="1" xml:space="preserve">  Inventory!AE$26</f>
        <v>0</v>
      </c>
      <c r="AF17" s="4">
        <f ca="1" xml:space="preserve">  Inventory!AF$26</f>
        <v>0</v>
      </c>
      <c r="AG17" s="4">
        <f ca="1" xml:space="preserve">  Inventory!AG$26</f>
        <v>5000</v>
      </c>
      <c r="AH17" s="4">
        <f ca="1" xml:space="preserve">  Inventory!AH$26</f>
        <v>0</v>
      </c>
      <c r="AI17" s="4">
        <f ca="1" xml:space="preserve">  Inventory!AI$26</f>
        <v>5000</v>
      </c>
      <c r="AJ17" s="4">
        <f ca="1" xml:space="preserve">  Inventory!AJ$26</f>
        <v>0</v>
      </c>
      <c r="AK17" s="4">
        <f ca="1" xml:space="preserve">  Inventory!AK$26</f>
        <v>0</v>
      </c>
      <c r="AL17" s="4">
        <f ca="1" xml:space="preserve">  Inventory!AL$26</f>
        <v>5000</v>
      </c>
      <c r="AM17" s="4">
        <f ca="1" xml:space="preserve">  Inventory!AM$26</f>
        <v>0</v>
      </c>
      <c r="AN17" s="4">
        <f ca="1" xml:space="preserve">  Inventory!AN$26</f>
        <v>0</v>
      </c>
      <c r="AO17" s="4">
        <f ca="1" xml:space="preserve">  Inventory!AO$26</f>
        <v>5000</v>
      </c>
      <c r="AP17" s="4">
        <f ca="1" xml:space="preserve">  Inventory!AP$26</f>
        <v>0</v>
      </c>
      <c r="AQ17" s="4">
        <f ca="1" xml:space="preserve">  Inventory!AQ$26</f>
        <v>5000</v>
      </c>
      <c r="AR17" s="4">
        <f ca="1" xml:space="preserve">  Inventory!AR$26</f>
        <v>0</v>
      </c>
      <c r="AS17" s="4">
        <f ca="1" xml:space="preserve">  Inventory!AS$26</f>
        <v>5000</v>
      </c>
      <c r="AT17" s="4">
        <f ca="1" xml:space="preserve">  Inventory!AT$26</f>
        <v>5000</v>
      </c>
      <c r="AU17" s="4">
        <f ca="1" xml:space="preserve">  Inventory!AU$26</f>
        <v>0</v>
      </c>
      <c r="AV17" s="4">
        <f ca="1" xml:space="preserve">  Inventory!AV$26</f>
        <v>5000</v>
      </c>
      <c r="AW17" s="4">
        <f ca="1" xml:space="preserve">  Inventory!AW$26</f>
        <v>5000</v>
      </c>
      <c r="AX17" s="4">
        <f ca="1" xml:space="preserve">  Inventory!AX$26</f>
        <v>0</v>
      </c>
      <c r="AY17" s="4">
        <f ca="1" xml:space="preserve">  Inventory!AY$26</f>
        <v>5000</v>
      </c>
      <c r="AZ17" s="4">
        <f ca="1" xml:space="preserve">  Inventory!AZ$26</f>
        <v>5000</v>
      </c>
      <c r="BA17" s="4">
        <f ca="1" xml:space="preserve">  Inventory!BA$26</f>
        <v>5000</v>
      </c>
      <c r="BB17" s="4">
        <f ca="1" xml:space="preserve">  Inventory!BB$26</f>
        <v>5000</v>
      </c>
      <c r="BC17" s="4">
        <f ca="1" xml:space="preserve">  Inventory!BC$26</f>
        <v>5000</v>
      </c>
      <c r="BD17" s="4">
        <f ca="1" xml:space="preserve">  Inventory!BD$26</f>
        <v>5000</v>
      </c>
      <c r="BE17" s="4">
        <f ca="1" xml:space="preserve">  Inventory!BE$26</f>
        <v>5000</v>
      </c>
      <c r="BF17" s="4">
        <f ca="1" xml:space="preserve">  Inventory!BF$26</f>
        <v>5000</v>
      </c>
      <c r="BG17" s="4">
        <f ca="1" xml:space="preserve">  Inventory!BG$26</f>
        <v>5000</v>
      </c>
      <c r="BH17" s="4">
        <f ca="1" xml:space="preserve">  Inventory!BH$26</f>
        <v>5000</v>
      </c>
      <c r="BI17" s="4">
        <f ca="1" xml:space="preserve">  Inventory!BI$26</f>
        <v>5000</v>
      </c>
      <c r="BJ17" s="4">
        <f ca="1" xml:space="preserve">  Inventory!BJ$26</f>
        <v>5000</v>
      </c>
      <c r="BK17" s="4">
        <f ca="1" xml:space="preserve">  Inventory!BK$26</f>
        <v>5000</v>
      </c>
      <c r="BL17" s="4">
        <f ca="1" xml:space="preserve">  Inventory!BL$26</f>
        <v>5000</v>
      </c>
      <c r="BM17" s="4">
        <f ca="1" xml:space="preserve">  Inventory!BM$26</f>
        <v>5000</v>
      </c>
      <c r="BN17" s="4">
        <f ca="1" xml:space="preserve">  Inventory!BN$26</f>
        <v>5000</v>
      </c>
      <c r="BO17" s="4">
        <f ca="1" xml:space="preserve">  Inventory!BO$26</f>
        <v>5000</v>
      </c>
      <c r="BP17" s="4">
        <f ca="1" xml:space="preserve">  Inventory!BP$26</f>
        <v>5000</v>
      </c>
      <c r="BQ17" s="4">
        <f ca="1" xml:space="preserve">  Inventory!BQ$26</f>
        <v>5000</v>
      </c>
    </row>
    <row r="18" spans="1:69" outlineLevel="1">
      <c r="A18" s="36"/>
      <c r="B18" s="36"/>
      <c r="C18" s="65"/>
      <c r="D18" s="64"/>
      <c r="E18" s="21" t="s">
        <v>314</v>
      </c>
      <c r="F18" s="21"/>
      <c r="G18" s="21" t="s">
        <v>252</v>
      </c>
      <c r="H18" s="3">
        <f ca="1" xml:space="preserve"> SUM( J18:BQ18 )</f>
        <v>5775000</v>
      </c>
      <c r="I18" s="21"/>
      <c r="J18" s="3">
        <f t="shared" ref="J18:BQ18" ca="1" si="2" xml:space="preserve">  J17 * $F16</f>
        <v>175000</v>
      </c>
      <c r="K18" s="3">
        <f t="shared" ca="1" si="2"/>
        <v>0</v>
      </c>
      <c r="L18" s="3">
        <f t="shared" ca="1" si="2"/>
        <v>0</v>
      </c>
      <c r="M18" s="3">
        <f t="shared" ca="1" si="2"/>
        <v>0</v>
      </c>
      <c r="N18" s="3">
        <f t="shared" ca="1" si="2"/>
        <v>0</v>
      </c>
      <c r="O18" s="3">
        <f t="shared" ca="1" si="2"/>
        <v>0</v>
      </c>
      <c r="P18" s="3">
        <f t="shared" ca="1" si="2"/>
        <v>175000</v>
      </c>
      <c r="Q18" s="3">
        <f t="shared" ca="1" si="2"/>
        <v>0</v>
      </c>
      <c r="R18" s="3">
        <f t="shared" ca="1" si="2"/>
        <v>0</v>
      </c>
      <c r="S18" s="3">
        <f t="shared" ca="1" si="2"/>
        <v>0</v>
      </c>
      <c r="T18" s="3">
        <f t="shared" ca="1" si="2"/>
        <v>0</v>
      </c>
      <c r="U18" s="3">
        <f t="shared" ca="1" si="2"/>
        <v>0</v>
      </c>
      <c r="V18" s="3">
        <f t="shared" ca="1" si="2"/>
        <v>175000</v>
      </c>
      <c r="W18" s="3">
        <f t="shared" ca="1" si="2"/>
        <v>0</v>
      </c>
      <c r="X18" s="3">
        <f t="shared" ca="1" si="2"/>
        <v>0</v>
      </c>
      <c r="Y18" s="3">
        <f t="shared" ca="1" si="2"/>
        <v>0</v>
      </c>
      <c r="Z18" s="3">
        <f t="shared" ca="1" si="2"/>
        <v>175000</v>
      </c>
      <c r="AA18" s="3">
        <f t="shared" ca="1" si="2"/>
        <v>0</v>
      </c>
      <c r="AB18" s="3">
        <f t="shared" ca="1" si="2"/>
        <v>0</v>
      </c>
      <c r="AC18" s="3">
        <f t="shared" ca="1" si="2"/>
        <v>0</v>
      </c>
      <c r="AD18" s="3">
        <f t="shared" ca="1" si="2"/>
        <v>175000</v>
      </c>
      <c r="AE18" s="3">
        <f t="shared" ca="1" si="2"/>
        <v>0</v>
      </c>
      <c r="AF18" s="3">
        <f t="shared" ca="1" si="2"/>
        <v>0</v>
      </c>
      <c r="AG18" s="3">
        <f t="shared" ca="1" si="2"/>
        <v>175000</v>
      </c>
      <c r="AH18" s="3">
        <f t="shared" ca="1" si="2"/>
        <v>0</v>
      </c>
      <c r="AI18" s="3">
        <f t="shared" ca="1" si="2"/>
        <v>175000</v>
      </c>
      <c r="AJ18" s="3">
        <f t="shared" ca="1" si="2"/>
        <v>0</v>
      </c>
      <c r="AK18" s="3">
        <f t="shared" ca="1" si="2"/>
        <v>0</v>
      </c>
      <c r="AL18" s="3">
        <f t="shared" ca="1" si="2"/>
        <v>175000</v>
      </c>
      <c r="AM18" s="3">
        <f t="shared" ca="1" si="2"/>
        <v>0</v>
      </c>
      <c r="AN18" s="3">
        <f t="shared" ca="1" si="2"/>
        <v>0</v>
      </c>
      <c r="AO18" s="3">
        <f t="shared" ca="1" si="2"/>
        <v>175000</v>
      </c>
      <c r="AP18" s="3">
        <f t="shared" ca="1" si="2"/>
        <v>0</v>
      </c>
      <c r="AQ18" s="3">
        <f t="shared" ca="1" si="2"/>
        <v>175000</v>
      </c>
      <c r="AR18" s="3">
        <f t="shared" ca="1" si="2"/>
        <v>0</v>
      </c>
      <c r="AS18" s="3">
        <f t="shared" ca="1" si="2"/>
        <v>175000</v>
      </c>
      <c r="AT18" s="3">
        <f t="shared" ca="1" si="2"/>
        <v>175000</v>
      </c>
      <c r="AU18" s="3">
        <f t="shared" ca="1" si="2"/>
        <v>0</v>
      </c>
      <c r="AV18" s="3">
        <f t="shared" ca="1" si="2"/>
        <v>175000</v>
      </c>
      <c r="AW18" s="3">
        <f t="shared" ca="1" si="2"/>
        <v>175000</v>
      </c>
      <c r="AX18" s="3">
        <f t="shared" ca="1" si="2"/>
        <v>0</v>
      </c>
      <c r="AY18" s="3">
        <f t="shared" ca="1" si="2"/>
        <v>175000</v>
      </c>
      <c r="AZ18" s="3">
        <f t="shared" ca="1" si="2"/>
        <v>175000</v>
      </c>
      <c r="BA18" s="3">
        <f t="shared" ca="1" si="2"/>
        <v>175000</v>
      </c>
      <c r="BB18" s="3">
        <f t="shared" ca="1" si="2"/>
        <v>175000</v>
      </c>
      <c r="BC18" s="3">
        <f t="shared" ca="1" si="2"/>
        <v>175000</v>
      </c>
      <c r="BD18" s="3">
        <f t="shared" ca="1" si="2"/>
        <v>175000</v>
      </c>
      <c r="BE18" s="3">
        <f t="shared" ca="1" si="2"/>
        <v>175000</v>
      </c>
      <c r="BF18" s="3">
        <f t="shared" ca="1" si="2"/>
        <v>175000</v>
      </c>
      <c r="BG18" s="3">
        <f t="shared" ca="1" si="2"/>
        <v>175000</v>
      </c>
      <c r="BH18" s="3">
        <f t="shared" ca="1" si="2"/>
        <v>175000</v>
      </c>
      <c r="BI18" s="3">
        <f t="shared" ca="1" si="2"/>
        <v>175000</v>
      </c>
      <c r="BJ18" s="3">
        <f t="shared" ca="1" si="2"/>
        <v>175000</v>
      </c>
      <c r="BK18" s="3">
        <f t="shared" ca="1" si="2"/>
        <v>175000</v>
      </c>
      <c r="BL18" s="3">
        <f t="shared" ca="1" si="2"/>
        <v>175000</v>
      </c>
      <c r="BM18" s="3">
        <f t="shared" ca="1" si="2"/>
        <v>175000</v>
      </c>
      <c r="BN18" s="3">
        <f t="shared" ca="1" si="2"/>
        <v>175000</v>
      </c>
      <c r="BO18" s="3">
        <f t="shared" ca="1" si="2"/>
        <v>175000</v>
      </c>
      <c r="BP18" s="3">
        <f t="shared" ca="1" si="2"/>
        <v>175000</v>
      </c>
      <c r="BQ18" s="3">
        <f t="shared" ca="1" si="2"/>
        <v>175000</v>
      </c>
    </row>
    <row r="21" spans="1:69">
      <c r="B21" s="27" t="s">
        <v>278</v>
      </c>
    </row>
    <row r="22" spans="1:69" outlineLevel="1">
      <c r="A22" s="18"/>
      <c r="B22" s="18"/>
      <c r="C22" s="30"/>
      <c r="D22" s="31"/>
      <c r="E22" s="4" t="str">
        <f xml:space="preserve">  'Balance Sheet'!E$12</f>
        <v>Assets</v>
      </c>
      <c r="F22" s="4">
        <f xml:space="preserve">  'Balance Sheet'!F$12</f>
        <v>0</v>
      </c>
      <c r="G22" s="4" t="str">
        <f xml:space="preserve">  'Balance Sheet'!G$12</f>
        <v>GBP</v>
      </c>
      <c r="H22" s="4">
        <f xml:space="preserve">  'Balance Sheet'!H$12</f>
        <v>0</v>
      </c>
      <c r="I22" s="4">
        <f xml:space="preserve">  'Balance Sheet'!I$12</f>
        <v>0</v>
      </c>
      <c r="J22" s="4">
        <f ca="1" xml:space="preserve">  'Balance Sheet'!J$12</f>
        <v>240080</v>
      </c>
      <c r="K22" s="4">
        <f ca="1" xml:space="preserve">  'Balance Sheet'!K$12</f>
        <v>166429.7519066172</v>
      </c>
      <c r="L22" s="4">
        <f ca="1" xml:space="preserve">  'Balance Sheet'!L$12</f>
        <v>138123.12780920754</v>
      </c>
      <c r="M22" s="4">
        <f ca="1" xml:space="preserve">  'Balance Sheet'!M$12</f>
        <v>62927.803276459177</v>
      </c>
      <c r="N22" s="4">
        <f ca="1" xml:space="preserve">  'Balance Sheet'!N$12</f>
        <v>-12515.776508304436</v>
      </c>
      <c r="O22" s="4">
        <f ca="1" xml:space="preserve">  'Balance Sheet'!O$12</f>
        <v>-71941.498172718042</v>
      </c>
      <c r="P22" s="4">
        <f ca="1" xml:space="preserve">  'Balance Sheet'!P$12</f>
        <v>1260.9016949235811</v>
      </c>
      <c r="Q22" s="4">
        <f ca="1" xml:space="preserve">  'Balance Sheet'!Q$12</f>
        <v>632984.96941161156</v>
      </c>
      <c r="R22" s="4">
        <f ca="1" xml:space="preserve">  'Balance Sheet'!R$12</f>
        <v>600448.20522053994</v>
      </c>
      <c r="S22" s="4">
        <f ca="1" xml:space="preserve">  'Balance Sheet'!S$12</f>
        <v>514637.56052685168</v>
      </c>
      <c r="T22" s="4">
        <f ca="1" xml:space="preserve">  'Balance Sheet'!T$12</f>
        <v>419531.94572808495</v>
      </c>
      <c r="U22" s="4">
        <f ca="1" xml:space="preserve">  'Balance Sheet'!U$12</f>
        <v>319020.64045339363</v>
      </c>
      <c r="V22" s="4">
        <f ca="1" xml:space="preserve">  'Balance Sheet'!V$12</f>
        <v>372514.0366217636</v>
      </c>
      <c r="W22" s="4">
        <f ca="1" xml:space="preserve">  'Balance Sheet'!W$12</f>
        <v>1023672.1616374113</v>
      </c>
      <c r="X22" s="4">
        <f ca="1" xml:space="preserve">  'Balance Sheet'!X$12</f>
        <v>936582.31755149551</v>
      </c>
      <c r="Y22" s="4">
        <f ca="1" xml:space="preserve">  'Balance Sheet'!Y$12</f>
        <v>821603.60884106252</v>
      </c>
      <c r="Z22" s="4">
        <f ca="1" xml:space="preserve">  'Balance Sheet'!Z$12</f>
        <v>1003750.4726083628</v>
      </c>
      <c r="AA22" s="4">
        <f ca="1" xml:space="preserve">  'Balance Sheet'!AA$12</f>
        <v>910855.25266433123</v>
      </c>
      <c r="AB22" s="4">
        <f ca="1" xml:space="preserve">  'Balance Sheet'!AB$12</f>
        <v>630737.42104717856</v>
      </c>
      <c r="AC22" s="4">
        <f ca="1" xml:space="preserve">  'Balance Sheet'!AC$12</f>
        <v>2086463.3514197967</v>
      </c>
      <c r="AD22" s="4">
        <f ca="1" xml:space="preserve">  'Balance Sheet'!AD$12</f>
        <v>2136516.2551556807</v>
      </c>
      <c r="AE22" s="4">
        <f ca="1" xml:space="preserve">  'Balance Sheet'!AE$12</f>
        <v>1994009.683638161</v>
      </c>
      <c r="AF22" s="4">
        <f ca="1" xml:space="preserve">  'Balance Sheet'!AF$12</f>
        <v>1695152.9917534119</v>
      </c>
      <c r="AG22" s="4">
        <f ca="1" xml:space="preserve">  'Balance Sheet'!AG$12</f>
        <v>2739267.4769875044</v>
      </c>
      <c r="AH22" s="4">
        <f ca="1" xml:space="preserve">  'Balance Sheet'!AH$12</f>
        <v>2562030.2569445623</v>
      </c>
      <c r="AI22" s="4">
        <f ca="1" xml:space="preserve">  'Balance Sheet'!AI$12</f>
        <v>3619302.1248874469</v>
      </c>
      <c r="AJ22" s="4">
        <f ca="1" xml:space="preserve">  'Balance Sheet'!AJ$12</f>
        <v>3357792.5315076876</v>
      </c>
      <c r="AK22" s="4">
        <f ca="1" xml:space="preserve">  'Balance Sheet'!AK$12</f>
        <v>4025121.6542366417</v>
      </c>
      <c r="AL22" s="4">
        <f ca="1" xml:space="preserve">  'Balance Sheet'!AL$12</f>
        <v>4333080.3638279159</v>
      </c>
      <c r="AM22" s="4">
        <f ca="1" xml:space="preserve">  'Balance Sheet'!AM$12</f>
        <v>3999302.0692235427</v>
      </c>
      <c r="AN22" s="4">
        <f ca="1" xml:space="preserve">  'Balance Sheet'!AN$12</f>
        <v>4881051.5707082981</v>
      </c>
      <c r="AO22" s="4">
        <f ca="1" xml:space="preserve">  'Balance Sheet'!AO$12</f>
        <v>5926878.0886781793</v>
      </c>
      <c r="AP22" s="4">
        <f ca="1" xml:space="preserve">  'Balance Sheet'!AP$12</f>
        <v>6483340.520924353</v>
      </c>
      <c r="AQ22" s="4">
        <f ca="1" xml:space="preserve">  'Balance Sheet'!AQ$12</f>
        <v>6823591.8161155079</v>
      </c>
      <c r="AR22" s="4">
        <f ca="1" xml:space="preserve">  'Balance Sheet'!AR$12</f>
        <v>6719811.1603399059</v>
      </c>
      <c r="AS22" s="4">
        <f ca="1" xml:space="preserve">  'Balance Sheet'!AS$12</f>
        <v>8592377.7712420244</v>
      </c>
      <c r="AT22" s="4">
        <f ca="1" xml:space="preserve">  'Balance Sheet'!AT$12</f>
        <v>8948906.7434437983</v>
      </c>
      <c r="AU22" s="4">
        <f ca="1" xml:space="preserve">  'Balance Sheet'!AU$12</f>
        <v>9036147.7190603465</v>
      </c>
      <c r="AV22" s="4">
        <f ca="1" xml:space="preserve">  'Balance Sheet'!AV$12</f>
        <v>10091866.704548083</v>
      </c>
      <c r="AW22" s="4">
        <f ca="1" xml:space="preserve">  'Balance Sheet'!AW$12</f>
        <v>10555921.319378503</v>
      </c>
      <c r="AX22" s="4">
        <f ca="1" xml:space="preserve">  'Balance Sheet'!AX$12</f>
        <v>11717333.843711948</v>
      </c>
      <c r="AY22" s="4">
        <f ca="1" xml:space="preserve">  'Balance Sheet'!AY$12</f>
        <v>11591544.095686231</v>
      </c>
      <c r="AZ22" s="4">
        <f ca="1" xml:space="preserve">  'Balance Sheet'!AZ$12</f>
        <v>13823426.615637807</v>
      </c>
      <c r="BA22" s="4">
        <f ca="1" xml:space="preserve">  'Balance Sheet'!BA$12</f>
        <v>15363266.996916566</v>
      </c>
      <c r="BB22" s="4">
        <f ca="1" xml:space="preserve">  'Balance Sheet'!BB$12</f>
        <v>16156238.908974461</v>
      </c>
      <c r="BC22" s="4">
        <f ca="1" xml:space="preserve">  'Balance Sheet'!BC$12</f>
        <v>17603159.287988223</v>
      </c>
      <c r="BD22" s="4">
        <f ca="1" xml:space="preserve">  'Balance Sheet'!BD$12</f>
        <v>19230414.263449896</v>
      </c>
      <c r="BE22" s="4">
        <f ca="1" xml:space="preserve">  'Balance Sheet'!BE$12</f>
        <v>20055444.96918489</v>
      </c>
      <c r="BF22" s="4">
        <f ca="1" xml:space="preserve">  'Balance Sheet'!BF$12</f>
        <v>21602794.643926576</v>
      </c>
      <c r="BG22" s="4">
        <f ca="1" xml:space="preserve">  'Balance Sheet'!BG$12</f>
        <v>23345725.697558358</v>
      </c>
      <c r="BH22" s="4">
        <f ca="1" xml:space="preserve">  'Balance Sheet'!BH$12</f>
        <v>25227064.140019346</v>
      </c>
      <c r="BI22" s="4">
        <f ca="1" xml:space="preserve">  'Balance Sheet'!BI$12</f>
        <v>25161657.975954313</v>
      </c>
      <c r="BJ22" s="4">
        <f ca="1" xml:space="preserve">  'Balance Sheet'!BJ$12</f>
        <v>27941965.486277927</v>
      </c>
      <c r="BK22" s="4">
        <f ca="1" xml:space="preserve">  'Balance Sheet'!BK$12</f>
        <v>28711221.05948431</v>
      </c>
      <c r="BL22" s="4">
        <f ca="1" xml:space="preserve">  'Balance Sheet'!BL$12</f>
        <v>31627785.154366676</v>
      </c>
      <c r="BM22" s="4">
        <f ca="1" xml:space="preserve">  'Balance Sheet'!BM$12</f>
        <v>34622616.966335222</v>
      </c>
      <c r="BN22" s="4">
        <f ca="1" xml:space="preserve">  'Balance Sheet'!BN$12</f>
        <v>35500397.045821138</v>
      </c>
      <c r="BO22" s="4">
        <f ca="1" xml:space="preserve">  'Balance Sheet'!BO$12</f>
        <v>38663243.117435776</v>
      </c>
      <c r="BP22" s="4">
        <f ca="1" xml:space="preserve">  'Balance Sheet'!BP$12</f>
        <v>41922395.093455091</v>
      </c>
      <c r="BQ22" s="4">
        <f ca="1" xml:space="preserve">  'Balance Sheet'!BQ$12</f>
        <v>42933784.798758037</v>
      </c>
    </row>
    <row r="23" spans="1:69" outlineLevel="1">
      <c r="A23" s="18"/>
      <c r="B23" s="18"/>
      <c r="C23" s="30"/>
      <c r="D23" s="31"/>
      <c r="E23" s="4" t="str">
        <f xml:space="preserve">  'Balance Sheet'!E$21</f>
        <v>Liabilities</v>
      </c>
      <c r="F23" s="4">
        <f xml:space="preserve">  'Balance Sheet'!F$21</f>
        <v>0</v>
      </c>
      <c r="G23" s="4" t="str">
        <f xml:space="preserve">  'Balance Sheet'!G$21</f>
        <v>GBP</v>
      </c>
      <c r="H23" s="4">
        <f xml:space="preserve">  'Balance Sheet'!H$21</f>
        <v>0</v>
      </c>
      <c r="I23" s="4">
        <f xml:space="preserve">  'Balance Sheet'!I$21</f>
        <v>0</v>
      </c>
      <c r="J23" s="4">
        <f ca="1" xml:space="preserve">  'Balance Sheet'!J$21</f>
        <v>292280</v>
      </c>
      <c r="K23" s="4">
        <f ca="1" xml:space="preserve">  'Balance Sheet'!K$21</f>
        <v>279724.67441575311</v>
      </c>
      <c r="L23" s="4">
        <f ca="1" xml:space="preserve">  'Balance Sheet'!L$21</f>
        <v>312912.05760469788</v>
      </c>
      <c r="M23" s="4">
        <f ca="1" xml:space="preserve">  'Balance Sheet'!M$21</f>
        <v>300748.50695273088</v>
      </c>
      <c r="N23" s="4">
        <f ca="1" xml:space="preserve">  'Balance Sheet'!N$21</f>
        <v>288811.99142673804</v>
      </c>
      <c r="O23" s="4">
        <f ca="1" xml:space="preserve">  'Balance Sheet'!O$21</f>
        <v>293383.71159694414</v>
      </c>
      <c r="P23" s="4">
        <f ca="1" xml:space="preserve">  'Balance Sheet'!P$21</f>
        <v>432247.08920387004</v>
      </c>
      <c r="Q23" s="4">
        <f ca="1" xml:space="preserve">  'Balance Sheet'!Q$21</f>
        <v>1088292.5057565549</v>
      </c>
      <c r="R23" s="4">
        <f ca="1" xml:space="preserve">  'Balance Sheet'!R$21</f>
        <v>1071637.9588325089</v>
      </c>
      <c r="S23" s="4">
        <f ca="1" xml:space="preserve">  'Balance Sheet'!S$21</f>
        <v>1002835.7621412935</v>
      </c>
      <c r="T23" s="4">
        <f ca="1" xml:space="preserve">  'Balance Sheet'!T$21</f>
        <v>925327.55053669354</v>
      </c>
      <c r="U23" s="4">
        <f ca="1" xml:space="preserve">  'Balance Sheet'!U$21</f>
        <v>843113.44662275282</v>
      </c>
      <c r="V23" s="4">
        <f ca="1" xml:space="preserve">  'Balance Sheet'!V$21</f>
        <v>916763.73067594529</v>
      </c>
      <c r="W23" s="4">
        <f ca="1" xml:space="preserve">  'Balance Sheet'!W$21</f>
        <v>1544271.5418718539</v>
      </c>
      <c r="X23" s="4">
        <f ca="1" xml:space="preserve">  'Balance Sheet'!X$21</f>
        <v>1427393.0947659425</v>
      </c>
      <c r="Y23" s="4">
        <f ca="1" xml:space="preserve">  'Balance Sheet'!Y$21</f>
        <v>1284703.4695408193</v>
      </c>
      <c r="Z23" s="4">
        <f ca="1" xml:space="preserve">  'Balance Sheet'!Z$21</f>
        <v>1440072.5409377853</v>
      </c>
      <c r="AA23" s="4">
        <f ca="1" xml:space="preserve">  'Balance Sheet'!AA$21</f>
        <v>1329821.7545988406</v>
      </c>
      <c r="AB23" s="4">
        <f ca="1" xml:space="preserve">  'Balance Sheet'!AB$21</f>
        <v>1034600.193600508</v>
      </c>
      <c r="AC23" s="4">
        <f ca="1" xml:space="preserve">  'Balance Sheet'!AC$21</f>
        <v>2429604.6392959668</v>
      </c>
      <c r="AD23" s="4">
        <f ca="1" xml:space="preserve">  'Balance Sheet'!AD$21</f>
        <v>2427819.784672705</v>
      </c>
      <c r="AE23" s="4">
        <f ca="1" xml:space="preserve">  'Balance Sheet'!AE$21</f>
        <v>2243929.7328504771</v>
      </c>
      <c r="AF23" s="4">
        <f ca="1" xml:space="preserve">  'Balance Sheet'!AF$21</f>
        <v>1904580.259753884</v>
      </c>
      <c r="AG23" s="4">
        <f ca="1" xml:space="preserve">  'Balance Sheet'!AG$21</f>
        <v>2861281.3978045508</v>
      </c>
      <c r="AH23" s="4">
        <f ca="1" xml:space="preserve">  'Balance Sheet'!AH$21</f>
        <v>2617190.8824696108</v>
      </c>
      <c r="AI23" s="4">
        <f ca="1" xml:space="preserve">  'Balance Sheet'!AI$21</f>
        <v>3603882.583727289</v>
      </c>
      <c r="AJ23" s="4">
        <f ca="1" xml:space="preserve">  'Balance Sheet'!AJ$21</f>
        <v>3276248.1910989285</v>
      </c>
      <c r="AK23" s="4">
        <f ca="1" xml:space="preserve">  'Balance Sheet'!AK$21</f>
        <v>3826318.2203058172</v>
      </c>
      <c r="AL23" s="4">
        <f ca="1" xml:space="preserve">  'Balance Sheet'!AL$21</f>
        <v>4012594.726650537</v>
      </c>
      <c r="AM23" s="4">
        <f ca="1" xml:space="preserve">  'Balance Sheet'!AM$21</f>
        <v>3560839.9985644948</v>
      </c>
      <c r="AN23" s="4">
        <f ca="1" xml:space="preserve">  'Balance Sheet'!AN$21</f>
        <v>4272727.3270373149</v>
      </c>
      <c r="AO23" s="4">
        <f ca="1" xml:space="preserve">  'Balance Sheet'!AO$21</f>
        <v>5143352.1916643213</v>
      </c>
      <c r="AP23" s="4">
        <f ca="1" xml:space="preserve">  'Balance Sheet'!AP$21</f>
        <v>5479558.2255938333</v>
      </c>
      <c r="AQ23" s="4">
        <f ca="1" xml:space="preserve">  'Balance Sheet'!AQ$21</f>
        <v>5594778.875569961</v>
      </c>
      <c r="AR23" s="4">
        <f ca="1" xml:space="preserve">  'Balance Sheet'!AR$21</f>
        <v>5267878.808536537</v>
      </c>
      <c r="AS23" s="4">
        <f ca="1" xml:space="preserve">  'Balance Sheet'!AS$21</f>
        <v>6862740.3296481175</v>
      </c>
      <c r="AT23" s="4">
        <f ca="1" xml:space="preserve">  'Balance Sheet'!AT$21</f>
        <v>6944044.0019749412</v>
      </c>
      <c r="AU23" s="4">
        <f ca="1" xml:space="preserve">  'Balance Sheet'!AU$21</f>
        <v>6757160.4182225335</v>
      </c>
      <c r="AV23" s="4">
        <f ca="1" xml:space="preserve">  'Balance Sheet'!AV$21</f>
        <v>7482764.0264993608</v>
      </c>
      <c r="AW23" s="4">
        <f ca="1" xml:space="preserve">  'Balance Sheet'!AW$21</f>
        <v>7618052.3640835211</v>
      </c>
      <c r="AX23" s="4">
        <f ca="1" xml:space="preserve">  'Balance Sheet'!AX$21</f>
        <v>8402368.9312457871</v>
      </c>
      <c r="AY23" s="4">
        <f ca="1" xml:space="preserve">  'Balance Sheet'!AY$21</f>
        <v>7889985.3247936266</v>
      </c>
      <c r="AZ23" s="4">
        <f ca="1" xml:space="preserve">  'Balance Sheet'!AZ$21</f>
        <v>9687089.7844464816</v>
      </c>
      <c r="BA23" s="4">
        <f ca="1" xml:space="preserve">  'Balance Sheet'!BA$21</f>
        <v>10741983.058895493</v>
      </c>
      <c r="BB23" s="4">
        <f ca="1" xml:space="preserve">  'Balance Sheet'!BB$21</f>
        <v>11047452.575356521</v>
      </c>
      <c r="BC23" s="4">
        <f ca="1" xml:space="preserve">  'Balance Sheet'!BC$21</f>
        <v>11956820.44719971</v>
      </c>
      <c r="BD23" s="4">
        <f ca="1" xml:space="preserve">  'Balance Sheet'!BD$21</f>
        <v>12993866.974688549</v>
      </c>
      <c r="BE23" s="4">
        <f ca="1" xml:space="preserve">  'Balance Sheet'!BE$21</f>
        <v>13224027.423368616</v>
      </c>
      <c r="BF23" s="4">
        <f ca="1" xml:space="preserve">  'Balance Sheet'!BF$21</f>
        <v>14128336.181687195</v>
      </c>
      <c r="BG23" s="4">
        <f ca="1" xml:space="preserve">  'Balance Sheet'!BG$21</f>
        <v>15169255.929210344</v>
      </c>
      <c r="BH23" s="4">
        <f ca="1" xml:space="preserve">  'Balance Sheet'!BH$21</f>
        <v>16288156.375198897</v>
      </c>
      <c r="BI23" s="4">
        <f ca="1" xml:space="preserve">  'Balance Sheet'!BI$21</f>
        <v>15400264.291090559</v>
      </c>
      <c r="BJ23" s="4">
        <f ca="1" xml:space="preserve">  'Balance Sheet'!BJ$21</f>
        <v>17295453.729107738</v>
      </c>
      <c r="BK23" s="4">
        <f ca="1" xml:space="preserve">  'Balance Sheet'!BK$21</f>
        <v>17115232.434675887</v>
      </c>
      <c r="BL23" s="4">
        <f ca="1" xml:space="preserve">  'Balance Sheet'!BL$21</f>
        <v>19018205.826546405</v>
      </c>
      <c r="BM23" s="4">
        <f ca="1" xml:space="preserve">  'Balance Sheet'!BM$21</f>
        <v>20932086.8417328</v>
      </c>
      <c r="BN23" s="4">
        <f ca="1" xml:space="preserve">  'Balance Sheet'!BN$21</f>
        <v>20660215.678178649</v>
      </c>
      <c r="BO23" s="4">
        <f ca="1" xml:space="preserve">  'Balance Sheet'!BO$21</f>
        <v>22604434.141003203</v>
      </c>
      <c r="BP23" s="4">
        <f ca="1" xml:space="preserve">  'Balance Sheet'!BP$21</f>
        <v>24571739.127162591</v>
      </c>
      <c r="BQ23" s="4">
        <f ca="1" xml:space="preserve">  'Balance Sheet'!BQ$21</f>
        <v>24217395.9562007</v>
      </c>
    </row>
    <row r="24" spans="1:69" outlineLevel="1">
      <c r="A24" s="36"/>
      <c r="B24" s="36"/>
      <c r="C24" s="65"/>
      <c r="D24" s="64"/>
      <c r="E24" s="21" t="s">
        <v>278</v>
      </c>
      <c r="F24" s="21"/>
      <c r="G24" s="21" t="s">
        <v>252</v>
      </c>
      <c r="H24" s="21"/>
      <c r="I24" s="21"/>
      <c r="J24" s="3">
        <f t="shared" ref="J24:BQ24" ca="1" si="3" xml:space="preserve">  J22 - J23</f>
        <v>-52200</v>
      </c>
      <c r="K24" s="3">
        <f t="shared" ca="1" si="3"/>
        <v>-113294.92250913591</v>
      </c>
      <c r="L24" s="3">
        <f t="shared" ca="1" si="3"/>
        <v>-174788.92979549034</v>
      </c>
      <c r="M24" s="3">
        <f t="shared" ca="1" si="3"/>
        <v>-237820.70367627172</v>
      </c>
      <c r="N24" s="3">
        <f t="shared" ca="1" si="3"/>
        <v>-301327.7679350425</v>
      </c>
      <c r="O24" s="3">
        <f t="shared" ca="1" si="3"/>
        <v>-365325.20976966218</v>
      </c>
      <c r="P24" s="3">
        <f t="shared" ca="1" si="3"/>
        <v>-430986.18750894646</v>
      </c>
      <c r="Q24" s="3">
        <f t="shared" ca="1" si="3"/>
        <v>-455307.53634494334</v>
      </c>
      <c r="R24" s="3">
        <f t="shared" ca="1" si="3"/>
        <v>-471189.75361196895</v>
      </c>
      <c r="S24" s="3">
        <f t="shared" ca="1" si="3"/>
        <v>-488198.20161444182</v>
      </c>
      <c r="T24" s="3">
        <f t="shared" ca="1" si="3"/>
        <v>-505795.60480860859</v>
      </c>
      <c r="U24" s="3">
        <f t="shared" ca="1" si="3"/>
        <v>-524092.80616935919</v>
      </c>
      <c r="V24" s="3">
        <f t="shared" ca="1" si="3"/>
        <v>-544249.69405418169</v>
      </c>
      <c r="W24" s="3">
        <f t="shared" ca="1" si="3"/>
        <v>-520599.38023444253</v>
      </c>
      <c r="X24" s="3">
        <f t="shared" ca="1" si="3"/>
        <v>-490810.77721444704</v>
      </c>
      <c r="Y24" s="3">
        <f t="shared" ca="1" si="3"/>
        <v>-463099.86069975677</v>
      </c>
      <c r="Z24" s="3">
        <f t="shared" ca="1" si="3"/>
        <v>-436322.0683294225</v>
      </c>
      <c r="AA24" s="3">
        <f t="shared" ca="1" si="3"/>
        <v>-418966.50193450938</v>
      </c>
      <c r="AB24" s="3">
        <f t="shared" ca="1" si="3"/>
        <v>-403862.77255332947</v>
      </c>
      <c r="AC24" s="3">
        <f t="shared" ca="1" si="3"/>
        <v>-343141.28787617013</v>
      </c>
      <c r="AD24" s="3">
        <f t="shared" ca="1" si="3"/>
        <v>-291303.52951702429</v>
      </c>
      <c r="AE24" s="3">
        <f t="shared" ca="1" si="3"/>
        <v>-249920.04921231605</v>
      </c>
      <c r="AF24" s="3">
        <f t="shared" ca="1" si="3"/>
        <v>-209427.2680004721</v>
      </c>
      <c r="AG24" s="3">
        <f t="shared" ca="1" si="3"/>
        <v>-122013.92081704643</v>
      </c>
      <c r="AH24" s="3">
        <f t="shared" ca="1" si="3"/>
        <v>-55160.625525048468</v>
      </c>
      <c r="AI24" s="3">
        <f t="shared" ca="1" si="3"/>
        <v>15419.541160157882</v>
      </c>
      <c r="AJ24" s="3">
        <f t="shared" ca="1" si="3"/>
        <v>81544.340408759192</v>
      </c>
      <c r="AK24" s="3">
        <f t="shared" ca="1" si="3"/>
        <v>198803.43393082451</v>
      </c>
      <c r="AL24" s="3">
        <f t="shared" ca="1" si="3"/>
        <v>320485.63717737887</v>
      </c>
      <c r="AM24" s="3">
        <f t="shared" ca="1" si="3"/>
        <v>438462.07065904792</v>
      </c>
      <c r="AN24" s="3">
        <f t="shared" ca="1" si="3"/>
        <v>608324.24367098324</v>
      </c>
      <c r="AO24" s="3">
        <f t="shared" ca="1" si="3"/>
        <v>783525.89701385796</v>
      </c>
      <c r="AP24" s="3">
        <f t="shared" ca="1" si="3"/>
        <v>1003782.2953305198</v>
      </c>
      <c r="AQ24" s="3">
        <f t="shared" ca="1" si="3"/>
        <v>1228812.9405455468</v>
      </c>
      <c r="AR24" s="3">
        <f t="shared" ca="1" si="3"/>
        <v>1451932.3518033689</v>
      </c>
      <c r="AS24" s="3">
        <f t="shared" ca="1" si="3"/>
        <v>1729637.4415939068</v>
      </c>
      <c r="AT24" s="3">
        <f t="shared" ca="1" si="3"/>
        <v>2004862.741468857</v>
      </c>
      <c r="AU24" s="3">
        <f t="shared" ca="1" si="3"/>
        <v>2278987.3008378129</v>
      </c>
      <c r="AV24" s="3">
        <f t="shared" ca="1" si="3"/>
        <v>2609102.6780487224</v>
      </c>
      <c r="AW24" s="3">
        <f t="shared" ca="1" si="3"/>
        <v>2937868.9552949816</v>
      </c>
      <c r="AX24" s="3">
        <f t="shared" ca="1" si="3"/>
        <v>3314964.912466161</v>
      </c>
      <c r="AY24" s="3">
        <f t="shared" ca="1" si="3"/>
        <v>3701558.7708926043</v>
      </c>
      <c r="AZ24" s="3">
        <f t="shared" ca="1" si="3"/>
        <v>4136336.8311913256</v>
      </c>
      <c r="BA24" s="3">
        <f t="shared" ca="1" si="3"/>
        <v>4621283.9380210731</v>
      </c>
      <c r="BB24" s="3">
        <f t="shared" ca="1" si="3"/>
        <v>5108786.3336179405</v>
      </c>
      <c r="BC24" s="3">
        <f t="shared" ca="1" si="3"/>
        <v>5646338.8407885134</v>
      </c>
      <c r="BD24" s="3">
        <f t="shared" ca="1" si="3"/>
        <v>6236547.2887613475</v>
      </c>
      <c r="BE24" s="3">
        <f t="shared" ca="1" si="3"/>
        <v>6831417.5458162744</v>
      </c>
      <c r="BF24" s="3">
        <f t="shared" ca="1" si="3"/>
        <v>7474458.4622393809</v>
      </c>
      <c r="BG24" s="3">
        <f t="shared" ca="1" si="3"/>
        <v>8176469.768348014</v>
      </c>
      <c r="BH24" s="3">
        <f t="shared" ca="1" si="3"/>
        <v>8938907.7648204491</v>
      </c>
      <c r="BI24" s="3">
        <f t="shared" ca="1" si="3"/>
        <v>9761393.6848637536</v>
      </c>
      <c r="BJ24" s="3">
        <f t="shared" ca="1" si="3"/>
        <v>10646511.757170189</v>
      </c>
      <c r="BK24" s="3">
        <f t="shared" ca="1" si="3"/>
        <v>11595988.624808423</v>
      </c>
      <c r="BL24" s="3">
        <f t="shared" ca="1" si="3"/>
        <v>12609579.327820271</v>
      </c>
      <c r="BM24" s="3">
        <f t="shared" ca="1" si="3"/>
        <v>13690530.124602422</v>
      </c>
      <c r="BN24" s="3">
        <f t="shared" ca="1" si="3"/>
        <v>14840181.367642488</v>
      </c>
      <c r="BO24" s="3">
        <f t="shared" ca="1" si="3"/>
        <v>16058808.976432573</v>
      </c>
      <c r="BP24" s="3">
        <f t="shared" ca="1" si="3"/>
        <v>17350655.9662925</v>
      </c>
      <c r="BQ24" s="3">
        <f t="shared" ca="1" si="3"/>
        <v>18716388.842557337</v>
      </c>
    </row>
    <row r="27" spans="1:69">
      <c r="B27" s="27" t="s">
        <v>35</v>
      </c>
    </row>
    <row r="28" spans="1:69" outlineLevel="1">
      <c r="E28" s="2" t="str">
        <f t="shared" ref="E28:BQ28" si="4" xml:space="preserve">  E$38</f>
        <v>Retained Earnings</v>
      </c>
      <c r="F28" s="2">
        <f t="shared" si="4"/>
        <v>0</v>
      </c>
      <c r="G28" s="2" t="str">
        <f t="shared" si="4"/>
        <v>GBP</v>
      </c>
      <c r="H28" s="2">
        <f t="shared" si="4"/>
        <v>0</v>
      </c>
      <c r="I28" s="2">
        <f t="shared" si="4"/>
        <v>0</v>
      </c>
      <c r="J28" s="2">
        <f t="shared" ca="1" si="4"/>
        <v>-52200</v>
      </c>
      <c r="K28" s="2">
        <f t="shared" ca="1" si="4"/>
        <v>-113294.92250913588</v>
      </c>
      <c r="L28" s="2">
        <f t="shared" ca="1" si="4"/>
        <v>-174788.92979549034</v>
      </c>
      <c r="M28" s="2">
        <f t="shared" ca="1" si="4"/>
        <v>-237820.70367627169</v>
      </c>
      <c r="N28" s="2">
        <f t="shared" ca="1" si="4"/>
        <v>-301327.7679350425</v>
      </c>
      <c r="O28" s="2">
        <f t="shared" ca="1" si="4"/>
        <v>-365325.20976966212</v>
      </c>
      <c r="P28" s="2">
        <f t="shared" ca="1" si="4"/>
        <v>-430986.1875089464</v>
      </c>
      <c r="Q28" s="2">
        <f t="shared" ca="1" si="4"/>
        <v>-455307.53634494345</v>
      </c>
      <c r="R28" s="2">
        <f t="shared" ca="1" si="4"/>
        <v>-471189.75361196895</v>
      </c>
      <c r="S28" s="2">
        <f t="shared" ca="1" si="4"/>
        <v>-488198.20161444182</v>
      </c>
      <c r="T28" s="2">
        <f t="shared" ca="1" si="4"/>
        <v>-505795.60480860854</v>
      </c>
      <c r="U28" s="2">
        <f t="shared" ca="1" si="4"/>
        <v>-524092.80616935901</v>
      </c>
      <c r="V28" s="2">
        <f t="shared" ca="1" si="4"/>
        <v>-544249.69405418157</v>
      </c>
      <c r="W28" s="2">
        <f t="shared" ca="1" si="4"/>
        <v>-520599.38023444271</v>
      </c>
      <c r="X28" s="2">
        <f t="shared" ca="1" si="4"/>
        <v>-490810.77721444675</v>
      </c>
      <c r="Y28" s="2">
        <f t="shared" ca="1" si="4"/>
        <v>-463099.86069975654</v>
      </c>
      <c r="Z28" s="2">
        <f t="shared" ca="1" si="4"/>
        <v>-436322.06832942209</v>
      </c>
      <c r="AA28" s="2">
        <f t="shared" ca="1" si="4"/>
        <v>-418966.50193450914</v>
      </c>
      <c r="AB28" s="2">
        <f t="shared" ca="1" si="4"/>
        <v>-403862.77255332906</v>
      </c>
      <c r="AC28" s="2">
        <f t="shared" ca="1" si="4"/>
        <v>-343141.28787616937</v>
      </c>
      <c r="AD28" s="2">
        <f t="shared" ca="1" si="4"/>
        <v>-291303.52951702388</v>
      </c>
      <c r="AE28" s="2">
        <f t="shared" ca="1" si="4"/>
        <v>-249920.04921231579</v>
      </c>
      <c r="AF28" s="2">
        <f t="shared" ca="1" si="4"/>
        <v>-209427.26800047196</v>
      </c>
      <c r="AG28" s="2">
        <f t="shared" ca="1" si="4"/>
        <v>-122013.92081704651</v>
      </c>
      <c r="AH28" s="2">
        <f t="shared" ca="1" si="4"/>
        <v>-55160.625525048381</v>
      </c>
      <c r="AI28" s="2">
        <f t="shared" ca="1" si="4"/>
        <v>15419.541160158347</v>
      </c>
      <c r="AJ28" s="2">
        <f t="shared" ca="1" si="4"/>
        <v>81544.340408759512</v>
      </c>
      <c r="AK28" s="2">
        <f t="shared" ca="1" si="4"/>
        <v>198803.43393082428</v>
      </c>
      <c r="AL28" s="2">
        <f t="shared" ca="1" si="4"/>
        <v>320485.63717737759</v>
      </c>
      <c r="AM28" s="2">
        <f t="shared" ca="1" si="4"/>
        <v>438462.07065904653</v>
      </c>
      <c r="AN28" s="2">
        <f t="shared" ca="1" si="4"/>
        <v>608324.24367098208</v>
      </c>
      <c r="AO28" s="2">
        <f t="shared" ca="1" si="4"/>
        <v>783525.89701385703</v>
      </c>
      <c r="AP28" s="2">
        <f t="shared" ca="1" si="4"/>
        <v>1003782.2953305185</v>
      </c>
      <c r="AQ28" s="2">
        <f t="shared" ca="1" si="4"/>
        <v>1228812.9405455473</v>
      </c>
      <c r="AR28" s="2">
        <f t="shared" ca="1" si="4"/>
        <v>1451932.3518033694</v>
      </c>
      <c r="AS28" s="2">
        <f t="shared" ca="1" si="4"/>
        <v>1729637.4415939085</v>
      </c>
      <c r="AT28" s="2">
        <f t="shared" ca="1" si="4"/>
        <v>2004862.741468858</v>
      </c>
      <c r="AU28" s="2">
        <f t="shared" ca="1" si="4"/>
        <v>2278987.3008378148</v>
      </c>
      <c r="AV28" s="2">
        <f t="shared" ca="1" si="4"/>
        <v>2609102.6780487243</v>
      </c>
      <c r="AW28" s="2">
        <f t="shared" ca="1" si="4"/>
        <v>2937868.9552949821</v>
      </c>
      <c r="AX28" s="2">
        <f t="shared" ca="1" si="4"/>
        <v>3314964.9124661624</v>
      </c>
      <c r="AY28" s="2">
        <f t="shared" ca="1" si="4"/>
        <v>3701558.7708926075</v>
      </c>
      <c r="AZ28" s="2">
        <f t="shared" ca="1" si="4"/>
        <v>4136336.8311913284</v>
      </c>
      <c r="BA28" s="2">
        <f t="shared" ca="1" si="4"/>
        <v>4621283.9380210768</v>
      </c>
      <c r="BB28" s="2">
        <f t="shared" ca="1" si="4"/>
        <v>5108786.3336179443</v>
      </c>
      <c r="BC28" s="2">
        <f t="shared" ca="1" si="4"/>
        <v>5646338.8407885162</v>
      </c>
      <c r="BD28" s="2">
        <f t="shared" ca="1" si="4"/>
        <v>6236547.2887613494</v>
      </c>
      <c r="BE28" s="2">
        <f t="shared" ca="1" si="4"/>
        <v>6831417.5458162762</v>
      </c>
      <c r="BF28" s="2">
        <f t="shared" ca="1" si="4"/>
        <v>7474458.4622393819</v>
      </c>
      <c r="BG28" s="2">
        <f t="shared" ca="1" si="4"/>
        <v>8176469.7683480149</v>
      </c>
      <c r="BH28" s="2">
        <f t="shared" ca="1" si="4"/>
        <v>8938907.7648204528</v>
      </c>
      <c r="BI28" s="2">
        <f t="shared" ca="1" si="4"/>
        <v>9761393.6848637499</v>
      </c>
      <c r="BJ28" s="2">
        <f t="shared" ca="1" si="4"/>
        <v>10646511.757170189</v>
      </c>
      <c r="BK28" s="2">
        <f t="shared" ca="1" si="4"/>
        <v>11595988.624808421</v>
      </c>
      <c r="BL28" s="2">
        <f t="shared" ca="1" si="4"/>
        <v>12609579.327820268</v>
      </c>
      <c r="BM28" s="2">
        <f t="shared" ca="1" si="4"/>
        <v>13690530.124602413</v>
      </c>
      <c r="BN28" s="2">
        <f t="shared" ca="1" si="4"/>
        <v>14840181.367642488</v>
      </c>
      <c r="BO28" s="2">
        <f t="shared" ca="1" si="4"/>
        <v>16058808.976432571</v>
      </c>
      <c r="BP28" s="2">
        <f t="shared" ca="1" si="4"/>
        <v>17350655.966292497</v>
      </c>
      <c r="BQ28" s="2">
        <f t="shared" ca="1" si="4"/>
        <v>18716388.84255733</v>
      </c>
    </row>
    <row r="29" spans="1:69" outlineLevel="1">
      <c r="A29" s="18"/>
      <c r="B29" s="18"/>
      <c r="C29" s="30"/>
      <c r="D29" s="31"/>
      <c r="E29" s="4" t="str">
        <f xml:space="preserve">  Equity!E$13</f>
        <v>Share Capital</v>
      </c>
      <c r="F29" s="4">
        <f xml:space="preserve">  Equity!F$13</f>
        <v>0</v>
      </c>
      <c r="G29" s="4" t="str">
        <f xml:space="preserve">  Equity!G$13</f>
        <v>GBP</v>
      </c>
      <c r="H29" s="4">
        <f xml:space="preserve">  Equity!H$13</f>
        <v>0</v>
      </c>
      <c r="I29" s="4">
        <f xml:space="preserve">  Equity!I$13</f>
        <v>0</v>
      </c>
      <c r="J29" s="4">
        <f xml:space="preserve">  Equity!J$13</f>
        <v>0</v>
      </c>
      <c r="K29" s="4">
        <f xml:space="preserve">  Equity!K$13</f>
        <v>0</v>
      </c>
      <c r="L29" s="4">
        <f xml:space="preserve">  Equity!L$13</f>
        <v>0</v>
      </c>
      <c r="M29" s="4">
        <f xml:space="preserve">  Equity!M$13</f>
        <v>0</v>
      </c>
      <c r="N29" s="4">
        <f xml:space="preserve">  Equity!N$13</f>
        <v>0</v>
      </c>
      <c r="O29" s="4">
        <f xml:space="preserve">  Equity!O$13</f>
        <v>0</v>
      </c>
      <c r="P29" s="4">
        <f xml:space="preserve">  Equity!P$13</f>
        <v>0</v>
      </c>
      <c r="Q29" s="4">
        <f xml:space="preserve">  Equity!Q$13</f>
        <v>0</v>
      </c>
      <c r="R29" s="4">
        <f xml:space="preserve">  Equity!R$13</f>
        <v>0</v>
      </c>
      <c r="S29" s="4">
        <f xml:space="preserve">  Equity!S$13</f>
        <v>0</v>
      </c>
      <c r="T29" s="4">
        <f xml:space="preserve">  Equity!T$13</f>
        <v>0</v>
      </c>
      <c r="U29" s="4">
        <f xml:space="preserve">  Equity!U$13</f>
        <v>0</v>
      </c>
      <c r="V29" s="4">
        <f xml:space="preserve">  Equity!V$13</f>
        <v>0</v>
      </c>
      <c r="W29" s="4">
        <f xml:space="preserve">  Equity!W$13</f>
        <v>0</v>
      </c>
      <c r="X29" s="4">
        <f xml:space="preserve">  Equity!X$13</f>
        <v>0</v>
      </c>
      <c r="Y29" s="4">
        <f xml:space="preserve">  Equity!Y$13</f>
        <v>0</v>
      </c>
      <c r="Z29" s="4">
        <f xml:space="preserve">  Equity!Z$13</f>
        <v>0</v>
      </c>
      <c r="AA29" s="4">
        <f xml:space="preserve">  Equity!AA$13</f>
        <v>0</v>
      </c>
      <c r="AB29" s="4">
        <f xml:space="preserve">  Equity!AB$13</f>
        <v>0</v>
      </c>
      <c r="AC29" s="4">
        <f xml:space="preserve">  Equity!AC$13</f>
        <v>0</v>
      </c>
      <c r="AD29" s="4">
        <f xml:space="preserve">  Equity!AD$13</f>
        <v>0</v>
      </c>
      <c r="AE29" s="4">
        <f xml:space="preserve">  Equity!AE$13</f>
        <v>0</v>
      </c>
      <c r="AF29" s="4">
        <f xml:space="preserve">  Equity!AF$13</f>
        <v>0</v>
      </c>
      <c r="AG29" s="4">
        <f xml:space="preserve">  Equity!AG$13</f>
        <v>0</v>
      </c>
      <c r="AH29" s="4">
        <f xml:space="preserve">  Equity!AH$13</f>
        <v>0</v>
      </c>
      <c r="AI29" s="4">
        <f xml:space="preserve">  Equity!AI$13</f>
        <v>0</v>
      </c>
      <c r="AJ29" s="4">
        <f xml:space="preserve">  Equity!AJ$13</f>
        <v>0</v>
      </c>
      <c r="AK29" s="4">
        <f xml:space="preserve">  Equity!AK$13</f>
        <v>0</v>
      </c>
      <c r="AL29" s="4">
        <f xml:space="preserve">  Equity!AL$13</f>
        <v>0</v>
      </c>
      <c r="AM29" s="4">
        <f xml:space="preserve">  Equity!AM$13</f>
        <v>0</v>
      </c>
      <c r="AN29" s="4">
        <f xml:space="preserve">  Equity!AN$13</f>
        <v>0</v>
      </c>
      <c r="AO29" s="4">
        <f xml:space="preserve">  Equity!AO$13</f>
        <v>0</v>
      </c>
      <c r="AP29" s="4">
        <f xml:space="preserve">  Equity!AP$13</f>
        <v>0</v>
      </c>
      <c r="AQ29" s="4">
        <f xml:space="preserve">  Equity!AQ$13</f>
        <v>0</v>
      </c>
      <c r="AR29" s="4">
        <f xml:space="preserve">  Equity!AR$13</f>
        <v>0</v>
      </c>
      <c r="AS29" s="4">
        <f xml:space="preserve">  Equity!AS$13</f>
        <v>0</v>
      </c>
      <c r="AT29" s="4">
        <f xml:space="preserve">  Equity!AT$13</f>
        <v>0</v>
      </c>
      <c r="AU29" s="4">
        <f xml:space="preserve">  Equity!AU$13</f>
        <v>0</v>
      </c>
      <c r="AV29" s="4">
        <f xml:space="preserve">  Equity!AV$13</f>
        <v>0</v>
      </c>
      <c r="AW29" s="4">
        <f xml:space="preserve">  Equity!AW$13</f>
        <v>0</v>
      </c>
      <c r="AX29" s="4">
        <f xml:space="preserve">  Equity!AX$13</f>
        <v>0</v>
      </c>
      <c r="AY29" s="4">
        <f xml:space="preserve">  Equity!AY$13</f>
        <v>0</v>
      </c>
      <c r="AZ29" s="4">
        <f xml:space="preserve">  Equity!AZ$13</f>
        <v>0</v>
      </c>
      <c r="BA29" s="4">
        <f xml:space="preserve">  Equity!BA$13</f>
        <v>0</v>
      </c>
      <c r="BB29" s="4">
        <f xml:space="preserve">  Equity!BB$13</f>
        <v>0</v>
      </c>
      <c r="BC29" s="4">
        <f xml:space="preserve">  Equity!BC$13</f>
        <v>0</v>
      </c>
      <c r="BD29" s="4">
        <f xml:space="preserve">  Equity!BD$13</f>
        <v>0</v>
      </c>
      <c r="BE29" s="4">
        <f xml:space="preserve">  Equity!BE$13</f>
        <v>0</v>
      </c>
      <c r="BF29" s="4">
        <f xml:space="preserve">  Equity!BF$13</f>
        <v>0</v>
      </c>
      <c r="BG29" s="4">
        <f xml:space="preserve">  Equity!BG$13</f>
        <v>0</v>
      </c>
      <c r="BH29" s="4">
        <f xml:space="preserve">  Equity!BH$13</f>
        <v>0</v>
      </c>
      <c r="BI29" s="4">
        <f xml:space="preserve">  Equity!BI$13</f>
        <v>0</v>
      </c>
      <c r="BJ29" s="4">
        <f xml:space="preserve">  Equity!BJ$13</f>
        <v>0</v>
      </c>
      <c r="BK29" s="4">
        <f xml:space="preserve">  Equity!BK$13</f>
        <v>0</v>
      </c>
      <c r="BL29" s="4">
        <f xml:space="preserve">  Equity!BL$13</f>
        <v>0</v>
      </c>
      <c r="BM29" s="4">
        <f xml:space="preserve">  Equity!BM$13</f>
        <v>0</v>
      </c>
      <c r="BN29" s="4">
        <f xml:space="preserve">  Equity!BN$13</f>
        <v>0</v>
      </c>
      <c r="BO29" s="4">
        <f xml:space="preserve">  Equity!BO$13</f>
        <v>0</v>
      </c>
      <c r="BP29" s="4">
        <f xml:space="preserve">  Equity!BP$13</f>
        <v>0</v>
      </c>
      <c r="BQ29" s="4">
        <f xml:space="preserve">  Equity!BQ$13</f>
        <v>0</v>
      </c>
    </row>
    <row r="30" spans="1:69" outlineLevel="1">
      <c r="A30" s="36"/>
      <c r="B30" s="36"/>
      <c r="C30" s="65"/>
      <c r="D30" s="64"/>
      <c r="E30" s="21" t="s">
        <v>35</v>
      </c>
      <c r="F30" s="21"/>
      <c r="G30" s="21" t="s">
        <v>252</v>
      </c>
      <c r="H30" s="21"/>
      <c r="I30" s="21"/>
      <c r="J30" s="3">
        <f t="shared" ref="J30:BQ30" ca="1" si="5" xml:space="preserve">  J28 + J29</f>
        <v>-52200</v>
      </c>
      <c r="K30" s="3">
        <f t="shared" ca="1" si="5"/>
        <v>-113294.92250913588</v>
      </c>
      <c r="L30" s="3">
        <f t="shared" ca="1" si="5"/>
        <v>-174788.92979549034</v>
      </c>
      <c r="M30" s="3">
        <f t="shared" ca="1" si="5"/>
        <v>-237820.70367627169</v>
      </c>
      <c r="N30" s="3">
        <f t="shared" ca="1" si="5"/>
        <v>-301327.7679350425</v>
      </c>
      <c r="O30" s="3">
        <f t="shared" ca="1" si="5"/>
        <v>-365325.20976966212</v>
      </c>
      <c r="P30" s="3">
        <f t="shared" ca="1" si="5"/>
        <v>-430986.1875089464</v>
      </c>
      <c r="Q30" s="3">
        <f t="shared" ca="1" si="5"/>
        <v>-455307.53634494345</v>
      </c>
      <c r="R30" s="3">
        <f t="shared" ca="1" si="5"/>
        <v>-471189.75361196895</v>
      </c>
      <c r="S30" s="3">
        <f t="shared" ca="1" si="5"/>
        <v>-488198.20161444182</v>
      </c>
      <c r="T30" s="3">
        <f t="shared" ca="1" si="5"/>
        <v>-505795.60480860854</v>
      </c>
      <c r="U30" s="3">
        <f t="shared" ca="1" si="5"/>
        <v>-524092.80616935901</v>
      </c>
      <c r="V30" s="3">
        <f t="shared" ca="1" si="5"/>
        <v>-544249.69405418157</v>
      </c>
      <c r="W30" s="3">
        <f t="shared" ca="1" si="5"/>
        <v>-520599.38023444271</v>
      </c>
      <c r="X30" s="3">
        <f t="shared" ca="1" si="5"/>
        <v>-490810.77721444675</v>
      </c>
      <c r="Y30" s="3">
        <f t="shared" ca="1" si="5"/>
        <v>-463099.86069975654</v>
      </c>
      <c r="Z30" s="3">
        <f t="shared" ca="1" si="5"/>
        <v>-436322.06832942209</v>
      </c>
      <c r="AA30" s="3">
        <f t="shared" ca="1" si="5"/>
        <v>-418966.50193450914</v>
      </c>
      <c r="AB30" s="3">
        <f t="shared" ca="1" si="5"/>
        <v>-403862.77255332906</v>
      </c>
      <c r="AC30" s="3">
        <f t="shared" ca="1" si="5"/>
        <v>-343141.28787616937</v>
      </c>
      <c r="AD30" s="3">
        <f t="shared" ca="1" si="5"/>
        <v>-291303.52951702388</v>
      </c>
      <c r="AE30" s="3">
        <f t="shared" ca="1" si="5"/>
        <v>-249920.04921231579</v>
      </c>
      <c r="AF30" s="3">
        <f t="shared" ca="1" si="5"/>
        <v>-209427.26800047196</v>
      </c>
      <c r="AG30" s="3">
        <f t="shared" ca="1" si="5"/>
        <v>-122013.92081704651</v>
      </c>
      <c r="AH30" s="3">
        <f t="shared" ca="1" si="5"/>
        <v>-55160.625525048381</v>
      </c>
      <c r="AI30" s="3">
        <f t="shared" ca="1" si="5"/>
        <v>15419.541160158347</v>
      </c>
      <c r="AJ30" s="3">
        <f t="shared" ca="1" si="5"/>
        <v>81544.340408759512</v>
      </c>
      <c r="AK30" s="3">
        <f t="shared" ca="1" si="5"/>
        <v>198803.43393082428</v>
      </c>
      <c r="AL30" s="3">
        <f t="shared" ca="1" si="5"/>
        <v>320485.63717737759</v>
      </c>
      <c r="AM30" s="3">
        <f t="shared" ca="1" si="5"/>
        <v>438462.07065904653</v>
      </c>
      <c r="AN30" s="3">
        <f t="shared" ca="1" si="5"/>
        <v>608324.24367098208</v>
      </c>
      <c r="AO30" s="3">
        <f t="shared" ca="1" si="5"/>
        <v>783525.89701385703</v>
      </c>
      <c r="AP30" s="3">
        <f t="shared" ca="1" si="5"/>
        <v>1003782.2953305185</v>
      </c>
      <c r="AQ30" s="3">
        <f t="shared" ca="1" si="5"/>
        <v>1228812.9405455473</v>
      </c>
      <c r="AR30" s="3">
        <f t="shared" ca="1" si="5"/>
        <v>1451932.3518033694</v>
      </c>
      <c r="AS30" s="3">
        <f t="shared" ca="1" si="5"/>
        <v>1729637.4415939085</v>
      </c>
      <c r="AT30" s="3">
        <f t="shared" ca="1" si="5"/>
        <v>2004862.741468858</v>
      </c>
      <c r="AU30" s="3">
        <f t="shared" ca="1" si="5"/>
        <v>2278987.3008378148</v>
      </c>
      <c r="AV30" s="3">
        <f t="shared" ca="1" si="5"/>
        <v>2609102.6780487243</v>
      </c>
      <c r="AW30" s="3">
        <f t="shared" ca="1" si="5"/>
        <v>2937868.9552949821</v>
      </c>
      <c r="AX30" s="3">
        <f t="shared" ca="1" si="5"/>
        <v>3314964.9124661624</v>
      </c>
      <c r="AY30" s="3">
        <f t="shared" ca="1" si="5"/>
        <v>3701558.7708926075</v>
      </c>
      <c r="AZ30" s="3">
        <f t="shared" ca="1" si="5"/>
        <v>4136336.8311913284</v>
      </c>
      <c r="BA30" s="3">
        <f t="shared" ca="1" si="5"/>
        <v>4621283.9380210768</v>
      </c>
      <c r="BB30" s="3">
        <f t="shared" ca="1" si="5"/>
        <v>5108786.3336179443</v>
      </c>
      <c r="BC30" s="3">
        <f t="shared" ca="1" si="5"/>
        <v>5646338.8407885162</v>
      </c>
      <c r="BD30" s="3">
        <f t="shared" ca="1" si="5"/>
        <v>6236547.2887613494</v>
      </c>
      <c r="BE30" s="3">
        <f t="shared" ca="1" si="5"/>
        <v>6831417.5458162762</v>
      </c>
      <c r="BF30" s="3">
        <f t="shared" ca="1" si="5"/>
        <v>7474458.4622393819</v>
      </c>
      <c r="BG30" s="3">
        <f t="shared" ca="1" si="5"/>
        <v>8176469.7683480149</v>
      </c>
      <c r="BH30" s="3">
        <f t="shared" ca="1" si="5"/>
        <v>8938907.7648204528</v>
      </c>
      <c r="BI30" s="3">
        <f t="shared" ca="1" si="5"/>
        <v>9761393.6848637499</v>
      </c>
      <c r="BJ30" s="3">
        <f t="shared" ca="1" si="5"/>
        <v>10646511.757170189</v>
      </c>
      <c r="BK30" s="3">
        <f t="shared" ca="1" si="5"/>
        <v>11595988.624808421</v>
      </c>
      <c r="BL30" s="3">
        <f t="shared" ca="1" si="5"/>
        <v>12609579.327820268</v>
      </c>
      <c r="BM30" s="3">
        <f t="shared" ca="1" si="5"/>
        <v>13690530.124602413</v>
      </c>
      <c r="BN30" s="3">
        <f t="shared" ca="1" si="5"/>
        <v>14840181.367642488</v>
      </c>
      <c r="BO30" s="3">
        <f t="shared" ca="1" si="5"/>
        <v>16058808.976432571</v>
      </c>
      <c r="BP30" s="3">
        <f t="shared" ca="1" si="5"/>
        <v>17350655.966292497</v>
      </c>
      <c r="BQ30" s="3">
        <f t="shared" ca="1" si="5"/>
        <v>18716388.84255733</v>
      </c>
    </row>
    <row r="33" spans="1:69">
      <c r="B33" s="27" t="s">
        <v>12</v>
      </c>
    </row>
    <row r="34" spans="1:69" s="85" customFormat="1">
      <c r="A34" s="59"/>
      <c r="B34" s="59"/>
      <c r="C34" s="86"/>
      <c r="D34" s="84"/>
      <c r="E34" s="40" t="str">
        <f xml:space="preserve">  InpC!E$52</f>
        <v>Opening Retained Earnings</v>
      </c>
      <c r="F34" s="40">
        <f xml:space="preserve">  InpC!F$52</f>
        <v>0</v>
      </c>
      <c r="G34" s="40" t="str">
        <f xml:space="preserve">  InpC!G$52</f>
        <v>GBP</v>
      </c>
      <c r="M34" s="87"/>
    </row>
    <row r="35" spans="1:69">
      <c r="A35" s="18"/>
      <c r="B35" s="18"/>
      <c r="C35" s="30"/>
      <c r="D35" s="31"/>
      <c r="E35" s="10" t="str">
        <f xml:space="preserve">  Time!E$28</f>
        <v>Period number</v>
      </c>
      <c r="F35" s="10">
        <f xml:space="preserve">  Time!F$28</f>
        <v>0</v>
      </c>
      <c r="G35" s="10" t="str">
        <f xml:space="preserve">  Time!G$28</f>
        <v>Counter</v>
      </c>
      <c r="H35" s="10">
        <f xml:space="preserve">  Time!H$28</f>
        <v>0</v>
      </c>
      <c r="I35" s="10">
        <f xml:space="preserve">  Time!I$28</f>
        <v>0</v>
      </c>
      <c r="J35" s="10">
        <f xml:space="preserve">  Time!J$28</f>
        <v>1</v>
      </c>
      <c r="K35" s="10">
        <f xml:space="preserve">  Time!K$28</f>
        <v>2</v>
      </c>
      <c r="L35" s="10">
        <f xml:space="preserve">  Time!L$28</f>
        <v>3</v>
      </c>
      <c r="M35" s="10">
        <f xml:space="preserve">  Time!M$28</f>
        <v>4</v>
      </c>
      <c r="N35" s="10">
        <f xml:space="preserve">  Time!N$28</f>
        <v>5</v>
      </c>
      <c r="O35" s="10">
        <f xml:space="preserve">  Time!O$28</f>
        <v>6</v>
      </c>
      <c r="P35" s="10">
        <f xml:space="preserve">  Time!P$28</f>
        <v>7</v>
      </c>
      <c r="Q35" s="10">
        <f xml:space="preserve">  Time!Q$28</f>
        <v>8</v>
      </c>
      <c r="R35" s="10">
        <f xml:space="preserve">  Time!R$28</f>
        <v>9</v>
      </c>
      <c r="S35" s="10">
        <f xml:space="preserve">  Time!S$28</f>
        <v>10</v>
      </c>
      <c r="T35" s="10">
        <f xml:space="preserve">  Time!T$28</f>
        <v>11</v>
      </c>
      <c r="U35" s="10">
        <f xml:space="preserve">  Time!U$28</f>
        <v>12</v>
      </c>
      <c r="V35" s="10">
        <f xml:space="preserve">  Time!V$28</f>
        <v>13</v>
      </c>
      <c r="W35" s="10">
        <f xml:space="preserve">  Time!W$28</f>
        <v>14</v>
      </c>
      <c r="X35" s="10">
        <f xml:space="preserve">  Time!X$28</f>
        <v>15</v>
      </c>
      <c r="Y35" s="10">
        <f xml:space="preserve">  Time!Y$28</f>
        <v>16</v>
      </c>
      <c r="Z35" s="10">
        <f xml:space="preserve">  Time!Z$28</f>
        <v>17</v>
      </c>
      <c r="AA35" s="10">
        <f xml:space="preserve">  Time!AA$28</f>
        <v>18</v>
      </c>
      <c r="AB35" s="10">
        <f xml:space="preserve">  Time!AB$28</f>
        <v>19</v>
      </c>
      <c r="AC35" s="10">
        <f xml:space="preserve">  Time!AC$28</f>
        <v>20</v>
      </c>
      <c r="AD35" s="10">
        <f xml:space="preserve">  Time!AD$28</f>
        <v>21</v>
      </c>
      <c r="AE35" s="10">
        <f xml:space="preserve">  Time!AE$28</f>
        <v>22</v>
      </c>
      <c r="AF35" s="10">
        <f xml:space="preserve">  Time!AF$28</f>
        <v>23</v>
      </c>
      <c r="AG35" s="10">
        <f xml:space="preserve">  Time!AG$28</f>
        <v>24</v>
      </c>
      <c r="AH35" s="10">
        <f xml:space="preserve">  Time!AH$28</f>
        <v>25</v>
      </c>
      <c r="AI35" s="10">
        <f xml:space="preserve">  Time!AI$28</f>
        <v>26</v>
      </c>
      <c r="AJ35" s="10">
        <f xml:space="preserve">  Time!AJ$28</f>
        <v>27</v>
      </c>
      <c r="AK35" s="10">
        <f xml:space="preserve">  Time!AK$28</f>
        <v>28</v>
      </c>
      <c r="AL35" s="10">
        <f xml:space="preserve">  Time!AL$28</f>
        <v>29</v>
      </c>
      <c r="AM35" s="10">
        <f xml:space="preserve">  Time!AM$28</f>
        <v>30</v>
      </c>
      <c r="AN35" s="10">
        <f xml:space="preserve">  Time!AN$28</f>
        <v>31</v>
      </c>
      <c r="AO35" s="10">
        <f xml:space="preserve">  Time!AO$28</f>
        <v>32</v>
      </c>
      <c r="AP35" s="10">
        <f xml:space="preserve">  Time!AP$28</f>
        <v>33</v>
      </c>
      <c r="AQ35" s="10">
        <f xml:space="preserve">  Time!AQ$28</f>
        <v>34</v>
      </c>
      <c r="AR35" s="10">
        <f xml:space="preserve">  Time!AR$28</f>
        <v>35</v>
      </c>
      <c r="AS35" s="10">
        <f xml:space="preserve">  Time!AS$28</f>
        <v>36</v>
      </c>
      <c r="AT35" s="10">
        <f xml:space="preserve">  Time!AT$28</f>
        <v>37</v>
      </c>
      <c r="AU35" s="10">
        <f xml:space="preserve">  Time!AU$28</f>
        <v>38</v>
      </c>
      <c r="AV35" s="10">
        <f xml:space="preserve">  Time!AV$28</f>
        <v>39</v>
      </c>
      <c r="AW35" s="10">
        <f xml:space="preserve">  Time!AW$28</f>
        <v>40</v>
      </c>
      <c r="AX35" s="10">
        <f xml:space="preserve">  Time!AX$28</f>
        <v>41</v>
      </c>
      <c r="AY35" s="10">
        <f xml:space="preserve">  Time!AY$28</f>
        <v>42</v>
      </c>
      <c r="AZ35" s="10">
        <f xml:space="preserve">  Time!AZ$28</f>
        <v>43</v>
      </c>
      <c r="BA35" s="10">
        <f xml:space="preserve">  Time!BA$28</f>
        <v>44</v>
      </c>
      <c r="BB35" s="10">
        <f xml:space="preserve">  Time!BB$28</f>
        <v>45</v>
      </c>
      <c r="BC35" s="10">
        <f xml:space="preserve">  Time!BC$28</f>
        <v>46</v>
      </c>
      <c r="BD35" s="10">
        <f xml:space="preserve">  Time!BD$28</f>
        <v>47</v>
      </c>
      <c r="BE35" s="10">
        <f xml:space="preserve">  Time!BE$28</f>
        <v>48</v>
      </c>
      <c r="BF35" s="10">
        <f xml:space="preserve">  Time!BF$28</f>
        <v>49</v>
      </c>
      <c r="BG35" s="10">
        <f xml:space="preserve">  Time!BG$28</f>
        <v>50</v>
      </c>
      <c r="BH35" s="10">
        <f xml:space="preserve">  Time!BH$28</f>
        <v>51</v>
      </c>
      <c r="BI35" s="10">
        <f xml:space="preserve">  Time!BI$28</f>
        <v>52</v>
      </c>
      <c r="BJ35" s="10">
        <f xml:space="preserve">  Time!BJ$28</f>
        <v>53</v>
      </c>
      <c r="BK35" s="10">
        <f xml:space="preserve">  Time!BK$28</f>
        <v>54</v>
      </c>
      <c r="BL35" s="10">
        <f xml:space="preserve">  Time!BL$28</f>
        <v>55</v>
      </c>
      <c r="BM35" s="10">
        <f xml:space="preserve">  Time!BM$28</f>
        <v>56</v>
      </c>
      <c r="BN35" s="10">
        <f xml:space="preserve">  Time!BN$28</f>
        <v>57</v>
      </c>
      <c r="BO35" s="10">
        <f xml:space="preserve">  Time!BO$28</f>
        <v>58</v>
      </c>
      <c r="BP35" s="10">
        <f xml:space="preserve">  Time!BP$28</f>
        <v>59</v>
      </c>
      <c r="BQ35" s="10">
        <f xml:space="preserve">  Time!BQ$28</f>
        <v>60</v>
      </c>
    </row>
    <row r="36" spans="1:69">
      <c r="E36" s="46" t="s">
        <v>40</v>
      </c>
      <c r="G36" s="46" t="s">
        <v>252</v>
      </c>
      <c r="J36" s="2">
        <f t="shared" ref="J36:BQ36" si="6" xml:space="preserve">  I38</f>
        <v>0</v>
      </c>
      <c r="K36" s="2">
        <f t="shared" ca="1" si="6"/>
        <v>-52200</v>
      </c>
      <c r="L36" s="2">
        <f t="shared" ca="1" si="6"/>
        <v>-113294.92250913588</v>
      </c>
      <c r="M36" s="2">
        <f t="shared" ca="1" si="6"/>
        <v>-174788.92979549034</v>
      </c>
      <c r="N36" s="2">
        <f t="shared" ca="1" si="6"/>
        <v>-237820.70367627169</v>
      </c>
      <c r="O36" s="2">
        <f t="shared" ca="1" si="6"/>
        <v>-301327.7679350425</v>
      </c>
      <c r="P36" s="2">
        <f t="shared" ca="1" si="6"/>
        <v>-365325.20976966212</v>
      </c>
      <c r="Q36" s="2">
        <f t="shared" ca="1" si="6"/>
        <v>-430986.1875089464</v>
      </c>
      <c r="R36" s="2">
        <f t="shared" ca="1" si="6"/>
        <v>-455307.53634494345</v>
      </c>
      <c r="S36" s="2">
        <f t="shared" ca="1" si="6"/>
        <v>-471189.75361196895</v>
      </c>
      <c r="T36" s="2">
        <f t="shared" ca="1" si="6"/>
        <v>-488198.20161444182</v>
      </c>
      <c r="U36" s="2">
        <f t="shared" ca="1" si="6"/>
        <v>-505795.60480860854</v>
      </c>
      <c r="V36" s="2">
        <f t="shared" ca="1" si="6"/>
        <v>-524092.80616935901</v>
      </c>
      <c r="W36" s="2">
        <f t="shared" ca="1" si="6"/>
        <v>-544249.69405418157</v>
      </c>
      <c r="X36" s="2">
        <f t="shared" ca="1" si="6"/>
        <v>-520599.38023444271</v>
      </c>
      <c r="Y36" s="2">
        <f t="shared" ca="1" si="6"/>
        <v>-490810.77721444675</v>
      </c>
      <c r="Z36" s="2">
        <f t="shared" ca="1" si="6"/>
        <v>-463099.86069975654</v>
      </c>
      <c r="AA36" s="2">
        <f t="shared" ca="1" si="6"/>
        <v>-436322.06832942209</v>
      </c>
      <c r="AB36" s="2">
        <f t="shared" ca="1" si="6"/>
        <v>-418966.50193450914</v>
      </c>
      <c r="AC36" s="2">
        <f t="shared" ca="1" si="6"/>
        <v>-403862.77255332906</v>
      </c>
      <c r="AD36" s="2">
        <f t="shared" ca="1" si="6"/>
        <v>-343141.28787616937</v>
      </c>
      <c r="AE36" s="2">
        <f t="shared" ca="1" si="6"/>
        <v>-291303.52951702388</v>
      </c>
      <c r="AF36" s="2">
        <f t="shared" ca="1" si="6"/>
        <v>-249920.04921231579</v>
      </c>
      <c r="AG36" s="2">
        <f t="shared" ca="1" si="6"/>
        <v>-209427.26800047196</v>
      </c>
      <c r="AH36" s="2">
        <f t="shared" ca="1" si="6"/>
        <v>-122013.92081704651</v>
      </c>
      <c r="AI36" s="2">
        <f t="shared" ca="1" si="6"/>
        <v>-55160.625525048381</v>
      </c>
      <c r="AJ36" s="2">
        <f t="shared" ca="1" si="6"/>
        <v>15419.541160158347</v>
      </c>
      <c r="AK36" s="2">
        <f t="shared" ca="1" si="6"/>
        <v>81544.340408759512</v>
      </c>
      <c r="AL36" s="2">
        <f t="shared" ca="1" si="6"/>
        <v>198803.43393082428</v>
      </c>
      <c r="AM36" s="2">
        <f t="shared" ca="1" si="6"/>
        <v>320485.63717737759</v>
      </c>
      <c r="AN36" s="2">
        <f t="shared" ca="1" si="6"/>
        <v>438462.07065904653</v>
      </c>
      <c r="AO36" s="2">
        <f t="shared" ca="1" si="6"/>
        <v>608324.24367098208</v>
      </c>
      <c r="AP36" s="2">
        <f t="shared" ca="1" si="6"/>
        <v>783525.89701385703</v>
      </c>
      <c r="AQ36" s="2">
        <f t="shared" ca="1" si="6"/>
        <v>1003782.2953305185</v>
      </c>
      <c r="AR36" s="2">
        <f t="shared" ca="1" si="6"/>
        <v>1228812.9405455473</v>
      </c>
      <c r="AS36" s="2">
        <f t="shared" ca="1" si="6"/>
        <v>1451932.3518033694</v>
      </c>
      <c r="AT36" s="2">
        <f t="shared" ca="1" si="6"/>
        <v>1729637.4415939085</v>
      </c>
      <c r="AU36" s="2">
        <f t="shared" ca="1" si="6"/>
        <v>2004862.741468858</v>
      </c>
      <c r="AV36" s="2">
        <f t="shared" ca="1" si="6"/>
        <v>2278987.3008378148</v>
      </c>
      <c r="AW36" s="2">
        <f t="shared" ca="1" si="6"/>
        <v>2609102.6780487243</v>
      </c>
      <c r="AX36" s="2">
        <f t="shared" ca="1" si="6"/>
        <v>2937868.9552949821</v>
      </c>
      <c r="AY36" s="2">
        <f t="shared" ca="1" si="6"/>
        <v>3314964.9124661624</v>
      </c>
      <c r="AZ36" s="2">
        <f t="shared" ca="1" si="6"/>
        <v>3701558.7708926075</v>
      </c>
      <c r="BA36" s="2">
        <f t="shared" ca="1" si="6"/>
        <v>4136336.8311913284</v>
      </c>
      <c r="BB36" s="2">
        <f t="shared" ca="1" si="6"/>
        <v>4621283.9380210768</v>
      </c>
      <c r="BC36" s="2">
        <f t="shared" ca="1" si="6"/>
        <v>5108786.3336179443</v>
      </c>
      <c r="BD36" s="2">
        <f t="shared" ca="1" si="6"/>
        <v>5646338.8407885162</v>
      </c>
      <c r="BE36" s="2">
        <f t="shared" ca="1" si="6"/>
        <v>6236547.2887613494</v>
      </c>
      <c r="BF36" s="2">
        <f t="shared" ca="1" si="6"/>
        <v>6831417.5458162762</v>
      </c>
      <c r="BG36" s="2">
        <f t="shared" ca="1" si="6"/>
        <v>7474458.4622393819</v>
      </c>
      <c r="BH36" s="2">
        <f t="shared" ca="1" si="6"/>
        <v>8176469.7683480149</v>
      </c>
      <c r="BI36" s="2">
        <f t="shared" ca="1" si="6"/>
        <v>8938907.7648204528</v>
      </c>
      <c r="BJ36" s="2">
        <f t="shared" ca="1" si="6"/>
        <v>9761393.6848637499</v>
      </c>
      <c r="BK36" s="2">
        <f t="shared" ca="1" si="6"/>
        <v>10646511.757170189</v>
      </c>
      <c r="BL36" s="2">
        <f t="shared" ca="1" si="6"/>
        <v>11595988.624808421</v>
      </c>
      <c r="BM36" s="2">
        <f t="shared" ca="1" si="6"/>
        <v>12609579.327820268</v>
      </c>
      <c r="BN36" s="2">
        <f t="shared" ca="1" si="6"/>
        <v>13690530.124602413</v>
      </c>
      <c r="BO36" s="2">
        <f t="shared" ca="1" si="6"/>
        <v>14840181.367642488</v>
      </c>
      <c r="BP36" s="2">
        <f t="shared" ca="1" si="6"/>
        <v>16058808.976432571</v>
      </c>
      <c r="BQ36" s="2">
        <f t="shared" ca="1" si="6"/>
        <v>17350655.966292497</v>
      </c>
    </row>
    <row r="37" spans="1:69">
      <c r="A37" s="18"/>
      <c r="B37" s="18"/>
      <c r="C37" s="30"/>
      <c r="D37" s="31" t="s">
        <v>216</v>
      </c>
      <c r="E37" s="4" t="str">
        <f xml:space="preserve">  'Income Statement'!E$22</f>
        <v>Retained Earnings this period</v>
      </c>
      <c r="F37" s="4">
        <f xml:space="preserve">  'Income Statement'!F$22</f>
        <v>0</v>
      </c>
      <c r="G37" s="4" t="str">
        <f xml:space="preserve">  'Income Statement'!G$22</f>
        <v>GBP</v>
      </c>
      <c r="H37" s="4">
        <f ca="1" xml:space="preserve">  'Income Statement'!H$22</f>
        <v>18716388.84255733</v>
      </c>
      <c r="I37" s="4">
        <f xml:space="preserve">  'Income Statement'!I$22</f>
        <v>0</v>
      </c>
      <c r="J37" s="4">
        <f ca="1" xml:space="preserve">  'Income Statement'!J$22</f>
        <v>-52200</v>
      </c>
      <c r="K37" s="4">
        <f ca="1" xml:space="preserve">  'Income Statement'!K$22</f>
        <v>-61094.922509135882</v>
      </c>
      <c r="L37" s="4">
        <f ca="1" xml:space="preserve">  'Income Statement'!L$22</f>
        <v>-61494.007286354456</v>
      </c>
      <c r="M37" s="4">
        <f ca="1" xml:space="preserve">  'Income Statement'!M$22</f>
        <v>-63031.773880781344</v>
      </c>
      <c r="N37" s="4">
        <f ca="1" xml:space="preserve">  'Income Statement'!N$22</f>
        <v>-63507.064258770806</v>
      </c>
      <c r="O37" s="4">
        <f ca="1" xml:space="preserve">  'Income Statement'!O$22</f>
        <v>-63997.441834619625</v>
      </c>
      <c r="P37" s="4">
        <f ca="1" xml:space="preserve">  'Income Statement'!P$22</f>
        <v>-65660.97773928431</v>
      </c>
      <c r="Q37" s="4">
        <f ca="1" xml:space="preserve">  'Income Statement'!Q$22</f>
        <v>-24321.348835997043</v>
      </c>
      <c r="R37" s="4">
        <f ca="1" xml:space="preserve">  'Income Statement'!R$22</f>
        <v>-15882.217267025513</v>
      </c>
      <c r="S37" s="4">
        <f ca="1" xml:space="preserve">  'Income Statement'!S$22</f>
        <v>-17008.448002472891</v>
      </c>
      <c r="T37" s="4">
        <f ca="1" xml:space="preserve">  'Income Statement'!T$22</f>
        <v>-17597.403194166698</v>
      </c>
      <c r="U37" s="4">
        <f ca="1" xml:space="preserve">  'Income Statement'!U$22</f>
        <v>-18297.201360750489</v>
      </c>
      <c r="V37" s="4">
        <f ca="1" xml:space="preserve">  'Income Statement'!V$22</f>
        <v>-20156.887884822543</v>
      </c>
      <c r="W37" s="4">
        <f ca="1" xml:space="preserve">  'Income Statement'!W$22</f>
        <v>23650.313819738854</v>
      </c>
      <c r="X37" s="4">
        <f ca="1" xml:space="preserve">  'Income Statement'!X$22</f>
        <v>29788.603019995971</v>
      </c>
      <c r="Y37" s="4">
        <f ca="1" xml:space="preserve">  'Income Statement'!Y$22</f>
        <v>27710.91651469022</v>
      </c>
      <c r="Z37" s="4">
        <f ca="1" xml:space="preserve">  'Income Statement'!Z$22</f>
        <v>26777.792370334446</v>
      </c>
      <c r="AA37" s="4">
        <f ca="1" xml:space="preserve">  'Income Statement'!AA$22</f>
        <v>17355.566394912945</v>
      </c>
      <c r="AB37" s="4">
        <f ca="1" xml:space="preserve">  'Income Statement'!AB$22</f>
        <v>15103.729381180068</v>
      </c>
      <c r="AC37" s="4">
        <f ca="1" xml:space="preserve">  'Income Statement'!AC$22</f>
        <v>60721.4846771597</v>
      </c>
      <c r="AD37" s="4">
        <f ca="1" xml:space="preserve">  'Income Statement'!AD$22</f>
        <v>51837.758359145475</v>
      </c>
      <c r="AE37" s="4">
        <f ca="1" xml:space="preserve">  'Income Statement'!AE$22</f>
        <v>41383.4803047081</v>
      </c>
      <c r="AF37" s="4">
        <f ca="1" xml:space="preserve">  'Income Statement'!AF$22</f>
        <v>40492.781211843823</v>
      </c>
      <c r="AG37" s="4">
        <f ca="1" xml:space="preserve">  'Income Statement'!AG$22</f>
        <v>87413.347183425445</v>
      </c>
      <c r="AH37" s="4">
        <f ca="1" xml:space="preserve">  'Income Statement'!AH$22</f>
        <v>66853.295291998133</v>
      </c>
      <c r="AI37" s="4">
        <f ca="1" xml:space="preserve">  'Income Statement'!AI$22</f>
        <v>70580.166685206728</v>
      </c>
      <c r="AJ37" s="4">
        <f ca="1" xml:space="preserve">  'Income Statement'!AJ$22</f>
        <v>66124.799248601164</v>
      </c>
      <c r="AK37" s="4">
        <f ca="1" xml:space="preserve">  'Income Statement'!AK$22</f>
        <v>117259.09352206477</v>
      </c>
      <c r="AL37" s="4">
        <f ca="1" xml:space="preserve">  'Income Statement'!AL$22</f>
        <v>121682.20324655334</v>
      </c>
      <c r="AM37" s="4">
        <f ca="1" xml:space="preserve">  'Income Statement'!AM$22</f>
        <v>117976.43348166894</v>
      </c>
      <c r="AN37" s="4">
        <f ca="1" xml:space="preserve">  'Income Statement'!AN$22</f>
        <v>169862.17301193549</v>
      </c>
      <c r="AO37" s="4">
        <f ca="1" xml:space="preserve">  'Income Statement'!AO$22</f>
        <v>175201.65334287492</v>
      </c>
      <c r="AP37" s="4">
        <f ca="1" xml:space="preserve">  'Income Statement'!AP$22</f>
        <v>220256.39831666145</v>
      </c>
      <c r="AQ37" s="4">
        <f ca="1" xml:space="preserve">  'Income Statement'!AQ$22</f>
        <v>225030.64521502878</v>
      </c>
      <c r="AR37" s="4">
        <f ca="1" xml:space="preserve">  'Income Statement'!AR$22</f>
        <v>223119.41125782195</v>
      </c>
      <c r="AS37" s="4">
        <f ca="1" xml:space="preserve">  'Income Statement'!AS$22</f>
        <v>277705.08979053912</v>
      </c>
      <c r="AT37" s="4">
        <f ca="1" xml:space="preserve">  'Income Statement'!AT$22</f>
        <v>275225.29987494962</v>
      </c>
      <c r="AU37" s="4">
        <f ca="1" xml:space="preserve">  'Income Statement'!AU$22</f>
        <v>274124.5593689566</v>
      </c>
      <c r="AV37" s="4">
        <f ca="1" xml:space="preserve">  'Income Statement'!AV$22</f>
        <v>330115.37721090944</v>
      </c>
      <c r="AW37" s="4">
        <f ca="1" xml:space="preserve">  'Income Statement'!AW$22</f>
        <v>328766.27724625787</v>
      </c>
      <c r="AX37" s="4">
        <f ca="1" xml:space="preserve">  'Income Statement'!AX$22</f>
        <v>377095.95717118017</v>
      </c>
      <c r="AY37" s="4">
        <f ca="1" xml:space="preserve">  'Income Statement'!AY$22</f>
        <v>386593.85842644511</v>
      </c>
      <c r="AZ37" s="4">
        <f ca="1" xml:space="preserve">  'Income Statement'!AZ$22</f>
        <v>434778.06029872084</v>
      </c>
      <c r="BA37" s="4">
        <f ca="1" xml:space="preserve">  'Income Statement'!BA$22</f>
        <v>484947.10682974802</v>
      </c>
      <c r="BB37" s="4">
        <f ca="1" xml:space="preserve">  'Income Statement'!BB$22</f>
        <v>487502.39559686766</v>
      </c>
      <c r="BC37" s="4">
        <f ca="1" xml:space="preserve">  'Income Statement'!BC$22</f>
        <v>537552.50717057171</v>
      </c>
      <c r="BD37" s="4">
        <f ca="1" xml:space="preserve">  'Income Statement'!BD$22</f>
        <v>590208.44797283341</v>
      </c>
      <c r="BE37" s="4">
        <f ca="1" xml:space="preserve">  'Income Statement'!BE$22</f>
        <v>594870.25705492729</v>
      </c>
      <c r="BF37" s="4">
        <f ca="1" xml:space="preserve">  'Income Statement'!BF$22</f>
        <v>643040.91642310598</v>
      </c>
      <c r="BG37" s="4">
        <f ca="1" xml:space="preserve">  'Income Statement'!BG$22</f>
        <v>702011.30610863329</v>
      </c>
      <c r="BH37" s="4">
        <f ca="1" xml:space="preserve">  'Income Statement'!BH$22</f>
        <v>762437.9964724374</v>
      </c>
      <c r="BI37" s="4">
        <f ca="1" xml:space="preserve">  'Income Statement'!BI$22</f>
        <v>822485.92004329653</v>
      </c>
      <c r="BJ37" s="4">
        <f ca="1" xml:space="preserve">  'Income Statement'!BJ$22</f>
        <v>885118.07230643893</v>
      </c>
      <c r="BK37" s="4">
        <f ca="1" xml:space="preserve">  'Income Statement'!BK$22</f>
        <v>949476.86763823254</v>
      </c>
      <c r="BL37" s="4">
        <f ca="1" xml:space="preserve">  'Income Statement'!BL$22</f>
        <v>1013590.7030118471</v>
      </c>
      <c r="BM37" s="4">
        <f ca="1" xml:space="preserve">  'Income Statement'!BM$22</f>
        <v>1080950.7967821453</v>
      </c>
      <c r="BN37" s="4">
        <f ca="1" xml:space="preserve">  'Income Statement'!BN$22</f>
        <v>1149651.243040076</v>
      </c>
      <c r="BO37" s="4">
        <f ca="1" xml:space="preserve">  'Income Statement'!BO$22</f>
        <v>1218627.6087900831</v>
      </c>
      <c r="BP37" s="4">
        <f ca="1" xml:space="preserve">  'Income Statement'!BP$22</f>
        <v>1291846.9898599267</v>
      </c>
      <c r="BQ37" s="4">
        <f ca="1" xml:space="preserve">  'Income Statement'!BQ$22</f>
        <v>1365732.8762648334</v>
      </c>
    </row>
    <row r="38" spans="1:69" s="83" customFormat="1">
      <c r="A38" s="62"/>
      <c r="B38" s="62"/>
      <c r="C38" s="90"/>
      <c r="D38" s="91"/>
      <c r="E38" s="35" t="s">
        <v>12</v>
      </c>
      <c r="F38" s="35"/>
      <c r="G38" s="35" t="s">
        <v>252</v>
      </c>
      <c r="H38" s="35"/>
      <c r="I38" s="11">
        <f t="shared" ref="I38:BQ38" si="7" xml:space="preserve">  IF( I35 = 0, $F34, I36 + I37 )</f>
        <v>0</v>
      </c>
      <c r="J38" s="11">
        <f t="shared" ca="1" si="7"/>
        <v>-52200</v>
      </c>
      <c r="K38" s="11">
        <f t="shared" ca="1" si="7"/>
        <v>-113294.92250913588</v>
      </c>
      <c r="L38" s="11">
        <f t="shared" ca="1" si="7"/>
        <v>-174788.92979549034</v>
      </c>
      <c r="M38" s="11">
        <f t="shared" ca="1" si="7"/>
        <v>-237820.70367627169</v>
      </c>
      <c r="N38" s="11">
        <f t="shared" ca="1" si="7"/>
        <v>-301327.7679350425</v>
      </c>
      <c r="O38" s="11">
        <f t="shared" ca="1" si="7"/>
        <v>-365325.20976966212</v>
      </c>
      <c r="P38" s="11">
        <f t="shared" ca="1" si="7"/>
        <v>-430986.1875089464</v>
      </c>
      <c r="Q38" s="11">
        <f t="shared" ca="1" si="7"/>
        <v>-455307.53634494345</v>
      </c>
      <c r="R38" s="11">
        <f t="shared" ca="1" si="7"/>
        <v>-471189.75361196895</v>
      </c>
      <c r="S38" s="11">
        <f t="shared" ca="1" si="7"/>
        <v>-488198.20161444182</v>
      </c>
      <c r="T38" s="11">
        <f t="shared" ca="1" si="7"/>
        <v>-505795.60480860854</v>
      </c>
      <c r="U38" s="11">
        <f t="shared" ca="1" si="7"/>
        <v>-524092.80616935901</v>
      </c>
      <c r="V38" s="11">
        <f t="shared" ca="1" si="7"/>
        <v>-544249.69405418157</v>
      </c>
      <c r="W38" s="11">
        <f t="shared" ca="1" si="7"/>
        <v>-520599.38023444271</v>
      </c>
      <c r="X38" s="11">
        <f t="shared" ca="1" si="7"/>
        <v>-490810.77721444675</v>
      </c>
      <c r="Y38" s="11">
        <f t="shared" ca="1" si="7"/>
        <v>-463099.86069975654</v>
      </c>
      <c r="Z38" s="11">
        <f t="shared" ca="1" si="7"/>
        <v>-436322.06832942209</v>
      </c>
      <c r="AA38" s="11">
        <f t="shared" ca="1" si="7"/>
        <v>-418966.50193450914</v>
      </c>
      <c r="AB38" s="11">
        <f t="shared" ca="1" si="7"/>
        <v>-403862.77255332906</v>
      </c>
      <c r="AC38" s="11">
        <f t="shared" ca="1" si="7"/>
        <v>-343141.28787616937</v>
      </c>
      <c r="AD38" s="11">
        <f t="shared" ca="1" si="7"/>
        <v>-291303.52951702388</v>
      </c>
      <c r="AE38" s="11">
        <f t="shared" ca="1" si="7"/>
        <v>-249920.04921231579</v>
      </c>
      <c r="AF38" s="11">
        <f t="shared" ca="1" si="7"/>
        <v>-209427.26800047196</v>
      </c>
      <c r="AG38" s="11">
        <f t="shared" ca="1" si="7"/>
        <v>-122013.92081704651</v>
      </c>
      <c r="AH38" s="11">
        <f t="shared" ca="1" si="7"/>
        <v>-55160.625525048381</v>
      </c>
      <c r="AI38" s="11">
        <f t="shared" ca="1" si="7"/>
        <v>15419.541160158347</v>
      </c>
      <c r="AJ38" s="11">
        <f t="shared" ca="1" si="7"/>
        <v>81544.340408759512</v>
      </c>
      <c r="AK38" s="11">
        <f t="shared" ca="1" si="7"/>
        <v>198803.43393082428</v>
      </c>
      <c r="AL38" s="11">
        <f t="shared" ca="1" si="7"/>
        <v>320485.63717737759</v>
      </c>
      <c r="AM38" s="11">
        <f t="shared" ca="1" si="7"/>
        <v>438462.07065904653</v>
      </c>
      <c r="AN38" s="11">
        <f t="shared" ca="1" si="7"/>
        <v>608324.24367098208</v>
      </c>
      <c r="AO38" s="11">
        <f t="shared" ca="1" si="7"/>
        <v>783525.89701385703</v>
      </c>
      <c r="AP38" s="11">
        <f t="shared" ca="1" si="7"/>
        <v>1003782.2953305185</v>
      </c>
      <c r="AQ38" s="11">
        <f t="shared" ca="1" si="7"/>
        <v>1228812.9405455473</v>
      </c>
      <c r="AR38" s="11">
        <f t="shared" ca="1" si="7"/>
        <v>1451932.3518033694</v>
      </c>
      <c r="AS38" s="11">
        <f t="shared" ca="1" si="7"/>
        <v>1729637.4415939085</v>
      </c>
      <c r="AT38" s="11">
        <f t="shared" ca="1" si="7"/>
        <v>2004862.741468858</v>
      </c>
      <c r="AU38" s="11">
        <f t="shared" ca="1" si="7"/>
        <v>2278987.3008378148</v>
      </c>
      <c r="AV38" s="11">
        <f t="shared" ca="1" si="7"/>
        <v>2609102.6780487243</v>
      </c>
      <c r="AW38" s="11">
        <f t="shared" ca="1" si="7"/>
        <v>2937868.9552949821</v>
      </c>
      <c r="AX38" s="11">
        <f t="shared" ca="1" si="7"/>
        <v>3314964.9124661624</v>
      </c>
      <c r="AY38" s="11">
        <f t="shared" ca="1" si="7"/>
        <v>3701558.7708926075</v>
      </c>
      <c r="AZ38" s="11">
        <f t="shared" ca="1" si="7"/>
        <v>4136336.8311913284</v>
      </c>
      <c r="BA38" s="11">
        <f t="shared" ca="1" si="7"/>
        <v>4621283.9380210768</v>
      </c>
      <c r="BB38" s="11">
        <f t="shared" ca="1" si="7"/>
        <v>5108786.3336179443</v>
      </c>
      <c r="BC38" s="11">
        <f t="shared" ca="1" si="7"/>
        <v>5646338.8407885162</v>
      </c>
      <c r="BD38" s="11">
        <f t="shared" ca="1" si="7"/>
        <v>6236547.2887613494</v>
      </c>
      <c r="BE38" s="11">
        <f t="shared" ca="1" si="7"/>
        <v>6831417.5458162762</v>
      </c>
      <c r="BF38" s="11">
        <f t="shared" ca="1" si="7"/>
        <v>7474458.4622393819</v>
      </c>
      <c r="BG38" s="11">
        <f t="shared" ca="1" si="7"/>
        <v>8176469.7683480149</v>
      </c>
      <c r="BH38" s="11">
        <f t="shared" ca="1" si="7"/>
        <v>8938907.7648204528</v>
      </c>
      <c r="BI38" s="11">
        <f t="shared" ca="1" si="7"/>
        <v>9761393.6848637499</v>
      </c>
      <c r="BJ38" s="11">
        <f t="shared" ca="1" si="7"/>
        <v>10646511.757170189</v>
      </c>
      <c r="BK38" s="11">
        <f t="shared" ca="1" si="7"/>
        <v>11595988.624808421</v>
      </c>
      <c r="BL38" s="11">
        <f t="shared" ca="1" si="7"/>
        <v>12609579.327820268</v>
      </c>
      <c r="BM38" s="11">
        <f t="shared" ca="1" si="7"/>
        <v>13690530.124602413</v>
      </c>
      <c r="BN38" s="11">
        <f t="shared" ca="1" si="7"/>
        <v>14840181.367642488</v>
      </c>
      <c r="BO38" s="11">
        <f t="shared" ca="1" si="7"/>
        <v>16058808.976432571</v>
      </c>
      <c r="BP38" s="11">
        <f t="shared" ca="1" si="7"/>
        <v>17350655.966292497</v>
      </c>
      <c r="BQ38" s="11">
        <f t="shared" ca="1" si="7"/>
        <v>18716388.84255733</v>
      </c>
    </row>
    <row r="41" spans="1:69">
      <c r="B41" s="27" t="s">
        <v>265</v>
      </c>
    </row>
  </sheetData>
  <conditionalFormatting sqref="F2:F3">
    <cfRule type="cellIs" dxfId="245" priority="1" stopIfTrue="1" operator="notEqual">
      <formula>0</formula>
    </cfRule>
    <cfRule type="cellIs" dxfId="244" priority="2" stopIfTrue="1" operator="equal">
      <formula>""</formula>
    </cfRule>
  </conditionalFormatting>
  <conditionalFormatting sqref="J3:BQ3">
    <cfRule type="cellIs" dxfId="243" priority="8" operator="equal">
      <formula>"PPA ext."</formula>
    </cfRule>
    <cfRule type="cellIs" dxfId="242" priority="9" operator="equal">
      <formula>"Delay"</formula>
    </cfRule>
    <cfRule type="cellIs" dxfId="241" priority="10" operator="equal">
      <formula>"Fin Close"</formula>
    </cfRule>
    <cfRule type="cellIs" dxfId="240" priority="11" stopIfTrue="1" operator="equal">
      <formula>"Construction"</formula>
    </cfRule>
    <cfRule type="cellIs" dxfId="23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Q4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54.45312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Customers</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13</v>
      </c>
    </row>
    <row r="9" spans="1:69" outlineLevel="1">
      <c r="A9" s="18"/>
      <c r="B9" s="18"/>
      <c r="C9" s="30"/>
      <c r="D9" s="31"/>
      <c r="E9" s="4" t="str">
        <f xml:space="preserve">  InpC!E$15</f>
        <v>Customer base order number</v>
      </c>
      <c r="F9" s="4">
        <f xml:space="preserve">  InpC!F$15</f>
        <v>500</v>
      </c>
      <c r="G9" s="4" t="str">
        <f xml:space="preserve">  InpC!G$15</f>
        <v>Units</v>
      </c>
      <c r="M9" s="2"/>
    </row>
    <row r="10" spans="1:69" outlineLevel="1">
      <c r="A10" s="18"/>
      <c r="B10" s="18"/>
      <c r="C10" s="30"/>
      <c r="D10" s="31"/>
      <c r="E10" s="23" t="str">
        <f xml:space="preserve">  Time!E$164</f>
        <v>Customer Order Growth escalation indexation factor</v>
      </c>
      <c r="F10" s="23">
        <f xml:space="preserve">  Time!F$164</f>
        <v>0</v>
      </c>
      <c r="G10" s="23" t="str">
        <f xml:space="preserve">  Time!G$164</f>
        <v>index</v>
      </c>
      <c r="H10" s="23">
        <f xml:space="preserve">  Time!H$164</f>
        <v>0</v>
      </c>
      <c r="I10" s="23">
        <f xml:space="preserve">  Time!I$164</f>
        <v>0</v>
      </c>
      <c r="J10" s="23">
        <f xml:space="preserve">  Time!J$164</f>
        <v>1</v>
      </c>
      <c r="K10" s="23">
        <f xml:space="preserve">  Time!K$164</f>
        <v>1.0606373855281319</v>
      </c>
      <c r="L10" s="23">
        <f xml:space="preserve">  Time!L$164</f>
        <v>1.1228173700183663</v>
      </c>
      <c r="M10" s="23">
        <f xml:space="preserve">  Time!M$164</f>
        <v>1.1909020797618532</v>
      </c>
      <c r="N10" s="23">
        <f xml:space="preserve">  Time!N$164</f>
        <v>1.2631152682986266</v>
      </c>
      <c r="O10" s="23">
        <f xml:space="preserve">  Time!O$164</f>
        <v>1.3371655411476067</v>
      </c>
      <c r="P10" s="23">
        <f xml:space="preserve">  Time!P$164</f>
        <v>1.4182477635811073</v>
      </c>
      <c r="Q10" s="23">
        <f xml:space="preserve">  Time!Q$164</f>
        <v>1.5013926961905415</v>
      </c>
      <c r="R10" s="23">
        <f xml:space="preserve">  Time!R$164</f>
        <v>1.5924332239385688</v>
      </c>
      <c r="S10" s="23">
        <f xml:space="preserve">  Time!S$164</f>
        <v>1.6889942112663376</v>
      </c>
      <c r="T10" s="23">
        <f xml:space="preserve">  Time!T$164</f>
        <v>1.7817974362806785</v>
      </c>
      <c r="U10" s="23">
        <f xml:space="preserve">  Time!U$164</f>
        <v>1.8895370233838522</v>
      </c>
      <c r="V10" s="23">
        <f xml:space="preserve">  Time!V$164</f>
        <v>2</v>
      </c>
      <c r="W10" s="23">
        <f xml:space="preserve">  Time!W$164</f>
        <v>2.123116166406207</v>
      </c>
      <c r="X10" s="23">
        <f xml:space="preserve">  Time!X$164</f>
        <v>2.2474089271664077</v>
      </c>
      <c r="Y10" s="23">
        <f xml:space="preserve">  Time!Y$164</f>
        <v>2.3834939697312532</v>
      </c>
      <c r="Z10" s="23">
        <f xml:space="preserve">  Time!Z$164</f>
        <v>2.5278192299912496</v>
      </c>
      <c r="AA10" s="23">
        <f xml:space="preserve">  Time!AA$164</f>
        <v>2.6758043641867868</v>
      </c>
      <c r="AB10" s="23">
        <f xml:space="preserve">  Time!AB$164</f>
        <v>2.8378295952846591</v>
      </c>
      <c r="AC10" s="23">
        <f xml:space="preserve">  Time!AC$164</f>
        <v>3.0039635452521662</v>
      </c>
      <c r="AD10" s="23">
        <f xml:space="preserve">  Time!AD$164</f>
        <v>3.1875439973292665</v>
      </c>
      <c r="AE10" s="23">
        <f xml:space="preserve">  Time!AE$164</f>
        <v>3.3806467402188143</v>
      </c>
      <c r="AF10" s="23">
        <f xml:space="preserve">  Time!AF$164</f>
        <v>3.565097680673023</v>
      </c>
      <c r="AG10" s="23">
        <f xml:space="preserve">  Time!AG$164</f>
        <v>3.7810727829410813</v>
      </c>
      <c r="AH10" s="23">
        <f xml:space="preserve">  Time!AH$164</f>
        <v>4.002530534348697</v>
      </c>
      <c r="AI10" s="23">
        <f xml:space="preserve">  Time!AI$164</f>
        <v>4.245005501072133</v>
      </c>
      <c r="AJ10" s="23">
        <f xml:space="preserve">  Time!AJ$164</f>
        <v>4.4936358308615398</v>
      </c>
      <c r="AK10" s="23">
        <f xml:space="preserve">  Time!AK$164</f>
        <v>4.7658621609806406</v>
      </c>
      <c r="AL10" s="23">
        <f xml:space="preserve">  Time!AL$164</f>
        <v>5.0545800755537291</v>
      </c>
      <c r="AM10" s="23">
        <f xml:space="preserve">  Time!AM$164</f>
        <v>5.3506272563676252</v>
      </c>
      <c r="AN10" s="23">
        <f xml:space="preserve">  Time!AN$164</f>
        <v>5.674770483959108</v>
      </c>
      <c r="AO10" s="23">
        <f xml:space="preserve">  Time!AO$164</f>
        <v>6.0071422692370309</v>
      </c>
      <c r="AP10" s="23">
        <f xml:space="preserve">  Time!AP$164</f>
        <v>6.3737497145436315</v>
      </c>
      <c r="AQ10" s="23">
        <f xml:space="preserve">  Time!AQ$164</f>
        <v>6.7599648394172203</v>
      </c>
      <c r="AR10" s="23">
        <f xml:space="preserve">  Time!AR$164</f>
        <v>7.1288806340588637</v>
      </c>
      <c r="AS10" s="23">
        <f xml:space="preserve">  Time!AS$164</f>
        <v>7.5608526517252477</v>
      </c>
      <c r="AT10" s="23">
        <f xml:space="preserve">  Time!AT$164</f>
        <v>8.003796367598353</v>
      </c>
      <c r="AU10" s="23">
        <f xml:space="preserve">  Time!AU$164</f>
        <v>8.4887835967832839</v>
      </c>
      <c r="AV10" s="23">
        <f xml:space="preserve">  Time!AV$164</f>
        <v>8.9860890625555676</v>
      </c>
      <c r="AW10" s="23">
        <f xml:space="preserve">  Time!AW$164</f>
        <v>9.5305979725149506</v>
      </c>
      <c r="AX10" s="23">
        <f xml:space="preserve">  Time!AX$164</f>
        <v>10.108101208588977</v>
      </c>
      <c r="AY10" s="23">
        <f xml:space="preserve">  Time!AY$164</f>
        <v>10.700272504075359</v>
      </c>
      <c r="AZ10" s="23">
        <f xml:space="preserve">  Time!AZ$164</f>
        <v>11.348651757486126</v>
      </c>
      <c r="BA10" s="23">
        <f xml:space="preserve">  Time!BA$164</f>
        <v>12.013499256989205</v>
      </c>
      <c r="BB10" s="23">
        <f xml:space="preserve">  Time!BB$164</f>
        <v>12.745893176469126</v>
      </c>
      <c r="BC10" s="23">
        <f xml:space="preserve">  Time!BC$164</f>
        <v>13.518334978287017</v>
      </c>
      <c r="BD10" s="23">
        <f xml:space="preserve">  Time!BD$164</f>
        <v>14.256183252216472</v>
      </c>
      <c r="BE10" s="23">
        <f xml:space="preserve">  Time!BE$164</f>
        <v>15.120153452336938</v>
      </c>
      <c r="BF10" s="23">
        <f xml:space="preserve">  Time!BF$164</f>
        <v>16.006074731707191</v>
      </c>
      <c r="BG10" s="23">
        <f xml:space="preserve">  Time!BG$164</f>
        <v>16.976093939824924</v>
      </c>
      <c r="BH10" s="23">
        <f xml:space="preserve">  Time!BH$164</f>
        <v>17.970758637460968</v>
      </c>
      <c r="BI10" s="23">
        <f xml:space="preserve">  Time!BI$164</f>
        <v>19.059843960063692</v>
      </c>
      <c r="BJ10" s="23">
        <f xml:space="preserve">  Time!BJ$164</f>
        <v>20.214931328759011</v>
      </c>
      <c r="BK10" s="23">
        <f xml:space="preserve">  Time!BK$164</f>
        <v>21.399366254079712</v>
      </c>
      <c r="BL10" s="23">
        <f xml:space="preserve">  Time!BL$164</f>
        <v>22.696236139791509</v>
      </c>
      <c r="BM10" s="23">
        <f xml:space="preserve">  Time!BM$164</f>
        <v>24.026055881451988</v>
      </c>
      <c r="BN10" s="23">
        <f xml:space="preserve">  Time!BN$164</f>
        <v>25.452016011999472</v>
      </c>
      <c r="BO10" s="23">
        <f xml:space="preserve">  Time!BO$164</f>
        <v>26.993909742126416</v>
      </c>
      <c r="BP10" s="23">
        <f xml:space="preserve">  Time!BP$164</f>
        <v>28.520781445384184</v>
      </c>
      <c r="BQ10" s="23">
        <f xml:space="preserve">  Time!BQ$164</f>
        <v>30.248582263528654</v>
      </c>
    </row>
    <row r="11" spans="1:69" outlineLevel="1">
      <c r="A11" s="36"/>
      <c r="B11" s="36"/>
      <c r="C11" s="65"/>
      <c r="D11" s="64"/>
      <c r="E11" s="21" t="s">
        <v>13</v>
      </c>
      <c r="F11" s="21"/>
      <c r="G11" s="21" t="s">
        <v>122</v>
      </c>
      <c r="H11" s="3">
        <f xml:space="preserve"> SUM( J11:BQ11 )</f>
        <v>261181.72293639058</v>
      </c>
      <c r="I11" s="21"/>
      <c r="J11" s="3">
        <f t="shared" ref="J11:BQ11" si="0" xml:space="preserve">  $F9 * J10</f>
        <v>500</v>
      </c>
      <c r="K11" s="3">
        <f t="shared" si="0"/>
        <v>530.31869276406599</v>
      </c>
      <c r="L11" s="3">
        <f t="shared" si="0"/>
        <v>561.40868500918316</v>
      </c>
      <c r="M11" s="3">
        <f t="shared" si="0"/>
        <v>595.4510398809266</v>
      </c>
      <c r="N11" s="3">
        <f t="shared" si="0"/>
        <v>631.55763414931334</v>
      </c>
      <c r="O11" s="3">
        <f t="shared" si="0"/>
        <v>668.58277057380337</v>
      </c>
      <c r="P11" s="3">
        <f t="shared" si="0"/>
        <v>709.12388179055358</v>
      </c>
      <c r="Q11" s="3">
        <f t="shared" si="0"/>
        <v>750.69634809527076</v>
      </c>
      <c r="R11" s="3">
        <f t="shared" si="0"/>
        <v>796.21661196928437</v>
      </c>
      <c r="S11" s="3">
        <f t="shared" si="0"/>
        <v>844.49710563316887</v>
      </c>
      <c r="T11" s="3">
        <f t="shared" si="0"/>
        <v>890.89871814033927</v>
      </c>
      <c r="U11" s="3">
        <f t="shared" si="0"/>
        <v>944.76851169192605</v>
      </c>
      <c r="V11" s="3">
        <f t="shared" si="0"/>
        <v>1000</v>
      </c>
      <c r="W11" s="3">
        <f t="shared" si="0"/>
        <v>1061.5580832031035</v>
      </c>
      <c r="X11" s="3">
        <f t="shared" si="0"/>
        <v>1123.704463583204</v>
      </c>
      <c r="Y11" s="3">
        <f t="shared" si="0"/>
        <v>1191.7469848656265</v>
      </c>
      <c r="Z11" s="3">
        <f t="shared" si="0"/>
        <v>1263.9096149956249</v>
      </c>
      <c r="AA11" s="3">
        <f t="shared" si="0"/>
        <v>1337.9021820933933</v>
      </c>
      <c r="AB11" s="3">
        <f t="shared" si="0"/>
        <v>1418.9147976423296</v>
      </c>
      <c r="AC11" s="3">
        <f t="shared" si="0"/>
        <v>1501.9817726260831</v>
      </c>
      <c r="AD11" s="3">
        <f t="shared" si="0"/>
        <v>1593.7719986646332</v>
      </c>
      <c r="AE11" s="3">
        <f t="shared" si="0"/>
        <v>1690.3233701094071</v>
      </c>
      <c r="AF11" s="3">
        <f t="shared" si="0"/>
        <v>1782.5488403365116</v>
      </c>
      <c r="AG11" s="3">
        <f t="shared" si="0"/>
        <v>1890.5363914705406</v>
      </c>
      <c r="AH11" s="3">
        <f t="shared" si="0"/>
        <v>2001.2652671743485</v>
      </c>
      <c r="AI11" s="3">
        <f t="shared" si="0"/>
        <v>2122.5027505360667</v>
      </c>
      <c r="AJ11" s="3">
        <f t="shared" si="0"/>
        <v>2246.81791543077</v>
      </c>
      <c r="AK11" s="3">
        <f t="shared" si="0"/>
        <v>2382.9310804903203</v>
      </c>
      <c r="AL11" s="3">
        <f t="shared" si="0"/>
        <v>2527.2900377768647</v>
      </c>
      <c r="AM11" s="3">
        <f t="shared" si="0"/>
        <v>2675.3136281838124</v>
      </c>
      <c r="AN11" s="3">
        <f t="shared" si="0"/>
        <v>2837.3852419795539</v>
      </c>
      <c r="AO11" s="3">
        <f t="shared" si="0"/>
        <v>3003.5711346185153</v>
      </c>
      <c r="AP11" s="3">
        <f t="shared" si="0"/>
        <v>3186.8748572718159</v>
      </c>
      <c r="AQ11" s="3">
        <f t="shared" si="0"/>
        <v>3379.98241970861</v>
      </c>
      <c r="AR11" s="3">
        <f t="shared" si="0"/>
        <v>3564.4403170294318</v>
      </c>
      <c r="AS11" s="3">
        <f t="shared" si="0"/>
        <v>3780.4263258626238</v>
      </c>
      <c r="AT11" s="3">
        <f t="shared" si="0"/>
        <v>4001.8981837991764</v>
      </c>
      <c r="AU11" s="3">
        <f t="shared" si="0"/>
        <v>4244.3917983916417</v>
      </c>
      <c r="AV11" s="3">
        <f t="shared" si="0"/>
        <v>4493.0445312777838</v>
      </c>
      <c r="AW11" s="3">
        <f t="shared" si="0"/>
        <v>4765.298986257475</v>
      </c>
      <c r="AX11" s="3">
        <f t="shared" si="0"/>
        <v>5054.050604294488</v>
      </c>
      <c r="AY11" s="3">
        <f t="shared" si="0"/>
        <v>5350.1362520376797</v>
      </c>
      <c r="AZ11" s="3">
        <f t="shared" si="0"/>
        <v>5674.3258787430632</v>
      </c>
      <c r="BA11" s="3">
        <f t="shared" si="0"/>
        <v>6006.7496284946019</v>
      </c>
      <c r="BB11" s="3">
        <f t="shared" si="0"/>
        <v>6372.946588234563</v>
      </c>
      <c r="BC11" s="3">
        <f t="shared" si="0"/>
        <v>6759.1674891435086</v>
      </c>
      <c r="BD11" s="3">
        <f t="shared" si="0"/>
        <v>7128.0916261082357</v>
      </c>
      <c r="BE11" s="3">
        <f t="shared" si="0"/>
        <v>7560.0767261684687</v>
      </c>
      <c r="BF11" s="3">
        <f t="shared" si="0"/>
        <v>8003.0373658535955</v>
      </c>
      <c r="BG11" s="3">
        <f t="shared" si="0"/>
        <v>8488.0469699124624</v>
      </c>
      <c r="BH11" s="3">
        <f t="shared" si="0"/>
        <v>8985.3793187304836</v>
      </c>
      <c r="BI11" s="3">
        <f t="shared" si="0"/>
        <v>9529.921980031846</v>
      </c>
      <c r="BJ11" s="3">
        <f t="shared" si="0"/>
        <v>10107.465664379506</v>
      </c>
      <c r="BK11" s="3">
        <f t="shared" si="0"/>
        <v>10699.683127039856</v>
      </c>
      <c r="BL11" s="3">
        <f t="shared" si="0"/>
        <v>11348.118069895754</v>
      </c>
      <c r="BM11" s="3">
        <f t="shared" si="0"/>
        <v>12013.027940725995</v>
      </c>
      <c r="BN11" s="3">
        <f t="shared" si="0"/>
        <v>12726.008005999736</v>
      </c>
      <c r="BO11" s="3">
        <f t="shared" si="0"/>
        <v>13496.954871063208</v>
      </c>
      <c r="BP11" s="3">
        <f t="shared" si="0"/>
        <v>14260.390722692093</v>
      </c>
      <c r="BQ11" s="3">
        <f t="shared" si="0"/>
        <v>15124.291131764327</v>
      </c>
    </row>
    <row r="14" spans="1:69">
      <c r="B14" s="27" t="s">
        <v>315</v>
      </c>
    </row>
    <row r="15" spans="1:69" s="85" customFormat="1">
      <c r="A15" s="59"/>
      <c r="B15" s="59"/>
      <c r="C15" s="86"/>
      <c r="D15" s="84"/>
      <c r="E15" s="40" t="str">
        <f xml:space="preserve">  InpC!E$18</f>
        <v>Opening Customer Orders Awaiting Fullfilment</v>
      </c>
      <c r="F15" s="40">
        <f xml:space="preserve">  InpC!F$18</f>
        <v>0</v>
      </c>
      <c r="G15" s="40" t="str">
        <f xml:space="preserve">  InpC!G$18</f>
        <v>Units</v>
      </c>
      <c r="M15" s="87"/>
    </row>
    <row r="16" spans="1:69">
      <c r="A16" s="18"/>
      <c r="B16" s="18"/>
      <c r="C16" s="30"/>
      <c r="D16" s="31"/>
      <c r="E16" s="10" t="str">
        <f xml:space="preserve">  Time!E$28</f>
        <v>Period number</v>
      </c>
      <c r="F16" s="10">
        <f xml:space="preserve">  Time!F$28</f>
        <v>0</v>
      </c>
      <c r="G16" s="10" t="str">
        <f xml:space="preserve">  Time!G$28</f>
        <v>Counter</v>
      </c>
      <c r="H16" s="10">
        <f xml:space="preserve">  Time!H$28</f>
        <v>0</v>
      </c>
      <c r="I16" s="10">
        <f xml:space="preserve">  Time!I$28</f>
        <v>0</v>
      </c>
      <c r="J16" s="10">
        <f xml:space="preserve">  Time!J$28</f>
        <v>1</v>
      </c>
      <c r="K16" s="10">
        <f xml:space="preserve">  Time!K$28</f>
        <v>2</v>
      </c>
      <c r="L16" s="10">
        <f xml:space="preserve">  Time!L$28</f>
        <v>3</v>
      </c>
      <c r="M16" s="10">
        <f xml:space="preserve">  Time!M$28</f>
        <v>4</v>
      </c>
      <c r="N16" s="10">
        <f xml:space="preserve">  Time!N$28</f>
        <v>5</v>
      </c>
      <c r="O16" s="10">
        <f xml:space="preserve">  Time!O$28</f>
        <v>6</v>
      </c>
      <c r="P16" s="10">
        <f xml:space="preserve">  Time!P$28</f>
        <v>7</v>
      </c>
      <c r="Q16" s="10">
        <f xml:space="preserve">  Time!Q$28</f>
        <v>8</v>
      </c>
      <c r="R16" s="10">
        <f xml:space="preserve">  Time!R$28</f>
        <v>9</v>
      </c>
      <c r="S16" s="10">
        <f xml:space="preserve">  Time!S$28</f>
        <v>10</v>
      </c>
      <c r="T16" s="10">
        <f xml:space="preserve">  Time!T$28</f>
        <v>11</v>
      </c>
      <c r="U16" s="10">
        <f xml:space="preserve">  Time!U$28</f>
        <v>12</v>
      </c>
      <c r="V16" s="10">
        <f xml:space="preserve">  Time!V$28</f>
        <v>13</v>
      </c>
      <c r="W16" s="10">
        <f xml:space="preserve">  Time!W$28</f>
        <v>14</v>
      </c>
      <c r="X16" s="10">
        <f xml:space="preserve">  Time!X$28</f>
        <v>15</v>
      </c>
      <c r="Y16" s="10">
        <f xml:space="preserve">  Time!Y$28</f>
        <v>16</v>
      </c>
      <c r="Z16" s="10">
        <f xml:space="preserve">  Time!Z$28</f>
        <v>17</v>
      </c>
      <c r="AA16" s="10">
        <f xml:space="preserve">  Time!AA$28</f>
        <v>18</v>
      </c>
      <c r="AB16" s="10">
        <f xml:space="preserve">  Time!AB$28</f>
        <v>19</v>
      </c>
      <c r="AC16" s="10">
        <f xml:space="preserve">  Time!AC$28</f>
        <v>20</v>
      </c>
      <c r="AD16" s="10">
        <f xml:space="preserve">  Time!AD$28</f>
        <v>21</v>
      </c>
      <c r="AE16" s="10">
        <f xml:space="preserve">  Time!AE$28</f>
        <v>22</v>
      </c>
      <c r="AF16" s="10">
        <f xml:space="preserve">  Time!AF$28</f>
        <v>23</v>
      </c>
      <c r="AG16" s="10">
        <f xml:space="preserve">  Time!AG$28</f>
        <v>24</v>
      </c>
      <c r="AH16" s="10">
        <f xml:space="preserve">  Time!AH$28</f>
        <v>25</v>
      </c>
      <c r="AI16" s="10">
        <f xml:space="preserve">  Time!AI$28</f>
        <v>26</v>
      </c>
      <c r="AJ16" s="10">
        <f xml:space="preserve">  Time!AJ$28</f>
        <v>27</v>
      </c>
      <c r="AK16" s="10">
        <f xml:space="preserve">  Time!AK$28</f>
        <v>28</v>
      </c>
      <c r="AL16" s="10">
        <f xml:space="preserve">  Time!AL$28</f>
        <v>29</v>
      </c>
      <c r="AM16" s="10">
        <f xml:space="preserve">  Time!AM$28</f>
        <v>30</v>
      </c>
      <c r="AN16" s="10">
        <f xml:space="preserve">  Time!AN$28</f>
        <v>31</v>
      </c>
      <c r="AO16" s="10">
        <f xml:space="preserve">  Time!AO$28</f>
        <v>32</v>
      </c>
      <c r="AP16" s="10">
        <f xml:space="preserve">  Time!AP$28</f>
        <v>33</v>
      </c>
      <c r="AQ16" s="10">
        <f xml:space="preserve">  Time!AQ$28</f>
        <v>34</v>
      </c>
      <c r="AR16" s="10">
        <f xml:space="preserve">  Time!AR$28</f>
        <v>35</v>
      </c>
      <c r="AS16" s="10">
        <f xml:space="preserve">  Time!AS$28</f>
        <v>36</v>
      </c>
      <c r="AT16" s="10">
        <f xml:space="preserve">  Time!AT$28</f>
        <v>37</v>
      </c>
      <c r="AU16" s="10">
        <f xml:space="preserve">  Time!AU$28</f>
        <v>38</v>
      </c>
      <c r="AV16" s="10">
        <f xml:space="preserve">  Time!AV$28</f>
        <v>39</v>
      </c>
      <c r="AW16" s="10">
        <f xml:space="preserve">  Time!AW$28</f>
        <v>40</v>
      </c>
      <c r="AX16" s="10">
        <f xml:space="preserve">  Time!AX$28</f>
        <v>41</v>
      </c>
      <c r="AY16" s="10">
        <f xml:space="preserve">  Time!AY$28</f>
        <v>42</v>
      </c>
      <c r="AZ16" s="10">
        <f xml:space="preserve">  Time!AZ$28</f>
        <v>43</v>
      </c>
      <c r="BA16" s="10">
        <f xml:space="preserve">  Time!BA$28</f>
        <v>44</v>
      </c>
      <c r="BB16" s="10">
        <f xml:space="preserve">  Time!BB$28</f>
        <v>45</v>
      </c>
      <c r="BC16" s="10">
        <f xml:space="preserve">  Time!BC$28</f>
        <v>46</v>
      </c>
      <c r="BD16" s="10">
        <f xml:space="preserve">  Time!BD$28</f>
        <v>47</v>
      </c>
      <c r="BE16" s="10">
        <f xml:space="preserve">  Time!BE$28</f>
        <v>48</v>
      </c>
      <c r="BF16" s="10">
        <f xml:space="preserve">  Time!BF$28</f>
        <v>49</v>
      </c>
      <c r="BG16" s="10">
        <f xml:space="preserve">  Time!BG$28</f>
        <v>50</v>
      </c>
      <c r="BH16" s="10">
        <f xml:space="preserve">  Time!BH$28</f>
        <v>51</v>
      </c>
      <c r="BI16" s="10">
        <f xml:space="preserve">  Time!BI$28</f>
        <v>52</v>
      </c>
      <c r="BJ16" s="10">
        <f xml:space="preserve">  Time!BJ$28</f>
        <v>53</v>
      </c>
      <c r="BK16" s="10">
        <f xml:space="preserve">  Time!BK$28</f>
        <v>54</v>
      </c>
      <c r="BL16" s="10">
        <f xml:space="preserve">  Time!BL$28</f>
        <v>55</v>
      </c>
      <c r="BM16" s="10">
        <f xml:space="preserve">  Time!BM$28</f>
        <v>56</v>
      </c>
      <c r="BN16" s="10">
        <f xml:space="preserve">  Time!BN$28</f>
        <v>57</v>
      </c>
      <c r="BO16" s="10">
        <f xml:space="preserve">  Time!BO$28</f>
        <v>58</v>
      </c>
      <c r="BP16" s="10">
        <f xml:space="preserve">  Time!BP$28</f>
        <v>59</v>
      </c>
      <c r="BQ16" s="10">
        <f xml:space="preserve">  Time!BQ$28</f>
        <v>60</v>
      </c>
    </row>
    <row r="17" spans="1:69">
      <c r="E17" s="46" t="s">
        <v>179</v>
      </c>
      <c r="G17" s="46" t="s">
        <v>122</v>
      </c>
      <c r="J17" s="2">
        <f t="shared" ref="J17:BQ17" si="1" xml:space="preserve">  I21</f>
        <v>0</v>
      </c>
      <c r="K17" s="2">
        <f t="shared" ca="1" si="1"/>
        <v>500</v>
      </c>
      <c r="L17" s="2">
        <f t="shared" ca="1" si="1"/>
        <v>1030.3186927640659</v>
      </c>
      <c r="M17" s="2">
        <f t="shared" ca="1" si="1"/>
        <v>1591.7273777732489</v>
      </c>
      <c r="N17" s="2">
        <f t="shared" ca="1" si="1"/>
        <v>2187.1784176541755</v>
      </c>
      <c r="O17" s="2">
        <f t="shared" ca="1" si="1"/>
        <v>2818.7360518034889</v>
      </c>
      <c r="P17" s="2">
        <f t="shared" ca="1" si="1"/>
        <v>3487.3188223772922</v>
      </c>
      <c r="Q17" s="2">
        <f t="shared" ca="1" si="1"/>
        <v>4196.4427041678455</v>
      </c>
      <c r="R17" s="2">
        <f t="shared" ca="1" si="1"/>
        <v>750.69634809527088</v>
      </c>
      <c r="S17" s="2">
        <f t="shared" ca="1" si="1"/>
        <v>796.21661196928426</v>
      </c>
      <c r="T17" s="2">
        <f t="shared" ca="1" si="1"/>
        <v>1587.8527698655694</v>
      </c>
      <c r="U17" s="2">
        <f t="shared" ca="1" si="1"/>
        <v>2478.7514880059089</v>
      </c>
      <c r="V17" s="2">
        <f t="shared" ca="1" si="1"/>
        <v>3423.5199996978349</v>
      </c>
      <c r="W17" s="2">
        <f t="shared" ca="1" si="1"/>
        <v>4423.5199996978354</v>
      </c>
      <c r="X17" s="2">
        <f t="shared" ca="1" si="1"/>
        <v>1061.5580832031037</v>
      </c>
      <c r="Y17" s="2">
        <f t="shared" ca="1" si="1"/>
        <v>1608.782546484143</v>
      </c>
      <c r="Z17" s="2">
        <f t="shared" ca="1" si="1"/>
        <v>2800.5295313497695</v>
      </c>
      <c r="AA17" s="2">
        <f t="shared" ca="1" si="1"/>
        <v>4064.4391463453944</v>
      </c>
      <c r="AB17" s="2">
        <f t="shared" ca="1" si="1"/>
        <v>5402.341328438788</v>
      </c>
      <c r="AC17" s="2">
        <f t="shared" ca="1" si="1"/>
        <v>6821.2561260811181</v>
      </c>
      <c r="AD17" s="2">
        <f t="shared" ca="1" si="1"/>
        <v>3323.2378987072007</v>
      </c>
      <c r="AE17" s="2">
        <f t="shared" ca="1" si="1"/>
        <v>4917.0098973718341</v>
      </c>
      <c r="AF17" s="2">
        <f t="shared" ca="1" si="1"/>
        <v>6607.3332674812409</v>
      </c>
      <c r="AG17" s="2">
        <f t="shared" ca="1" si="1"/>
        <v>8389.8821078177534</v>
      </c>
      <c r="AH17" s="2">
        <f t="shared" ca="1" si="1"/>
        <v>5280.4184992882947</v>
      </c>
      <c r="AI17" s="2">
        <f t="shared" ca="1" si="1"/>
        <v>7731.6837664626437</v>
      </c>
      <c r="AJ17" s="2">
        <f t="shared" ca="1" si="1"/>
        <v>9331.4733404863691</v>
      </c>
      <c r="AK17" s="2">
        <f t="shared" ca="1" si="1"/>
        <v>11022.921686897271</v>
      </c>
      <c r="AL17" s="2">
        <f t="shared" ca="1" si="1"/>
        <v>7818.941333262057</v>
      </c>
      <c r="AM17" s="2">
        <f t="shared" ca="1" si="1"/>
        <v>9723.7311620114488</v>
      </c>
      <c r="AN17" s="2">
        <f t="shared" ca="1" si="1"/>
        <v>11737.654015413058</v>
      </c>
      <c r="AO17" s="2">
        <f t="shared" ca="1" si="1"/>
        <v>8876.0852098565028</v>
      </c>
      <c r="AP17" s="2">
        <f t="shared" ca="1" si="1"/>
        <v>11137.035294179654</v>
      </c>
      <c r="AQ17" s="2">
        <f t="shared" ca="1" si="1"/>
        <v>8539.1124060332841</v>
      </c>
      <c r="AR17" s="2">
        <f t="shared" ca="1" si="1"/>
        <v>11086.708996873176</v>
      </c>
      <c r="AS17" s="2">
        <f t="shared" ca="1" si="1"/>
        <v>13763.963948962575</v>
      </c>
      <c r="AT17" s="2">
        <f t="shared" ca="1" si="1"/>
        <v>11612.884499067255</v>
      </c>
      <c r="AU17" s="2">
        <f t="shared" ca="1" si="1"/>
        <v>14625.245659482582</v>
      </c>
      <c r="AV17" s="2">
        <f t="shared" ca="1" si="1"/>
        <v>17825.039732757017</v>
      </c>
      <c r="AW17" s="2">
        <f t="shared" ca="1" si="1"/>
        <v>16206.302114853477</v>
      </c>
      <c r="AX17" s="2">
        <f t="shared" ca="1" si="1"/>
        <v>19796.764460323608</v>
      </c>
      <c r="AY17" s="2">
        <f t="shared" ca="1" si="1"/>
        <v>18604.839748382903</v>
      </c>
      <c r="AZ17" s="2">
        <f t="shared" ca="1" si="1"/>
        <v>22631.268734313388</v>
      </c>
      <c r="BA17" s="2">
        <f t="shared" ca="1" si="1"/>
        <v>21906.813566747762</v>
      </c>
      <c r="BB17" s="2">
        <f t="shared" ca="1" si="1"/>
        <v>21427.517195321179</v>
      </c>
      <c r="BC17" s="2">
        <f t="shared" ca="1" si="1"/>
        <v>26230.895037101749</v>
      </c>
      <c r="BD17" s="2">
        <f t="shared" ca="1" si="1"/>
        <v>26323.80956201446</v>
      </c>
      <c r="BE17" s="2">
        <f t="shared" ca="1" si="1"/>
        <v>26675.548404206747</v>
      </c>
      <c r="BF17" s="2">
        <f t="shared" ca="1" si="1"/>
        <v>32372.010202025675</v>
      </c>
      <c r="BG17" s="2">
        <f t="shared" ca="1" si="1"/>
        <v>33395.1135253951</v>
      </c>
      <c r="BH17" s="2">
        <f t="shared" ca="1" si="1"/>
        <v>33890.882436441323</v>
      </c>
      <c r="BI17" s="2">
        <f t="shared" ca="1" si="1"/>
        <v>34698.818731012048</v>
      </c>
      <c r="BJ17" s="2">
        <f t="shared" ca="1" si="1"/>
        <v>35869.207219607117</v>
      </c>
      <c r="BK17" s="2">
        <f t="shared" ca="1" si="1"/>
        <v>37413.559885219496</v>
      </c>
      <c r="BL17" s="2">
        <f t="shared" ca="1" si="1"/>
        <v>39329.641460602288</v>
      </c>
      <c r="BM17" s="2">
        <f t="shared" ca="1" si="1"/>
        <v>41677.330004879172</v>
      </c>
      <c r="BN17" s="2">
        <f t="shared" ca="1" si="1"/>
        <v>44442.378495579731</v>
      </c>
      <c r="BO17" s="2">
        <f t="shared" ca="1" si="1"/>
        <v>47678.178177315582</v>
      </c>
      <c r="BP17" s="2">
        <f t="shared" ca="1" si="1"/>
        <v>51410.1776100282</v>
      </c>
      <c r="BQ17" s="2">
        <f t="shared" ca="1" si="1"/>
        <v>55598.504988489847</v>
      </c>
    </row>
    <row r="18" spans="1:69">
      <c r="D18" s="88" t="s">
        <v>216</v>
      </c>
      <c r="E18" s="2" t="str">
        <f t="shared" ref="E18:BQ18" si="2" xml:space="preserve">  E$11</f>
        <v>New customers orders</v>
      </c>
      <c r="F18" s="2">
        <f t="shared" si="2"/>
        <v>0</v>
      </c>
      <c r="G18" s="2" t="str">
        <f t="shared" si="2"/>
        <v>Units</v>
      </c>
      <c r="H18" s="2">
        <f t="shared" si="2"/>
        <v>261181.72293639058</v>
      </c>
      <c r="I18" s="2">
        <f t="shared" si="2"/>
        <v>0</v>
      </c>
      <c r="J18" s="2">
        <f t="shared" si="2"/>
        <v>500</v>
      </c>
      <c r="K18" s="2">
        <f t="shared" si="2"/>
        <v>530.31869276406599</v>
      </c>
      <c r="L18" s="2">
        <f t="shared" si="2"/>
        <v>561.40868500918316</v>
      </c>
      <c r="M18" s="2">
        <f t="shared" si="2"/>
        <v>595.4510398809266</v>
      </c>
      <c r="N18" s="2">
        <f t="shared" si="2"/>
        <v>631.55763414931334</v>
      </c>
      <c r="O18" s="2">
        <f t="shared" si="2"/>
        <v>668.58277057380337</v>
      </c>
      <c r="P18" s="2">
        <f t="shared" si="2"/>
        <v>709.12388179055358</v>
      </c>
      <c r="Q18" s="2">
        <f t="shared" si="2"/>
        <v>750.69634809527076</v>
      </c>
      <c r="R18" s="2">
        <f t="shared" si="2"/>
        <v>796.21661196928437</v>
      </c>
      <c r="S18" s="2">
        <f t="shared" si="2"/>
        <v>844.49710563316887</v>
      </c>
      <c r="T18" s="2">
        <f t="shared" si="2"/>
        <v>890.89871814033927</v>
      </c>
      <c r="U18" s="2">
        <f t="shared" si="2"/>
        <v>944.76851169192605</v>
      </c>
      <c r="V18" s="2">
        <f t="shared" si="2"/>
        <v>1000</v>
      </c>
      <c r="W18" s="2">
        <f t="shared" si="2"/>
        <v>1061.5580832031035</v>
      </c>
      <c r="X18" s="2">
        <f t="shared" si="2"/>
        <v>1123.704463583204</v>
      </c>
      <c r="Y18" s="2">
        <f t="shared" si="2"/>
        <v>1191.7469848656265</v>
      </c>
      <c r="Z18" s="2">
        <f t="shared" si="2"/>
        <v>1263.9096149956249</v>
      </c>
      <c r="AA18" s="2">
        <f t="shared" si="2"/>
        <v>1337.9021820933933</v>
      </c>
      <c r="AB18" s="2">
        <f t="shared" si="2"/>
        <v>1418.9147976423296</v>
      </c>
      <c r="AC18" s="2">
        <f t="shared" si="2"/>
        <v>1501.9817726260831</v>
      </c>
      <c r="AD18" s="2">
        <f t="shared" si="2"/>
        <v>1593.7719986646332</v>
      </c>
      <c r="AE18" s="2">
        <f t="shared" si="2"/>
        <v>1690.3233701094071</v>
      </c>
      <c r="AF18" s="2">
        <f t="shared" si="2"/>
        <v>1782.5488403365116</v>
      </c>
      <c r="AG18" s="2">
        <f t="shared" si="2"/>
        <v>1890.5363914705406</v>
      </c>
      <c r="AH18" s="2">
        <f t="shared" si="2"/>
        <v>2001.2652671743485</v>
      </c>
      <c r="AI18" s="2">
        <f t="shared" si="2"/>
        <v>2122.5027505360667</v>
      </c>
      <c r="AJ18" s="2">
        <f t="shared" si="2"/>
        <v>2246.81791543077</v>
      </c>
      <c r="AK18" s="2">
        <f t="shared" si="2"/>
        <v>2382.9310804903203</v>
      </c>
      <c r="AL18" s="2">
        <f t="shared" si="2"/>
        <v>2527.2900377768647</v>
      </c>
      <c r="AM18" s="2">
        <f t="shared" si="2"/>
        <v>2675.3136281838124</v>
      </c>
      <c r="AN18" s="2">
        <f t="shared" si="2"/>
        <v>2837.3852419795539</v>
      </c>
      <c r="AO18" s="2">
        <f t="shared" si="2"/>
        <v>3003.5711346185153</v>
      </c>
      <c r="AP18" s="2">
        <f t="shared" si="2"/>
        <v>3186.8748572718159</v>
      </c>
      <c r="AQ18" s="2">
        <f t="shared" si="2"/>
        <v>3379.98241970861</v>
      </c>
      <c r="AR18" s="2">
        <f t="shared" si="2"/>
        <v>3564.4403170294318</v>
      </c>
      <c r="AS18" s="2">
        <f t="shared" si="2"/>
        <v>3780.4263258626238</v>
      </c>
      <c r="AT18" s="2">
        <f t="shared" si="2"/>
        <v>4001.8981837991764</v>
      </c>
      <c r="AU18" s="2">
        <f t="shared" si="2"/>
        <v>4244.3917983916417</v>
      </c>
      <c r="AV18" s="2">
        <f t="shared" si="2"/>
        <v>4493.0445312777838</v>
      </c>
      <c r="AW18" s="2">
        <f t="shared" si="2"/>
        <v>4765.298986257475</v>
      </c>
      <c r="AX18" s="2">
        <f t="shared" si="2"/>
        <v>5054.050604294488</v>
      </c>
      <c r="AY18" s="2">
        <f t="shared" si="2"/>
        <v>5350.1362520376797</v>
      </c>
      <c r="AZ18" s="2">
        <f t="shared" si="2"/>
        <v>5674.3258787430632</v>
      </c>
      <c r="BA18" s="2">
        <f t="shared" si="2"/>
        <v>6006.7496284946019</v>
      </c>
      <c r="BB18" s="2">
        <f t="shared" si="2"/>
        <v>6372.946588234563</v>
      </c>
      <c r="BC18" s="2">
        <f t="shared" si="2"/>
        <v>6759.1674891435086</v>
      </c>
      <c r="BD18" s="2">
        <f t="shared" si="2"/>
        <v>7128.0916261082357</v>
      </c>
      <c r="BE18" s="2">
        <f t="shared" si="2"/>
        <v>7560.0767261684687</v>
      </c>
      <c r="BF18" s="2">
        <f t="shared" si="2"/>
        <v>8003.0373658535955</v>
      </c>
      <c r="BG18" s="2">
        <f t="shared" si="2"/>
        <v>8488.0469699124624</v>
      </c>
      <c r="BH18" s="2">
        <f t="shared" si="2"/>
        <v>8985.3793187304836</v>
      </c>
      <c r="BI18" s="2">
        <f t="shared" si="2"/>
        <v>9529.921980031846</v>
      </c>
      <c r="BJ18" s="2">
        <f t="shared" si="2"/>
        <v>10107.465664379506</v>
      </c>
      <c r="BK18" s="2">
        <f t="shared" si="2"/>
        <v>10699.683127039856</v>
      </c>
      <c r="BL18" s="2">
        <f t="shared" si="2"/>
        <v>11348.118069895754</v>
      </c>
      <c r="BM18" s="2">
        <f t="shared" si="2"/>
        <v>12013.027940725995</v>
      </c>
      <c r="BN18" s="2">
        <f t="shared" si="2"/>
        <v>12726.008005999736</v>
      </c>
      <c r="BO18" s="2">
        <f t="shared" si="2"/>
        <v>13496.954871063208</v>
      </c>
      <c r="BP18" s="2">
        <f t="shared" si="2"/>
        <v>14260.390722692093</v>
      </c>
      <c r="BQ18" s="2">
        <f t="shared" si="2"/>
        <v>15124.291131764327</v>
      </c>
    </row>
    <row r="19" spans="1:69">
      <c r="D19" s="88" t="s">
        <v>216</v>
      </c>
      <c r="E19" s="2" t="str">
        <f t="shared" ref="E19:BQ19" si="3" xml:space="preserve">  E$32</f>
        <v>Renewing Customer Orders</v>
      </c>
      <c r="F19" s="2">
        <f t="shared" si="3"/>
        <v>0</v>
      </c>
      <c r="G19" s="2" t="str">
        <f t="shared" si="3"/>
        <v>Units</v>
      </c>
      <c r="H19" s="2">
        <f t="shared" ca="1" si="3"/>
        <v>53090.297527815921</v>
      </c>
      <c r="I19" s="2">
        <f t="shared" si="3"/>
        <v>0</v>
      </c>
      <c r="J19" s="2">
        <f t="shared" ca="1" si="3"/>
        <v>0</v>
      </c>
      <c r="K19" s="2">
        <f t="shared" ca="1" si="3"/>
        <v>0</v>
      </c>
      <c r="L19" s="2">
        <f t="shared" ca="1" si="3"/>
        <v>0</v>
      </c>
      <c r="M19" s="2">
        <f t="shared" ca="1" si="3"/>
        <v>0</v>
      </c>
      <c r="N19" s="2">
        <f t="shared" ca="1" si="3"/>
        <v>0</v>
      </c>
      <c r="O19" s="2">
        <f t="shared" ca="1" si="3"/>
        <v>0</v>
      </c>
      <c r="P19" s="2">
        <f t="shared" ca="1" si="3"/>
        <v>0</v>
      </c>
      <c r="Q19" s="2">
        <f t="shared" ca="1" si="3"/>
        <v>0</v>
      </c>
      <c r="R19" s="2">
        <f t="shared" ca="1" si="3"/>
        <v>0</v>
      </c>
      <c r="S19" s="2">
        <f t="shared" ca="1" si="3"/>
        <v>0</v>
      </c>
      <c r="T19" s="2">
        <f t="shared" ca="1" si="3"/>
        <v>0</v>
      </c>
      <c r="U19" s="2">
        <f t="shared" ca="1" si="3"/>
        <v>0</v>
      </c>
      <c r="V19" s="2">
        <f t="shared" ca="1" si="3"/>
        <v>0</v>
      </c>
      <c r="W19" s="2">
        <f t="shared" ca="1" si="3"/>
        <v>0</v>
      </c>
      <c r="X19" s="2">
        <f t="shared" ca="1" si="3"/>
        <v>0</v>
      </c>
      <c r="Y19" s="2">
        <f t="shared" ca="1" si="3"/>
        <v>0</v>
      </c>
      <c r="Z19" s="2">
        <f t="shared" ca="1" si="3"/>
        <v>0</v>
      </c>
      <c r="AA19" s="2">
        <f t="shared" ca="1" si="3"/>
        <v>0</v>
      </c>
      <c r="AB19" s="2">
        <f t="shared" ca="1" si="3"/>
        <v>0</v>
      </c>
      <c r="AC19" s="2">
        <f t="shared" ca="1" si="3"/>
        <v>0</v>
      </c>
      <c r="AD19" s="2">
        <f t="shared" ca="1" si="3"/>
        <v>0</v>
      </c>
      <c r="AE19" s="2">
        <f t="shared" ca="1" si="3"/>
        <v>0</v>
      </c>
      <c r="AF19" s="2">
        <f t="shared" ca="1" si="3"/>
        <v>0</v>
      </c>
      <c r="AG19" s="2">
        <f t="shared" ca="1" si="3"/>
        <v>0</v>
      </c>
      <c r="AH19" s="2">
        <f t="shared" ca="1" si="3"/>
        <v>450</v>
      </c>
      <c r="AI19" s="2">
        <f t="shared" ca="1" si="3"/>
        <v>477.28682348765938</v>
      </c>
      <c r="AJ19" s="2">
        <f t="shared" ca="1" si="3"/>
        <v>505.26781650826484</v>
      </c>
      <c r="AK19" s="2">
        <f t="shared" ca="1" si="3"/>
        <v>535.90593589283401</v>
      </c>
      <c r="AL19" s="2">
        <f t="shared" ca="1" si="3"/>
        <v>568.40187073438199</v>
      </c>
      <c r="AM19" s="2">
        <f t="shared" ca="1" si="3"/>
        <v>601.72449351642308</v>
      </c>
      <c r="AN19" s="2">
        <f t="shared" ca="1" si="3"/>
        <v>638.21149361149821</v>
      </c>
      <c r="AO19" s="2">
        <f t="shared" ca="1" si="3"/>
        <v>675.62671328574368</v>
      </c>
      <c r="AP19" s="2">
        <f t="shared" ca="1" si="3"/>
        <v>716.5949507723559</v>
      </c>
      <c r="AQ19" s="2">
        <f t="shared" ca="1" si="3"/>
        <v>760.04739506985197</v>
      </c>
      <c r="AR19" s="2">
        <f t="shared" ca="1" si="3"/>
        <v>801.80884632630534</v>
      </c>
      <c r="AS19" s="2">
        <f t="shared" ca="1" si="3"/>
        <v>850.29166052273342</v>
      </c>
      <c r="AT19" s="2">
        <f t="shared" ca="1" si="3"/>
        <v>900</v>
      </c>
      <c r="AU19" s="2">
        <f t="shared" ca="1" si="3"/>
        <v>955.40227488279311</v>
      </c>
      <c r="AV19" s="2">
        <f t="shared" ca="1" si="3"/>
        <v>1011.3340172248836</v>
      </c>
      <c r="AW19" s="2">
        <f t="shared" ca="1" si="3"/>
        <v>1072.5722863790638</v>
      </c>
      <c r="AX19" s="2">
        <f t="shared" ca="1" si="3"/>
        <v>1137.5186534960624</v>
      </c>
      <c r="AY19" s="2">
        <f t="shared" ca="1" si="3"/>
        <v>1204.1119638840539</v>
      </c>
      <c r="AZ19" s="2">
        <f t="shared" ca="1" si="3"/>
        <v>1277.0233178780968</v>
      </c>
      <c r="BA19" s="2">
        <f t="shared" ca="1" si="3"/>
        <v>1351.7835953634749</v>
      </c>
      <c r="BB19" s="2">
        <f t="shared" ca="1" si="3"/>
        <v>1434.3947987981699</v>
      </c>
      <c r="BC19" s="2">
        <f t="shared" ca="1" si="3"/>
        <v>1521.2910330984664</v>
      </c>
      <c r="BD19" s="2">
        <f t="shared" ca="1" si="3"/>
        <v>1604.2939563028606</v>
      </c>
      <c r="BE19" s="2">
        <f t="shared" ca="1" si="3"/>
        <v>1701.4827523234865</v>
      </c>
      <c r="BF19" s="2">
        <f t="shared" ca="1" si="3"/>
        <v>1801.1387404569136</v>
      </c>
      <c r="BG19" s="2">
        <f t="shared" ca="1" si="3"/>
        <v>1910.2524754824601</v>
      </c>
      <c r="BH19" s="2">
        <f t="shared" ca="1" si="3"/>
        <v>2022.136123887693</v>
      </c>
      <c r="BI19" s="2">
        <f t="shared" ca="1" si="3"/>
        <v>2144.6379724412882</v>
      </c>
      <c r="BJ19" s="2">
        <f t="shared" ca="1" si="3"/>
        <v>2274.5610339991781</v>
      </c>
      <c r="BK19" s="2">
        <f t="shared" ca="1" si="3"/>
        <v>2407.7822653654312</v>
      </c>
      <c r="BL19" s="2">
        <f t="shared" ca="1" si="3"/>
        <v>2553.6467177815985</v>
      </c>
      <c r="BM19" s="2">
        <f t="shared" ca="1" si="3"/>
        <v>2703.2140211566639</v>
      </c>
      <c r="BN19" s="2">
        <f t="shared" ca="1" si="3"/>
        <v>2868.1873715446345</v>
      </c>
      <c r="BO19" s="2">
        <f t="shared" ca="1" si="3"/>
        <v>3041.9841777377492</v>
      </c>
      <c r="BP19" s="2">
        <f t="shared" ca="1" si="3"/>
        <v>3207.9962853264888</v>
      </c>
      <c r="BQ19" s="2">
        <f t="shared" ca="1" si="3"/>
        <v>3402.3836932763616</v>
      </c>
    </row>
    <row r="20" spans="1:69">
      <c r="D20" s="88" t="s">
        <v>293</v>
      </c>
      <c r="E20" s="2" t="str">
        <f t="shared" ref="E20:BQ20" si="4" xml:space="preserve">  E$26</f>
        <v>Customer orders fullfilled</v>
      </c>
      <c r="F20" s="2">
        <f t="shared" si="4"/>
        <v>0</v>
      </c>
      <c r="G20" s="2" t="str">
        <f t="shared" si="4"/>
        <v>Units</v>
      </c>
      <c r="H20" s="2">
        <f t="shared" ca="1" si="4"/>
        <v>253879.33897738747</v>
      </c>
      <c r="I20" s="2">
        <f t="shared" si="4"/>
        <v>0</v>
      </c>
      <c r="J20" s="2">
        <f t="shared" si="4"/>
        <v>0</v>
      </c>
      <c r="K20" s="2">
        <f t="shared" ca="1" si="4"/>
        <v>0</v>
      </c>
      <c r="L20" s="2">
        <f t="shared" ca="1" si="4"/>
        <v>0</v>
      </c>
      <c r="M20" s="2">
        <f t="shared" ca="1" si="4"/>
        <v>0</v>
      </c>
      <c r="N20" s="2">
        <f t="shared" ca="1" si="4"/>
        <v>0</v>
      </c>
      <c r="O20" s="2">
        <f t="shared" ca="1" si="4"/>
        <v>0</v>
      </c>
      <c r="P20" s="2">
        <f t="shared" ca="1" si="4"/>
        <v>0</v>
      </c>
      <c r="Q20" s="2">
        <f t="shared" ca="1" si="4"/>
        <v>4196.4427041678455</v>
      </c>
      <c r="R20" s="2">
        <f t="shared" ca="1" si="4"/>
        <v>750.69634809527088</v>
      </c>
      <c r="S20" s="2">
        <f t="shared" ca="1" si="4"/>
        <v>52.860947736883645</v>
      </c>
      <c r="T20" s="2">
        <f t="shared" ca="1" si="4"/>
        <v>0</v>
      </c>
      <c r="U20" s="2">
        <f t="shared" ca="1" si="4"/>
        <v>0</v>
      </c>
      <c r="V20" s="2">
        <f t="shared" ca="1" si="4"/>
        <v>0</v>
      </c>
      <c r="W20" s="2">
        <f t="shared" ca="1" si="4"/>
        <v>4423.5199996978354</v>
      </c>
      <c r="X20" s="2">
        <f t="shared" ca="1" si="4"/>
        <v>576.48000030216463</v>
      </c>
      <c r="Y20" s="2">
        <f t="shared" ca="1" si="4"/>
        <v>0</v>
      </c>
      <c r="Z20" s="2">
        <f t="shared" ca="1" si="4"/>
        <v>0</v>
      </c>
      <c r="AA20" s="2">
        <f t="shared" ca="1" si="4"/>
        <v>0</v>
      </c>
      <c r="AB20" s="2">
        <f t="shared" ca="1" si="4"/>
        <v>0</v>
      </c>
      <c r="AC20" s="2">
        <f t="shared" ca="1" si="4"/>
        <v>5000</v>
      </c>
      <c r="AD20" s="2">
        <f t="shared" ca="1" si="4"/>
        <v>0</v>
      </c>
      <c r="AE20" s="2">
        <f t="shared" ca="1" si="4"/>
        <v>0</v>
      </c>
      <c r="AF20" s="2">
        <f t="shared" ca="1" si="4"/>
        <v>0</v>
      </c>
      <c r="AG20" s="2">
        <f t="shared" ca="1" si="4"/>
        <v>5000</v>
      </c>
      <c r="AH20" s="2">
        <f t="shared" ca="1" si="4"/>
        <v>0</v>
      </c>
      <c r="AI20" s="2">
        <f t="shared" ca="1" si="4"/>
        <v>1000</v>
      </c>
      <c r="AJ20" s="2">
        <f t="shared" ca="1" si="4"/>
        <v>1060.637385528132</v>
      </c>
      <c r="AK20" s="2">
        <f t="shared" ca="1" si="4"/>
        <v>6122.817370018367</v>
      </c>
      <c r="AL20" s="2">
        <f t="shared" ca="1" si="4"/>
        <v>1190.9020797618532</v>
      </c>
      <c r="AM20" s="2">
        <f t="shared" ca="1" si="4"/>
        <v>1263.1152682986267</v>
      </c>
      <c r="AN20" s="2">
        <f t="shared" ca="1" si="4"/>
        <v>6337.1655411476058</v>
      </c>
      <c r="AO20" s="2">
        <f t="shared" ca="1" si="4"/>
        <v>1418.2477635811072</v>
      </c>
      <c r="AP20" s="2">
        <f t="shared" ca="1" si="4"/>
        <v>6501.3926961905418</v>
      </c>
      <c r="AQ20" s="2">
        <f t="shared" ca="1" si="4"/>
        <v>1592.4332239385687</v>
      </c>
      <c r="AR20" s="2">
        <f t="shared" ca="1" si="4"/>
        <v>1688.9942112663377</v>
      </c>
      <c r="AS20" s="2">
        <f t="shared" ca="1" si="4"/>
        <v>6781.7974362806781</v>
      </c>
      <c r="AT20" s="2">
        <f t="shared" ca="1" si="4"/>
        <v>1889.5370233838521</v>
      </c>
      <c r="AU20" s="2">
        <f t="shared" ca="1" si="4"/>
        <v>2000</v>
      </c>
      <c r="AV20" s="2">
        <f t="shared" ca="1" si="4"/>
        <v>7123.1161664062074</v>
      </c>
      <c r="AW20" s="2">
        <f t="shared" ca="1" si="4"/>
        <v>2247.4089271664079</v>
      </c>
      <c r="AX20" s="2">
        <f t="shared" ca="1" si="4"/>
        <v>7383.4939697312529</v>
      </c>
      <c r="AY20" s="2">
        <f t="shared" ca="1" si="4"/>
        <v>2527.8192299912498</v>
      </c>
      <c r="AZ20" s="2">
        <f t="shared" ca="1" si="4"/>
        <v>7675.8043641867862</v>
      </c>
      <c r="BA20" s="2">
        <f t="shared" ca="1" si="4"/>
        <v>7837.8295952846602</v>
      </c>
      <c r="BB20" s="2">
        <f t="shared" ca="1" si="4"/>
        <v>3003.9635452521661</v>
      </c>
      <c r="BC20" s="2">
        <f t="shared" ca="1" si="4"/>
        <v>8187.5439973292669</v>
      </c>
      <c r="BD20" s="2">
        <f t="shared" ca="1" si="4"/>
        <v>8380.6467402188136</v>
      </c>
      <c r="BE20" s="2">
        <f t="shared" ca="1" si="4"/>
        <v>3565.0976806730232</v>
      </c>
      <c r="BF20" s="2">
        <f t="shared" ca="1" si="4"/>
        <v>8781.0727829410807</v>
      </c>
      <c r="BG20" s="2">
        <f t="shared" ca="1" si="4"/>
        <v>9902.530534348698</v>
      </c>
      <c r="BH20" s="2">
        <f t="shared" ca="1" si="4"/>
        <v>10199.579148047453</v>
      </c>
      <c r="BI20" s="2">
        <f t="shared" ca="1" si="4"/>
        <v>10504.171463878069</v>
      </c>
      <c r="BJ20" s="2">
        <f t="shared" ca="1" si="4"/>
        <v>10837.674032766308</v>
      </c>
      <c r="BK20" s="2">
        <f t="shared" ca="1" si="4"/>
        <v>11191.383817022494</v>
      </c>
      <c r="BL20" s="2">
        <f t="shared" ca="1" si="4"/>
        <v>11554.076243400472</v>
      </c>
      <c r="BM20" s="2">
        <f t="shared" ca="1" si="4"/>
        <v>11951.193471182105</v>
      </c>
      <c r="BN20" s="2">
        <f t="shared" ca="1" si="4"/>
        <v>12358.395695808518</v>
      </c>
      <c r="BO20" s="2">
        <f t="shared" ca="1" si="4"/>
        <v>12806.939616088344</v>
      </c>
      <c r="BP20" s="2">
        <f t="shared" ca="1" si="4"/>
        <v>13280.059629556923</v>
      </c>
      <c r="BQ20" s="2">
        <f t="shared" ca="1" si="4"/>
        <v>13732.498326711473</v>
      </c>
    </row>
    <row r="21" spans="1:69" s="83" customFormat="1">
      <c r="A21" s="62"/>
      <c r="B21" s="62"/>
      <c r="C21" s="90"/>
      <c r="D21" s="91"/>
      <c r="E21" s="35" t="s">
        <v>315</v>
      </c>
      <c r="F21" s="35"/>
      <c r="G21" s="35" t="s">
        <v>122</v>
      </c>
      <c r="H21" s="35"/>
      <c r="I21" s="11">
        <f t="shared" ref="I21:BQ21" si="5" xml:space="preserve">  IF( I16 = 0, $F15, I17 + I18 + I19 - I20 )</f>
        <v>0</v>
      </c>
      <c r="J21" s="11">
        <f t="shared" ca="1" si="5"/>
        <v>500</v>
      </c>
      <c r="K21" s="11">
        <f t="shared" ca="1" si="5"/>
        <v>1030.3186927640659</v>
      </c>
      <c r="L21" s="11">
        <f t="shared" ca="1" si="5"/>
        <v>1591.7273777732489</v>
      </c>
      <c r="M21" s="11">
        <f t="shared" ca="1" si="5"/>
        <v>2187.1784176541755</v>
      </c>
      <c r="N21" s="11">
        <f t="shared" ca="1" si="5"/>
        <v>2818.7360518034889</v>
      </c>
      <c r="O21" s="11">
        <f t="shared" ca="1" si="5"/>
        <v>3487.3188223772922</v>
      </c>
      <c r="P21" s="11">
        <f t="shared" ca="1" si="5"/>
        <v>4196.4427041678455</v>
      </c>
      <c r="Q21" s="11">
        <f t="shared" ca="1" si="5"/>
        <v>750.69634809527088</v>
      </c>
      <c r="R21" s="11">
        <f t="shared" ca="1" si="5"/>
        <v>796.21661196928426</v>
      </c>
      <c r="S21" s="11">
        <f t="shared" ca="1" si="5"/>
        <v>1587.8527698655694</v>
      </c>
      <c r="T21" s="11">
        <f t="shared" ca="1" si="5"/>
        <v>2478.7514880059089</v>
      </c>
      <c r="U21" s="11">
        <f t="shared" ca="1" si="5"/>
        <v>3423.5199996978349</v>
      </c>
      <c r="V21" s="11">
        <f t="shared" ca="1" si="5"/>
        <v>4423.5199996978354</v>
      </c>
      <c r="W21" s="11">
        <f t="shared" ca="1" si="5"/>
        <v>1061.5580832031037</v>
      </c>
      <c r="X21" s="11">
        <f t="shared" ca="1" si="5"/>
        <v>1608.782546484143</v>
      </c>
      <c r="Y21" s="11">
        <f t="shared" ca="1" si="5"/>
        <v>2800.5295313497695</v>
      </c>
      <c r="Z21" s="11">
        <f t="shared" ca="1" si="5"/>
        <v>4064.4391463453944</v>
      </c>
      <c r="AA21" s="11">
        <f t="shared" ca="1" si="5"/>
        <v>5402.341328438788</v>
      </c>
      <c r="AB21" s="11">
        <f t="shared" ca="1" si="5"/>
        <v>6821.2561260811181</v>
      </c>
      <c r="AC21" s="11">
        <f t="shared" ca="1" si="5"/>
        <v>3323.2378987072007</v>
      </c>
      <c r="AD21" s="11">
        <f t="shared" ca="1" si="5"/>
        <v>4917.0098973718341</v>
      </c>
      <c r="AE21" s="11">
        <f t="shared" ca="1" si="5"/>
        <v>6607.3332674812409</v>
      </c>
      <c r="AF21" s="11">
        <f t="shared" ca="1" si="5"/>
        <v>8389.8821078177534</v>
      </c>
      <c r="AG21" s="11">
        <f t="shared" ca="1" si="5"/>
        <v>5280.4184992882947</v>
      </c>
      <c r="AH21" s="11">
        <f t="shared" ca="1" si="5"/>
        <v>7731.6837664626437</v>
      </c>
      <c r="AI21" s="11">
        <f t="shared" ca="1" si="5"/>
        <v>9331.4733404863691</v>
      </c>
      <c r="AJ21" s="11">
        <f t="shared" ca="1" si="5"/>
        <v>11022.921686897271</v>
      </c>
      <c r="AK21" s="11">
        <f t="shared" ca="1" si="5"/>
        <v>7818.941333262057</v>
      </c>
      <c r="AL21" s="11">
        <f t="shared" ca="1" si="5"/>
        <v>9723.7311620114488</v>
      </c>
      <c r="AM21" s="11">
        <f t="shared" ca="1" si="5"/>
        <v>11737.654015413058</v>
      </c>
      <c r="AN21" s="11">
        <f t="shared" ca="1" si="5"/>
        <v>8876.0852098565028</v>
      </c>
      <c r="AO21" s="11">
        <f t="shared" ca="1" si="5"/>
        <v>11137.035294179654</v>
      </c>
      <c r="AP21" s="11">
        <f t="shared" ca="1" si="5"/>
        <v>8539.1124060332841</v>
      </c>
      <c r="AQ21" s="11">
        <f t="shared" ca="1" si="5"/>
        <v>11086.708996873176</v>
      </c>
      <c r="AR21" s="11">
        <f t="shared" ca="1" si="5"/>
        <v>13763.963948962575</v>
      </c>
      <c r="AS21" s="11">
        <f t="shared" ca="1" si="5"/>
        <v>11612.884499067255</v>
      </c>
      <c r="AT21" s="11">
        <f t="shared" ca="1" si="5"/>
        <v>14625.245659482582</v>
      </c>
      <c r="AU21" s="11">
        <f t="shared" ca="1" si="5"/>
        <v>17825.039732757017</v>
      </c>
      <c r="AV21" s="11">
        <f t="shared" ca="1" si="5"/>
        <v>16206.302114853477</v>
      </c>
      <c r="AW21" s="11">
        <f t="shared" ca="1" si="5"/>
        <v>19796.764460323608</v>
      </c>
      <c r="AX21" s="11">
        <f t="shared" ca="1" si="5"/>
        <v>18604.839748382903</v>
      </c>
      <c r="AY21" s="11">
        <f t="shared" ca="1" si="5"/>
        <v>22631.268734313388</v>
      </c>
      <c r="AZ21" s="11">
        <f t="shared" ca="1" si="5"/>
        <v>21906.813566747762</v>
      </c>
      <c r="BA21" s="11">
        <f t="shared" ca="1" si="5"/>
        <v>21427.517195321179</v>
      </c>
      <c r="BB21" s="11">
        <f t="shared" ca="1" si="5"/>
        <v>26230.895037101749</v>
      </c>
      <c r="BC21" s="11">
        <f t="shared" ca="1" si="5"/>
        <v>26323.80956201446</v>
      </c>
      <c r="BD21" s="11">
        <f t="shared" ca="1" si="5"/>
        <v>26675.548404206747</v>
      </c>
      <c r="BE21" s="11">
        <f t="shared" ca="1" si="5"/>
        <v>32372.010202025675</v>
      </c>
      <c r="BF21" s="11">
        <f t="shared" ca="1" si="5"/>
        <v>33395.1135253951</v>
      </c>
      <c r="BG21" s="11">
        <f t="shared" ca="1" si="5"/>
        <v>33890.882436441323</v>
      </c>
      <c r="BH21" s="11">
        <f t="shared" ca="1" si="5"/>
        <v>34698.818731012048</v>
      </c>
      <c r="BI21" s="11">
        <f t="shared" ca="1" si="5"/>
        <v>35869.207219607117</v>
      </c>
      <c r="BJ21" s="11">
        <f t="shared" ca="1" si="5"/>
        <v>37413.559885219496</v>
      </c>
      <c r="BK21" s="11">
        <f t="shared" ca="1" si="5"/>
        <v>39329.641460602288</v>
      </c>
      <c r="BL21" s="11">
        <f t="shared" ca="1" si="5"/>
        <v>41677.330004879172</v>
      </c>
      <c r="BM21" s="11">
        <f t="shared" ca="1" si="5"/>
        <v>44442.378495579731</v>
      </c>
      <c r="BN21" s="11">
        <f t="shared" ca="1" si="5"/>
        <v>47678.178177315582</v>
      </c>
      <c r="BO21" s="11">
        <f t="shared" ca="1" si="5"/>
        <v>51410.1776100282</v>
      </c>
      <c r="BP21" s="11">
        <f t="shared" ca="1" si="5"/>
        <v>55598.504988489847</v>
      </c>
      <c r="BQ21" s="11">
        <f t="shared" ca="1" si="5"/>
        <v>60392.68148681907</v>
      </c>
    </row>
    <row r="23" spans="1:69">
      <c r="B23" s="27" t="s">
        <v>217</v>
      </c>
    </row>
    <row r="24" spans="1:69" outlineLevel="1">
      <c r="A24" s="18"/>
      <c r="B24" s="18"/>
      <c r="C24" s="30"/>
      <c r="D24" s="31"/>
      <c r="E24" s="4" t="str">
        <f xml:space="preserve">  Inventory!E$51</f>
        <v>Units in stock BEG</v>
      </c>
      <c r="F24" s="4">
        <f xml:space="preserve">  Inventory!F$51</f>
        <v>0</v>
      </c>
      <c r="G24" s="4" t="str">
        <f xml:space="preserve">  Inventory!G$51</f>
        <v>Units</v>
      </c>
      <c r="H24" s="4">
        <f xml:space="preserve">  Inventory!H$51</f>
        <v>0</v>
      </c>
      <c r="I24" s="4">
        <f xml:space="preserve">  Inventory!I$51</f>
        <v>0</v>
      </c>
      <c r="J24" s="4">
        <f xml:space="preserve">  Inventory!J$51</f>
        <v>0</v>
      </c>
      <c r="K24" s="4">
        <f ca="1" xml:space="preserve">  Inventory!K$51</f>
        <v>0</v>
      </c>
      <c r="L24" s="4">
        <f ca="1" xml:space="preserve">  Inventory!L$51</f>
        <v>0</v>
      </c>
      <c r="M24" s="4">
        <f ca="1" xml:space="preserve">  Inventory!M$51</f>
        <v>0</v>
      </c>
      <c r="N24" s="4">
        <f ca="1" xml:space="preserve">  Inventory!N$51</f>
        <v>0</v>
      </c>
      <c r="O24" s="4">
        <f ca="1" xml:space="preserve">  Inventory!O$51</f>
        <v>0</v>
      </c>
      <c r="P24" s="4">
        <f ca="1" xml:space="preserve">  Inventory!P$51</f>
        <v>0</v>
      </c>
      <c r="Q24" s="4">
        <f ca="1" xml:space="preserve">  Inventory!Q$51</f>
        <v>5000</v>
      </c>
      <c r="R24" s="4">
        <f ca="1" xml:space="preserve">  Inventory!R$51</f>
        <v>803.55729583215452</v>
      </c>
      <c r="S24" s="4">
        <f ca="1" xml:space="preserve">  Inventory!S$51</f>
        <v>52.860947736883645</v>
      </c>
      <c r="T24" s="4">
        <f ca="1" xml:space="preserve">  Inventory!T$51</f>
        <v>0</v>
      </c>
      <c r="U24" s="4">
        <f ca="1" xml:space="preserve">  Inventory!U$51</f>
        <v>0</v>
      </c>
      <c r="V24" s="4">
        <f ca="1" xml:space="preserve">  Inventory!V$51</f>
        <v>0</v>
      </c>
      <c r="W24" s="4">
        <f ca="1" xml:space="preserve">  Inventory!W$51</f>
        <v>5000</v>
      </c>
      <c r="X24" s="4">
        <f ca="1" xml:space="preserve">  Inventory!X$51</f>
        <v>576.48000030216463</v>
      </c>
      <c r="Y24" s="4">
        <f ca="1" xml:space="preserve">  Inventory!Y$51</f>
        <v>0</v>
      </c>
      <c r="Z24" s="4">
        <f ca="1" xml:space="preserve">  Inventory!Z$51</f>
        <v>0</v>
      </c>
      <c r="AA24" s="4">
        <f ca="1" xml:space="preserve">  Inventory!AA$51</f>
        <v>0</v>
      </c>
      <c r="AB24" s="4">
        <f ca="1" xml:space="preserve">  Inventory!AB$51</f>
        <v>0</v>
      </c>
      <c r="AC24" s="4">
        <f ca="1" xml:space="preserve">  Inventory!AC$51</f>
        <v>5000</v>
      </c>
      <c r="AD24" s="4">
        <f ca="1" xml:space="preserve">  Inventory!AD$51</f>
        <v>0</v>
      </c>
      <c r="AE24" s="4">
        <f ca="1" xml:space="preserve">  Inventory!AE$51</f>
        <v>0</v>
      </c>
      <c r="AF24" s="4">
        <f ca="1" xml:space="preserve">  Inventory!AF$51</f>
        <v>0</v>
      </c>
      <c r="AG24" s="4">
        <f ca="1" xml:space="preserve">  Inventory!AG$51</f>
        <v>5000</v>
      </c>
      <c r="AH24" s="4">
        <f ca="1" xml:space="preserve">  Inventory!AH$51</f>
        <v>0</v>
      </c>
      <c r="AI24" s="4">
        <f ca="1" xml:space="preserve">  Inventory!AI$51</f>
        <v>1000</v>
      </c>
      <c r="AJ24" s="4">
        <f ca="1" xml:space="preserve">  Inventory!AJ$51</f>
        <v>1060.637385528132</v>
      </c>
      <c r="AK24" s="4">
        <f ca="1" xml:space="preserve">  Inventory!AK$51</f>
        <v>6122.817370018367</v>
      </c>
      <c r="AL24" s="4">
        <f ca="1" xml:space="preserve">  Inventory!AL$51</f>
        <v>1190.9020797618532</v>
      </c>
      <c r="AM24" s="4">
        <f ca="1" xml:space="preserve">  Inventory!AM$51</f>
        <v>1263.1152682986267</v>
      </c>
      <c r="AN24" s="4">
        <f ca="1" xml:space="preserve">  Inventory!AN$51</f>
        <v>6337.1655411476058</v>
      </c>
      <c r="AO24" s="4">
        <f ca="1" xml:space="preserve">  Inventory!AO$51</f>
        <v>1418.2477635811072</v>
      </c>
      <c r="AP24" s="4">
        <f ca="1" xml:space="preserve">  Inventory!AP$51</f>
        <v>6501.3926961905418</v>
      </c>
      <c r="AQ24" s="4">
        <f ca="1" xml:space="preserve">  Inventory!AQ$51</f>
        <v>1592.4332239385687</v>
      </c>
      <c r="AR24" s="4">
        <f ca="1" xml:space="preserve">  Inventory!AR$51</f>
        <v>1688.9942112663377</v>
      </c>
      <c r="AS24" s="4">
        <f ca="1" xml:space="preserve">  Inventory!AS$51</f>
        <v>6781.7974362806781</v>
      </c>
      <c r="AT24" s="4">
        <f ca="1" xml:space="preserve">  Inventory!AT$51</f>
        <v>1889.5370233838521</v>
      </c>
      <c r="AU24" s="4">
        <f ca="1" xml:space="preserve">  Inventory!AU$51</f>
        <v>2000</v>
      </c>
      <c r="AV24" s="4">
        <f ca="1" xml:space="preserve">  Inventory!AV$51</f>
        <v>7123.1161664062074</v>
      </c>
      <c r="AW24" s="4">
        <f ca="1" xml:space="preserve">  Inventory!AW$51</f>
        <v>2247.4089271664079</v>
      </c>
      <c r="AX24" s="4">
        <f ca="1" xml:space="preserve">  Inventory!AX$51</f>
        <v>7383.4939697312529</v>
      </c>
      <c r="AY24" s="4">
        <f ca="1" xml:space="preserve">  Inventory!AY$51</f>
        <v>2527.8192299912498</v>
      </c>
      <c r="AZ24" s="4">
        <f ca="1" xml:space="preserve">  Inventory!AZ$51</f>
        <v>7675.8043641867862</v>
      </c>
      <c r="BA24" s="4">
        <f ca="1" xml:space="preserve">  Inventory!BA$51</f>
        <v>7837.8295952846602</v>
      </c>
      <c r="BB24" s="4">
        <f ca="1" xml:space="preserve">  Inventory!BB$51</f>
        <v>3003.9635452521661</v>
      </c>
      <c r="BC24" s="4">
        <f ca="1" xml:space="preserve">  Inventory!BC$51</f>
        <v>8187.5439973292669</v>
      </c>
      <c r="BD24" s="4">
        <f ca="1" xml:space="preserve">  Inventory!BD$51</f>
        <v>8380.6467402188136</v>
      </c>
      <c r="BE24" s="4">
        <f ca="1" xml:space="preserve">  Inventory!BE$51</f>
        <v>3565.0976806730232</v>
      </c>
      <c r="BF24" s="4">
        <f ca="1" xml:space="preserve">  Inventory!BF$51</f>
        <v>8781.0727829410807</v>
      </c>
      <c r="BG24" s="4">
        <f ca="1" xml:space="preserve">  Inventory!BG$51</f>
        <v>9902.530534348698</v>
      </c>
      <c r="BH24" s="4">
        <f ca="1" xml:space="preserve">  Inventory!BH$51</f>
        <v>10199.579148047453</v>
      </c>
      <c r="BI24" s="4">
        <f ca="1" xml:space="preserve">  Inventory!BI$51</f>
        <v>10504.171463878069</v>
      </c>
      <c r="BJ24" s="4">
        <f ca="1" xml:space="preserve">  Inventory!BJ$51</f>
        <v>10837.674032766308</v>
      </c>
      <c r="BK24" s="4">
        <f ca="1" xml:space="preserve">  Inventory!BK$51</f>
        <v>11191.383817022494</v>
      </c>
      <c r="BL24" s="4">
        <f ca="1" xml:space="preserve">  Inventory!BL$51</f>
        <v>11554.076243400472</v>
      </c>
      <c r="BM24" s="4">
        <f ca="1" xml:space="preserve">  Inventory!BM$51</f>
        <v>11951.193471182105</v>
      </c>
      <c r="BN24" s="4">
        <f ca="1" xml:space="preserve">  Inventory!BN$51</f>
        <v>12358.395695808518</v>
      </c>
      <c r="BO24" s="4">
        <f ca="1" xml:space="preserve">  Inventory!BO$51</f>
        <v>12806.939616088344</v>
      </c>
      <c r="BP24" s="4">
        <f ca="1" xml:space="preserve">  Inventory!BP$51</f>
        <v>13280.059629556923</v>
      </c>
      <c r="BQ24" s="4">
        <f ca="1" xml:space="preserve">  Inventory!BQ$51</f>
        <v>13732.498326711473</v>
      </c>
    </row>
    <row r="25" spans="1:69" outlineLevel="1">
      <c r="E25" s="2" t="str">
        <f t="shared" ref="E25:BQ25" si="6" xml:space="preserve">  E$17</f>
        <v>Customer Orders Awaiting Fullfilment BEG</v>
      </c>
      <c r="F25" s="2">
        <f t="shared" si="6"/>
        <v>0</v>
      </c>
      <c r="G25" s="2" t="str">
        <f t="shared" si="6"/>
        <v>Units</v>
      </c>
      <c r="H25" s="2">
        <f t="shared" si="6"/>
        <v>0</v>
      </c>
      <c r="I25" s="2">
        <f t="shared" si="6"/>
        <v>0</v>
      </c>
      <c r="J25" s="2">
        <f t="shared" si="6"/>
        <v>0</v>
      </c>
      <c r="K25" s="2">
        <f t="shared" ca="1" si="6"/>
        <v>500</v>
      </c>
      <c r="L25" s="2">
        <f t="shared" ca="1" si="6"/>
        <v>1030.3186927640659</v>
      </c>
      <c r="M25" s="2">
        <f t="shared" ca="1" si="6"/>
        <v>1591.7273777732489</v>
      </c>
      <c r="N25" s="2">
        <f t="shared" ca="1" si="6"/>
        <v>2187.1784176541755</v>
      </c>
      <c r="O25" s="2">
        <f t="shared" ca="1" si="6"/>
        <v>2818.7360518034889</v>
      </c>
      <c r="P25" s="2">
        <f t="shared" ca="1" si="6"/>
        <v>3487.3188223772922</v>
      </c>
      <c r="Q25" s="2">
        <f t="shared" ca="1" si="6"/>
        <v>4196.4427041678455</v>
      </c>
      <c r="R25" s="2">
        <f t="shared" ca="1" si="6"/>
        <v>750.69634809527088</v>
      </c>
      <c r="S25" s="2">
        <f t="shared" ca="1" si="6"/>
        <v>796.21661196928426</v>
      </c>
      <c r="T25" s="2">
        <f t="shared" ca="1" si="6"/>
        <v>1587.8527698655694</v>
      </c>
      <c r="U25" s="2">
        <f t="shared" ca="1" si="6"/>
        <v>2478.7514880059089</v>
      </c>
      <c r="V25" s="2">
        <f t="shared" ca="1" si="6"/>
        <v>3423.5199996978349</v>
      </c>
      <c r="W25" s="2">
        <f t="shared" ca="1" si="6"/>
        <v>4423.5199996978354</v>
      </c>
      <c r="X25" s="2">
        <f t="shared" ca="1" si="6"/>
        <v>1061.5580832031037</v>
      </c>
      <c r="Y25" s="2">
        <f t="shared" ca="1" si="6"/>
        <v>1608.782546484143</v>
      </c>
      <c r="Z25" s="2">
        <f t="shared" ca="1" si="6"/>
        <v>2800.5295313497695</v>
      </c>
      <c r="AA25" s="2">
        <f t="shared" ca="1" si="6"/>
        <v>4064.4391463453944</v>
      </c>
      <c r="AB25" s="2">
        <f t="shared" ca="1" si="6"/>
        <v>5402.341328438788</v>
      </c>
      <c r="AC25" s="2">
        <f t="shared" ca="1" si="6"/>
        <v>6821.2561260811181</v>
      </c>
      <c r="AD25" s="2">
        <f t="shared" ca="1" si="6"/>
        <v>3323.2378987072007</v>
      </c>
      <c r="AE25" s="2">
        <f t="shared" ca="1" si="6"/>
        <v>4917.0098973718341</v>
      </c>
      <c r="AF25" s="2">
        <f t="shared" ca="1" si="6"/>
        <v>6607.3332674812409</v>
      </c>
      <c r="AG25" s="2">
        <f t="shared" ca="1" si="6"/>
        <v>8389.8821078177534</v>
      </c>
      <c r="AH25" s="2">
        <f t="shared" ca="1" si="6"/>
        <v>5280.4184992882947</v>
      </c>
      <c r="AI25" s="2">
        <f t="shared" ca="1" si="6"/>
        <v>7731.6837664626437</v>
      </c>
      <c r="AJ25" s="2">
        <f t="shared" ca="1" si="6"/>
        <v>9331.4733404863691</v>
      </c>
      <c r="AK25" s="2">
        <f t="shared" ca="1" si="6"/>
        <v>11022.921686897271</v>
      </c>
      <c r="AL25" s="2">
        <f t="shared" ca="1" si="6"/>
        <v>7818.941333262057</v>
      </c>
      <c r="AM25" s="2">
        <f t="shared" ca="1" si="6"/>
        <v>9723.7311620114488</v>
      </c>
      <c r="AN25" s="2">
        <f t="shared" ca="1" si="6"/>
        <v>11737.654015413058</v>
      </c>
      <c r="AO25" s="2">
        <f t="shared" ca="1" si="6"/>
        <v>8876.0852098565028</v>
      </c>
      <c r="AP25" s="2">
        <f t="shared" ca="1" si="6"/>
        <v>11137.035294179654</v>
      </c>
      <c r="AQ25" s="2">
        <f t="shared" ca="1" si="6"/>
        <v>8539.1124060332841</v>
      </c>
      <c r="AR25" s="2">
        <f t="shared" ca="1" si="6"/>
        <v>11086.708996873176</v>
      </c>
      <c r="AS25" s="2">
        <f t="shared" ca="1" si="6"/>
        <v>13763.963948962575</v>
      </c>
      <c r="AT25" s="2">
        <f t="shared" ca="1" si="6"/>
        <v>11612.884499067255</v>
      </c>
      <c r="AU25" s="2">
        <f t="shared" ca="1" si="6"/>
        <v>14625.245659482582</v>
      </c>
      <c r="AV25" s="2">
        <f t="shared" ca="1" si="6"/>
        <v>17825.039732757017</v>
      </c>
      <c r="AW25" s="2">
        <f t="shared" ca="1" si="6"/>
        <v>16206.302114853477</v>
      </c>
      <c r="AX25" s="2">
        <f t="shared" ca="1" si="6"/>
        <v>19796.764460323608</v>
      </c>
      <c r="AY25" s="2">
        <f t="shared" ca="1" si="6"/>
        <v>18604.839748382903</v>
      </c>
      <c r="AZ25" s="2">
        <f t="shared" ca="1" si="6"/>
        <v>22631.268734313388</v>
      </c>
      <c r="BA25" s="2">
        <f t="shared" ca="1" si="6"/>
        <v>21906.813566747762</v>
      </c>
      <c r="BB25" s="2">
        <f t="shared" ca="1" si="6"/>
        <v>21427.517195321179</v>
      </c>
      <c r="BC25" s="2">
        <f t="shared" ca="1" si="6"/>
        <v>26230.895037101749</v>
      </c>
      <c r="BD25" s="2">
        <f t="shared" ca="1" si="6"/>
        <v>26323.80956201446</v>
      </c>
      <c r="BE25" s="2">
        <f t="shared" ca="1" si="6"/>
        <v>26675.548404206747</v>
      </c>
      <c r="BF25" s="2">
        <f t="shared" ca="1" si="6"/>
        <v>32372.010202025675</v>
      </c>
      <c r="BG25" s="2">
        <f t="shared" ca="1" si="6"/>
        <v>33395.1135253951</v>
      </c>
      <c r="BH25" s="2">
        <f t="shared" ca="1" si="6"/>
        <v>33890.882436441323</v>
      </c>
      <c r="BI25" s="2">
        <f t="shared" ca="1" si="6"/>
        <v>34698.818731012048</v>
      </c>
      <c r="BJ25" s="2">
        <f t="shared" ca="1" si="6"/>
        <v>35869.207219607117</v>
      </c>
      <c r="BK25" s="2">
        <f t="shared" ca="1" si="6"/>
        <v>37413.559885219496</v>
      </c>
      <c r="BL25" s="2">
        <f t="shared" ca="1" si="6"/>
        <v>39329.641460602288</v>
      </c>
      <c r="BM25" s="2">
        <f t="shared" ca="1" si="6"/>
        <v>41677.330004879172</v>
      </c>
      <c r="BN25" s="2">
        <f t="shared" ca="1" si="6"/>
        <v>44442.378495579731</v>
      </c>
      <c r="BO25" s="2">
        <f t="shared" ca="1" si="6"/>
        <v>47678.178177315582</v>
      </c>
      <c r="BP25" s="2">
        <f t="shared" ca="1" si="6"/>
        <v>51410.1776100282</v>
      </c>
      <c r="BQ25" s="2">
        <f t="shared" ca="1" si="6"/>
        <v>55598.504988489847</v>
      </c>
    </row>
    <row r="26" spans="1:69" outlineLevel="1">
      <c r="A26" s="36"/>
      <c r="B26" s="36"/>
      <c r="C26" s="65"/>
      <c r="D26" s="64"/>
      <c r="E26" s="21" t="s">
        <v>217</v>
      </c>
      <c r="F26" s="21"/>
      <c r="G26" s="21" t="s">
        <v>122</v>
      </c>
      <c r="H26" s="3">
        <f ca="1" xml:space="preserve"> SUM( J26:BQ26 )</f>
        <v>253879.33897738747</v>
      </c>
      <c r="I26" s="21"/>
      <c r="J26" s="3">
        <f t="shared" ref="J26:BQ26" si="7" xml:space="preserve">  IF( J24 &gt; 0, IF( J25 &gt; J24, J24, J25 ), 0 )</f>
        <v>0</v>
      </c>
      <c r="K26" s="3">
        <f t="shared" ca="1" si="7"/>
        <v>0</v>
      </c>
      <c r="L26" s="3">
        <f t="shared" ca="1" si="7"/>
        <v>0</v>
      </c>
      <c r="M26" s="3">
        <f t="shared" ca="1" si="7"/>
        <v>0</v>
      </c>
      <c r="N26" s="3">
        <f t="shared" ca="1" si="7"/>
        <v>0</v>
      </c>
      <c r="O26" s="3">
        <f t="shared" ca="1" si="7"/>
        <v>0</v>
      </c>
      <c r="P26" s="3">
        <f t="shared" ca="1" si="7"/>
        <v>0</v>
      </c>
      <c r="Q26" s="3">
        <f t="shared" ca="1" si="7"/>
        <v>4196.4427041678455</v>
      </c>
      <c r="R26" s="3">
        <f t="shared" ca="1" si="7"/>
        <v>750.69634809527088</v>
      </c>
      <c r="S26" s="3">
        <f t="shared" ca="1" si="7"/>
        <v>52.860947736883645</v>
      </c>
      <c r="T26" s="3">
        <f t="shared" ca="1" si="7"/>
        <v>0</v>
      </c>
      <c r="U26" s="3">
        <f t="shared" ca="1" si="7"/>
        <v>0</v>
      </c>
      <c r="V26" s="3">
        <f t="shared" ca="1" si="7"/>
        <v>0</v>
      </c>
      <c r="W26" s="3">
        <f t="shared" ca="1" si="7"/>
        <v>4423.5199996978354</v>
      </c>
      <c r="X26" s="3">
        <f t="shared" ca="1" si="7"/>
        <v>576.48000030216463</v>
      </c>
      <c r="Y26" s="3">
        <f t="shared" ca="1" si="7"/>
        <v>0</v>
      </c>
      <c r="Z26" s="3">
        <f t="shared" ca="1" si="7"/>
        <v>0</v>
      </c>
      <c r="AA26" s="3">
        <f t="shared" ca="1" si="7"/>
        <v>0</v>
      </c>
      <c r="AB26" s="3">
        <f t="shared" ca="1" si="7"/>
        <v>0</v>
      </c>
      <c r="AC26" s="3">
        <f t="shared" ca="1" si="7"/>
        <v>5000</v>
      </c>
      <c r="AD26" s="3">
        <f t="shared" ca="1" si="7"/>
        <v>0</v>
      </c>
      <c r="AE26" s="3">
        <f t="shared" ca="1" si="7"/>
        <v>0</v>
      </c>
      <c r="AF26" s="3">
        <f t="shared" ca="1" si="7"/>
        <v>0</v>
      </c>
      <c r="AG26" s="3">
        <f t="shared" ca="1" si="7"/>
        <v>5000</v>
      </c>
      <c r="AH26" s="3">
        <f t="shared" ca="1" si="7"/>
        <v>0</v>
      </c>
      <c r="AI26" s="3">
        <f t="shared" ca="1" si="7"/>
        <v>1000</v>
      </c>
      <c r="AJ26" s="3">
        <f t="shared" ca="1" si="7"/>
        <v>1060.637385528132</v>
      </c>
      <c r="AK26" s="3">
        <f t="shared" ca="1" si="7"/>
        <v>6122.817370018367</v>
      </c>
      <c r="AL26" s="3">
        <f t="shared" ca="1" si="7"/>
        <v>1190.9020797618532</v>
      </c>
      <c r="AM26" s="3">
        <f t="shared" ca="1" si="7"/>
        <v>1263.1152682986267</v>
      </c>
      <c r="AN26" s="3">
        <f t="shared" ca="1" si="7"/>
        <v>6337.1655411476058</v>
      </c>
      <c r="AO26" s="3">
        <f t="shared" ca="1" si="7"/>
        <v>1418.2477635811072</v>
      </c>
      <c r="AP26" s="3">
        <f t="shared" ca="1" si="7"/>
        <v>6501.3926961905418</v>
      </c>
      <c r="AQ26" s="3">
        <f t="shared" ca="1" si="7"/>
        <v>1592.4332239385687</v>
      </c>
      <c r="AR26" s="3">
        <f t="shared" ca="1" si="7"/>
        <v>1688.9942112663377</v>
      </c>
      <c r="AS26" s="3">
        <f t="shared" ca="1" si="7"/>
        <v>6781.7974362806781</v>
      </c>
      <c r="AT26" s="3">
        <f t="shared" ca="1" si="7"/>
        <v>1889.5370233838521</v>
      </c>
      <c r="AU26" s="3">
        <f t="shared" ca="1" si="7"/>
        <v>2000</v>
      </c>
      <c r="AV26" s="3">
        <f t="shared" ca="1" si="7"/>
        <v>7123.1161664062074</v>
      </c>
      <c r="AW26" s="3">
        <f t="shared" ca="1" si="7"/>
        <v>2247.4089271664079</v>
      </c>
      <c r="AX26" s="3">
        <f t="shared" ca="1" si="7"/>
        <v>7383.4939697312529</v>
      </c>
      <c r="AY26" s="3">
        <f t="shared" ca="1" si="7"/>
        <v>2527.8192299912498</v>
      </c>
      <c r="AZ26" s="3">
        <f t="shared" ca="1" si="7"/>
        <v>7675.8043641867862</v>
      </c>
      <c r="BA26" s="3">
        <f t="shared" ca="1" si="7"/>
        <v>7837.8295952846602</v>
      </c>
      <c r="BB26" s="3">
        <f t="shared" ca="1" si="7"/>
        <v>3003.9635452521661</v>
      </c>
      <c r="BC26" s="3">
        <f t="shared" ca="1" si="7"/>
        <v>8187.5439973292669</v>
      </c>
      <c r="BD26" s="3">
        <f t="shared" ca="1" si="7"/>
        <v>8380.6467402188136</v>
      </c>
      <c r="BE26" s="3">
        <f t="shared" ca="1" si="7"/>
        <v>3565.0976806730232</v>
      </c>
      <c r="BF26" s="3">
        <f t="shared" ca="1" si="7"/>
        <v>8781.0727829410807</v>
      </c>
      <c r="BG26" s="3">
        <f t="shared" ca="1" si="7"/>
        <v>9902.530534348698</v>
      </c>
      <c r="BH26" s="3">
        <f t="shared" ca="1" si="7"/>
        <v>10199.579148047453</v>
      </c>
      <c r="BI26" s="3">
        <f t="shared" ca="1" si="7"/>
        <v>10504.171463878069</v>
      </c>
      <c r="BJ26" s="3">
        <f t="shared" ca="1" si="7"/>
        <v>10837.674032766308</v>
      </c>
      <c r="BK26" s="3">
        <f t="shared" ca="1" si="7"/>
        <v>11191.383817022494</v>
      </c>
      <c r="BL26" s="3">
        <f t="shared" ca="1" si="7"/>
        <v>11554.076243400472</v>
      </c>
      <c r="BM26" s="3">
        <f t="shared" ca="1" si="7"/>
        <v>11951.193471182105</v>
      </c>
      <c r="BN26" s="3">
        <f t="shared" ca="1" si="7"/>
        <v>12358.395695808518</v>
      </c>
      <c r="BO26" s="3">
        <f t="shared" ca="1" si="7"/>
        <v>12806.939616088344</v>
      </c>
      <c r="BP26" s="3">
        <f t="shared" ca="1" si="7"/>
        <v>13280.059629556923</v>
      </c>
      <c r="BQ26" s="3">
        <f t="shared" ca="1" si="7"/>
        <v>13732.498326711473</v>
      </c>
    </row>
    <row r="29" spans="1:69">
      <c r="B29" s="27" t="s">
        <v>336</v>
      </c>
    </row>
    <row r="30" spans="1:69" outlineLevel="1">
      <c r="A30" s="18"/>
      <c r="B30" s="18"/>
      <c r="C30" s="30"/>
      <c r="D30" s="31"/>
      <c r="E30" s="44" t="str">
        <f xml:space="preserve">  InpC!E$14</f>
        <v>Customer Retention</v>
      </c>
      <c r="F30" s="44">
        <f xml:space="preserve">  InpC!F$14</f>
        <v>0.9</v>
      </c>
      <c r="G30" s="44" t="str">
        <f xml:space="preserve">  InpC!G$14</f>
        <v>%</v>
      </c>
      <c r="M30" s="58"/>
    </row>
    <row r="31" spans="1:69" outlineLevel="1">
      <c r="E31" s="2" t="str">
        <f t="shared" ref="E31:BQ31" si="8" xml:space="preserve">  E$11</f>
        <v>New customers orders</v>
      </c>
      <c r="F31" s="2">
        <f t="shared" si="8"/>
        <v>0</v>
      </c>
      <c r="G31" s="2" t="str">
        <f t="shared" si="8"/>
        <v>Units</v>
      </c>
      <c r="H31" s="2">
        <f t="shared" si="8"/>
        <v>261181.72293639058</v>
      </c>
      <c r="I31" s="2">
        <f t="shared" si="8"/>
        <v>0</v>
      </c>
      <c r="J31" s="2">
        <f t="shared" si="8"/>
        <v>500</v>
      </c>
      <c r="K31" s="2">
        <f t="shared" si="8"/>
        <v>530.31869276406599</v>
      </c>
      <c r="L31" s="2">
        <f t="shared" si="8"/>
        <v>561.40868500918316</v>
      </c>
      <c r="M31" s="2">
        <f t="shared" si="8"/>
        <v>595.4510398809266</v>
      </c>
      <c r="N31" s="2">
        <f t="shared" si="8"/>
        <v>631.55763414931334</v>
      </c>
      <c r="O31" s="2">
        <f t="shared" si="8"/>
        <v>668.58277057380337</v>
      </c>
      <c r="P31" s="2">
        <f t="shared" si="8"/>
        <v>709.12388179055358</v>
      </c>
      <c r="Q31" s="2">
        <f t="shared" si="8"/>
        <v>750.69634809527076</v>
      </c>
      <c r="R31" s="2">
        <f t="shared" si="8"/>
        <v>796.21661196928437</v>
      </c>
      <c r="S31" s="2">
        <f t="shared" si="8"/>
        <v>844.49710563316887</v>
      </c>
      <c r="T31" s="2">
        <f t="shared" si="8"/>
        <v>890.89871814033927</v>
      </c>
      <c r="U31" s="2">
        <f t="shared" si="8"/>
        <v>944.76851169192605</v>
      </c>
      <c r="V31" s="2">
        <f t="shared" si="8"/>
        <v>1000</v>
      </c>
      <c r="W31" s="2">
        <f t="shared" si="8"/>
        <v>1061.5580832031035</v>
      </c>
      <c r="X31" s="2">
        <f t="shared" si="8"/>
        <v>1123.704463583204</v>
      </c>
      <c r="Y31" s="2">
        <f t="shared" si="8"/>
        <v>1191.7469848656265</v>
      </c>
      <c r="Z31" s="2">
        <f t="shared" si="8"/>
        <v>1263.9096149956249</v>
      </c>
      <c r="AA31" s="2">
        <f t="shared" si="8"/>
        <v>1337.9021820933933</v>
      </c>
      <c r="AB31" s="2">
        <f t="shared" si="8"/>
        <v>1418.9147976423296</v>
      </c>
      <c r="AC31" s="2">
        <f t="shared" si="8"/>
        <v>1501.9817726260831</v>
      </c>
      <c r="AD31" s="2">
        <f t="shared" si="8"/>
        <v>1593.7719986646332</v>
      </c>
      <c r="AE31" s="2">
        <f t="shared" si="8"/>
        <v>1690.3233701094071</v>
      </c>
      <c r="AF31" s="2">
        <f t="shared" si="8"/>
        <v>1782.5488403365116</v>
      </c>
      <c r="AG31" s="2">
        <f t="shared" si="8"/>
        <v>1890.5363914705406</v>
      </c>
      <c r="AH31" s="2">
        <f t="shared" si="8"/>
        <v>2001.2652671743485</v>
      </c>
      <c r="AI31" s="2">
        <f t="shared" si="8"/>
        <v>2122.5027505360667</v>
      </c>
      <c r="AJ31" s="2">
        <f t="shared" si="8"/>
        <v>2246.81791543077</v>
      </c>
      <c r="AK31" s="2">
        <f t="shared" si="8"/>
        <v>2382.9310804903203</v>
      </c>
      <c r="AL31" s="2">
        <f t="shared" si="8"/>
        <v>2527.2900377768647</v>
      </c>
      <c r="AM31" s="2">
        <f t="shared" si="8"/>
        <v>2675.3136281838124</v>
      </c>
      <c r="AN31" s="2">
        <f t="shared" si="8"/>
        <v>2837.3852419795539</v>
      </c>
      <c r="AO31" s="2">
        <f t="shared" si="8"/>
        <v>3003.5711346185153</v>
      </c>
      <c r="AP31" s="2">
        <f t="shared" si="8"/>
        <v>3186.8748572718159</v>
      </c>
      <c r="AQ31" s="2">
        <f t="shared" si="8"/>
        <v>3379.98241970861</v>
      </c>
      <c r="AR31" s="2">
        <f t="shared" si="8"/>
        <v>3564.4403170294318</v>
      </c>
      <c r="AS31" s="2">
        <f t="shared" si="8"/>
        <v>3780.4263258626238</v>
      </c>
      <c r="AT31" s="2">
        <f t="shared" si="8"/>
        <v>4001.8981837991764</v>
      </c>
      <c r="AU31" s="2">
        <f t="shared" si="8"/>
        <v>4244.3917983916417</v>
      </c>
      <c r="AV31" s="2">
        <f t="shared" si="8"/>
        <v>4493.0445312777838</v>
      </c>
      <c r="AW31" s="2">
        <f t="shared" si="8"/>
        <v>4765.298986257475</v>
      </c>
      <c r="AX31" s="2">
        <f t="shared" si="8"/>
        <v>5054.050604294488</v>
      </c>
      <c r="AY31" s="2">
        <f t="shared" si="8"/>
        <v>5350.1362520376797</v>
      </c>
      <c r="AZ31" s="2">
        <f t="shared" si="8"/>
        <v>5674.3258787430632</v>
      </c>
      <c r="BA31" s="2">
        <f t="shared" si="8"/>
        <v>6006.7496284946019</v>
      </c>
      <c r="BB31" s="2">
        <f t="shared" si="8"/>
        <v>6372.946588234563</v>
      </c>
      <c r="BC31" s="2">
        <f t="shared" si="8"/>
        <v>6759.1674891435086</v>
      </c>
      <c r="BD31" s="2">
        <f t="shared" si="8"/>
        <v>7128.0916261082357</v>
      </c>
      <c r="BE31" s="2">
        <f t="shared" si="8"/>
        <v>7560.0767261684687</v>
      </c>
      <c r="BF31" s="2">
        <f t="shared" si="8"/>
        <v>8003.0373658535955</v>
      </c>
      <c r="BG31" s="2">
        <f t="shared" si="8"/>
        <v>8488.0469699124624</v>
      </c>
      <c r="BH31" s="2">
        <f t="shared" si="8"/>
        <v>8985.3793187304836</v>
      </c>
      <c r="BI31" s="2">
        <f t="shared" si="8"/>
        <v>9529.921980031846</v>
      </c>
      <c r="BJ31" s="2">
        <f t="shared" si="8"/>
        <v>10107.465664379506</v>
      </c>
      <c r="BK31" s="2">
        <f t="shared" si="8"/>
        <v>10699.683127039856</v>
      </c>
      <c r="BL31" s="2">
        <f t="shared" si="8"/>
        <v>11348.118069895754</v>
      </c>
      <c r="BM31" s="2">
        <f t="shared" si="8"/>
        <v>12013.027940725995</v>
      </c>
      <c r="BN31" s="2">
        <f t="shared" si="8"/>
        <v>12726.008005999736</v>
      </c>
      <c r="BO31" s="2">
        <f t="shared" si="8"/>
        <v>13496.954871063208</v>
      </c>
      <c r="BP31" s="2">
        <f t="shared" si="8"/>
        <v>14260.390722692093</v>
      </c>
      <c r="BQ31" s="2">
        <f t="shared" si="8"/>
        <v>15124.291131764327</v>
      </c>
    </row>
    <row r="32" spans="1:69" outlineLevel="1">
      <c r="A32" s="36"/>
      <c r="B32" s="36"/>
      <c r="C32" s="65"/>
      <c r="D32" s="64"/>
      <c r="E32" s="21" t="s">
        <v>336</v>
      </c>
      <c r="F32" s="21"/>
      <c r="G32" s="21" t="s">
        <v>122</v>
      </c>
      <c r="H32" s="3">
        <f ca="1" xml:space="preserve"> SUM( J32:BQ32 )</f>
        <v>53090.297527815921</v>
      </c>
      <c r="I32" s="21"/>
      <c r="J32" s="3">
        <f ca="1" xml:space="preserve">  $F30 * IF( Time!J28 &lt; 1 + 24, 0, OFFSET( J31, 0, - 1 * ( 24 ) ) )</f>
        <v>0</v>
      </c>
      <c r="K32" s="3">
        <f ca="1" xml:space="preserve">  $F30 * IF( Time!K28 &lt; 1 + 24, 0, OFFSET( K31, 0, - 1 * ( 24 ) ) )</f>
        <v>0</v>
      </c>
      <c r="L32" s="3">
        <f ca="1" xml:space="preserve">  $F30 * IF( Time!L28 &lt; 1 + 24, 0, OFFSET( L31, 0, - 1 * ( 24 ) ) )</f>
        <v>0</v>
      </c>
      <c r="M32" s="3">
        <f ca="1" xml:space="preserve">  $F30 * IF( Time!M28 &lt; 1 + 24, 0, OFFSET( M31, 0, - 1 * ( 24 ) ) )</f>
        <v>0</v>
      </c>
      <c r="N32" s="3">
        <f ca="1" xml:space="preserve">  $F30 * IF( Time!N28 &lt; 1 + 24, 0, OFFSET( N31, 0, - 1 * ( 24 ) ) )</f>
        <v>0</v>
      </c>
      <c r="O32" s="3">
        <f ca="1" xml:space="preserve">  $F30 * IF( Time!O28 &lt; 1 + 24, 0, OFFSET( O31, 0, - 1 * ( 24 ) ) )</f>
        <v>0</v>
      </c>
      <c r="P32" s="3">
        <f ca="1" xml:space="preserve">  $F30 * IF( Time!P28 &lt; 1 + 24, 0, OFFSET( P31, 0, - 1 * ( 24 ) ) )</f>
        <v>0</v>
      </c>
      <c r="Q32" s="3">
        <f ca="1" xml:space="preserve">  $F30 * IF( Time!Q28 &lt; 1 + 24, 0, OFFSET( Q31, 0, - 1 * ( 24 ) ) )</f>
        <v>0</v>
      </c>
      <c r="R32" s="3">
        <f ca="1" xml:space="preserve">  $F30 * IF( Time!R28 &lt; 1 + 24, 0, OFFSET( R31, 0, - 1 * ( 24 ) ) )</f>
        <v>0</v>
      </c>
      <c r="S32" s="3">
        <f ca="1" xml:space="preserve">  $F30 * IF( Time!S28 &lt; 1 + 24, 0, OFFSET( S31, 0, - 1 * ( 24 ) ) )</f>
        <v>0</v>
      </c>
      <c r="T32" s="3">
        <f ca="1" xml:space="preserve">  $F30 * IF( Time!T28 &lt; 1 + 24, 0, OFFSET( T31, 0, - 1 * ( 24 ) ) )</f>
        <v>0</v>
      </c>
      <c r="U32" s="3">
        <f ca="1" xml:space="preserve">  $F30 * IF( Time!U28 &lt; 1 + 24, 0, OFFSET( U31, 0, - 1 * ( 24 ) ) )</f>
        <v>0</v>
      </c>
      <c r="V32" s="3">
        <f ca="1" xml:space="preserve">  $F30 * IF( Time!V28 &lt; 1 + 24, 0, OFFSET( V31, 0, - 1 * ( 24 ) ) )</f>
        <v>0</v>
      </c>
      <c r="W32" s="3">
        <f ca="1" xml:space="preserve">  $F30 * IF( Time!W28 &lt; 1 + 24, 0, OFFSET( W31, 0, - 1 * ( 24 ) ) )</f>
        <v>0</v>
      </c>
      <c r="X32" s="3">
        <f ca="1" xml:space="preserve">  $F30 * IF( Time!X28 &lt; 1 + 24, 0, OFFSET( X31, 0, - 1 * ( 24 ) ) )</f>
        <v>0</v>
      </c>
      <c r="Y32" s="3">
        <f ca="1" xml:space="preserve">  $F30 * IF( Time!Y28 &lt; 1 + 24, 0, OFFSET( Y31, 0, - 1 * ( 24 ) ) )</f>
        <v>0</v>
      </c>
      <c r="Z32" s="3">
        <f ca="1" xml:space="preserve">  $F30 * IF( Time!Z28 &lt; 1 + 24, 0, OFFSET( Z31, 0, - 1 * ( 24 ) ) )</f>
        <v>0</v>
      </c>
      <c r="AA32" s="3">
        <f ca="1" xml:space="preserve">  $F30 * IF( Time!AA28 &lt; 1 + 24, 0, OFFSET( AA31, 0, - 1 * ( 24 ) ) )</f>
        <v>0</v>
      </c>
      <c r="AB32" s="3">
        <f ca="1" xml:space="preserve">  $F30 * IF( Time!AB28 &lt; 1 + 24, 0, OFFSET( AB31, 0, - 1 * ( 24 ) ) )</f>
        <v>0</v>
      </c>
      <c r="AC32" s="3">
        <f ca="1" xml:space="preserve">  $F30 * IF( Time!AC28 &lt; 1 + 24, 0, OFFSET( AC31, 0, - 1 * ( 24 ) ) )</f>
        <v>0</v>
      </c>
      <c r="AD32" s="3">
        <f ca="1" xml:space="preserve">  $F30 * IF( Time!AD28 &lt; 1 + 24, 0, OFFSET( AD31, 0, - 1 * ( 24 ) ) )</f>
        <v>0</v>
      </c>
      <c r="AE32" s="3">
        <f ca="1" xml:space="preserve">  $F30 * IF( Time!AE28 &lt; 1 + 24, 0, OFFSET( AE31, 0, - 1 * ( 24 ) ) )</f>
        <v>0</v>
      </c>
      <c r="AF32" s="3">
        <f ca="1" xml:space="preserve">  $F30 * IF( Time!AF28 &lt; 1 + 24, 0, OFFSET( AF31, 0, - 1 * ( 24 ) ) )</f>
        <v>0</v>
      </c>
      <c r="AG32" s="3">
        <f ca="1" xml:space="preserve">  $F30 * IF( Time!AG28 &lt; 1 + 24, 0, OFFSET( AG31, 0, - 1 * ( 24 ) ) )</f>
        <v>0</v>
      </c>
      <c r="AH32" s="3">
        <f ca="1" xml:space="preserve">  $F30 * IF( Time!AH28 &lt; 1 + 24, 0, OFFSET( AH31, 0, - 1 * ( 24 ) ) )</f>
        <v>450</v>
      </c>
      <c r="AI32" s="3">
        <f ca="1" xml:space="preserve">  $F30 * IF( Time!AI28 &lt; 1 + 24, 0, OFFSET( AI31, 0, - 1 * ( 24 ) ) )</f>
        <v>477.28682348765938</v>
      </c>
      <c r="AJ32" s="3">
        <f ca="1" xml:space="preserve">  $F30 * IF( Time!AJ28 &lt; 1 + 24, 0, OFFSET( AJ31, 0, - 1 * ( 24 ) ) )</f>
        <v>505.26781650826484</v>
      </c>
      <c r="AK32" s="3">
        <f ca="1" xml:space="preserve">  $F30 * IF( Time!AK28 &lt; 1 + 24, 0, OFFSET( AK31, 0, - 1 * ( 24 ) ) )</f>
        <v>535.90593589283401</v>
      </c>
      <c r="AL32" s="3">
        <f ca="1" xml:space="preserve">  $F30 * IF( Time!AL28 &lt; 1 + 24, 0, OFFSET( AL31, 0, - 1 * ( 24 ) ) )</f>
        <v>568.40187073438199</v>
      </c>
      <c r="AM32" s="3">
        <f ca="1" xml:space="preserve">  $F30 * IF( Time!AM28 &lt; 1 + 24, 0, OFFSET( AM31, 0, - 1 * ( 24 ) ) )</f>
        <v>601.72449351642308</v>
      </c>
      <c r="AN32" s="3">
        <f ca="1" xml:space="preserve">  $F30 * IF( Time!AN28 &lt; 1 + 24, 0, OFFSET( AN31, 0, - 1 * ( 24 ) ) )</f>
        <v>638.21149361149821</v>
      </c>
      <c r="AO32" s="3">
        <f ca="1" xml:space="preserve">  $F30 * IF( Time!AO28 &lt; 1 + 24, 0, OFFSET( AO31, 0, - 1 * ( 24 ) ) )</f>
        <v>675.62671328574368</v>
      </c>
      <c r="AP32" s="3">
        <f ca="1" xml:space="preserve">  $F30 * IF( Time!AP28 &lt; 1 + 24, 0, OFFSET( AP31, 0, - 1 * ( 24 ) ) )</f>
        <v>716.5949507723559</v>
      </c>
      <c r="AQ32" s="3">
        <f ca="1" xml:space="preserve">  $F30 * IF( Time!AQ28 &lt; 1 + 24, 0, OFFSET( AQ31, 0, - 1 * ( 24 ) ) )</f>
        <v>760.04739506985197</v>
      </c>
      <c r="AR32" s="3">
        <f ca="1" xml:space="preserve">  $F30 * IF( Time!AR28 &lt; 1 + 24, 0, OFFSET( AR31, 0, - 1 * ( 24 ) ) )</f>
        <v>801.80884632630534</v>
      </c>
      <c r="AS32" s="3">
        <f ca="1" xml:space="preserve">  $F30 * IF( Time!AS28 &lt; 1 + 24, 0, OFFSET( AS31, 0, - 1 * ( 24 ) ) )</f>
        <v>850.29166052273342</v>
      </c>
      <c r="AT32" s="3">
        <f ca="1" xml:space="preserve">  $F30 * IF( Time!AT28 &lt; 1 + 24, 0, OFFSET( AT31, 0, - 1 * ( 24 ) ) )</f>
        <v>900</v>
      </c>
      <c r="AU32" s="3">
        <f ca="1" xml:space="preserve">  $F30 * IF( Time!AU28 &lt; 1 + 24, 0, OFFSET( AU31, 0, - 1 * ( 24 ) ) )</f>
        <v>955.40227488279311</v>
      </c>
      <c r="AV32" s="3">
        <f ca="1" xml:space="preserve">  $F30 * IF( Time!AV28 &lt; 1 + 24, 0, OFFSET( AV31, 0, - 1 * ( 24 ) ) )</f>
        <v>1011.3340172248836</v>
      </c>
      <c r="AW32" s="3">
        <f ca="1" xml:space="preserve">  $F30 * IF( Time!AW28 &lt; 1 + 24, 0, OFFSET( AW31, 0, - 1 * ( 24 ) ) )</f>
        <v>1072.5722863790638</v>
      </c>
      <c r="AX32" s="3">
        <f ca="1" xml:space="preserve">  $F30 * IF( Time!AX28 &lt; 1 + 24, 0, OFFSET( AX31, 0, - 1 * ( 24 ) ) )</f>
        <v>1137.5186534960624</v>
      </c>
      <c r="AY32" s="3">
        <f ca="1" xml:space="preserve">  $F30 * IF( Time!AY28 &lt; 1 + 24, 0, OFFSET( AY31, 0, - 1 * ( 24 ) ) )</f>
        <v>1204.1119638840539</v>
      </c>
      <c r="AZ32" s="3">
        <f ca="1" xml:space="preserve">  $F30 * IF( Time!AZ28 &lt; 1 + 24, 0, OFFSET( AZ31, 0, - 1 * ( 24 ) ) )</f>
        <v>1277.0233178780968</v>
      </c>
      <c r="BA32" s="3">
        <f ca="1" xml:space="preserve">  $F30 * IF( Time!BA28 &lt; 1 + 24, 0, OFFSET( BA31, 0, - 1 * ( 24 ) ) )</f>
        <v>1351.7835953634749</v>
      </c>
      <c r="BB32" s="3">
        <f ca="1" xml:space="preserve">  $F30 * IF( Time!BB28 &lt; 1 + 24, 0, OFFSET( BB31, 0, - 1 * ( 24 ) ) )</f>
        <v>1434.3947987981699</v>
      </c>
      <c r="BC32" s="3">
        <f ca="1" xml:space="preserve">  $F30 * IF( Time!BC28 &lt; 1 + 24, 0, OFFSET( BC31, 0, - 1 * ( 24 ) ) )</f>
        <v>1521.2910330984664</v>
      </c>
      <c r="BD32" s="3">
        <f ca="1" xml:space="preserve">  $F30 * IF( Time!BD28 &lt; 1 + 24, 0, OFFSET( BD31, 0, - 1 * ( 24 ) ) )</f>
        <v>1604.2939563028606</v>
      </c>
      <c r="BE32" s="3">
        <f ca="1" xml:space="preserve">  $F30 * IF( Time!BE28 &lt; 1 + 24, 0, OFFSET( BE31, 0, - 1 * ( 24 ) ) )</f>
        <v>1701.4827523234865</v>
      </c>
      <c r="BF32" s="3">
        <f ca="1" xml:space="preserve">  $F30 * IF( Time!BF28 &lt; 1 + 24, 0, OFFSET( BF31, 0, - 1 * ( 24 ) ) )</f>
        <v>1801.1387404569136</v>
      </c>
      <c r="BG32" s="3">
        <f ca="1" xml:space="preserve">  $F30 * IF( Time!BG28 &lt; 1 + 24, 0, OFFSET( BG31, 0, - 1 * ( 24 ) ) )</f>
        <v>1910.2524754824601</v>
      </c>
      <c r="BH32" s="3">
        <f ca="1" xml:space="preserve">  $F30 * IF( Time!BH28 &lt; 1 + 24, 0, OFFSET( BH31, 0, - 1 * ( 24 ) ) )</f>
        <v>2022.136123887693</v>
      </c>
      <c r="BI32" s="3">
        <f ca="1" xml:space="preserve">  $F30 * IF( Time!BI28 &lt; 1 + 24, 0, OFFSET( BI31, 0, - 1 * ( 24 ) ) )</f>
        <v>2144.6379724412882</v>
      </c>
      <c r="BJ32" s="3">
        <f ca="1" xml:space="preserve">  $F30 * IF( Time!BJ28 &lt; 1 + 24, 0, OFFSET( BJ31, 0, - 1 * ( 24 ) ) )</f>
        <v>2274.5610339991781</v>
      </c>
      <c r="BK32" s="3">
        <f ca="1" xml:space="preserve">  $F30 * IF( Time!BK28 &lt; 1 + 24, 0, OFFSET( BK31, 0, - 1 * ( 24 ) ) )</f>
        <v>2407.7822653654312</v>
      </c>
      <c r="BL32" s="3">
        <f ca="1" xml:space="preserve">  $F30 * IF( Time!BL28 &lt; 1 + 24, 0, OFFSET( BL31, 0, - 1 * ( 24 ) ) )</f>
        <v>2553.6467177815985</v>
      </c>
      <c r="BM32" s="3">
        <f ca="1" xml:space="preserve">  $F30 * IF( Time!BM28 &lt; 1 + 24, 0, OFFSET( BM31, 0, - 1 * ( 24 ) ) )</f>
        <v>2703.2140211566639</v>
      </c>
      <c r="BN32" s="3">
        <f ca="1" xml:space="preserve">  $F30 * IF( Time!BN28 &lt; 1 + 24, 0, OFFSET( BN31, 0, - 1 * ( 24 ) ) )</f>
        <v>2868.1873715446345</v>
      </c>
      <c r="BO32" s="3">
        <f ca="1" xml:space="preserve">  $F30 * IF( Time!BO28 &lt; 1 + 24, 0, OFFSET( BO31, 0, - 1 * ( 24 ) ) )</f>
        <v>3041.9841777377492</v>
      </c>
      <c r="BP32" s="3">
        <f ca="1" xml:space="preserve">  $F30 * IF( Time!BP28 &lt; 1 + 24, 0, OFFSET( BP31, 0, - 1 * ( 24 ) ) )</f>
        <v>3207.9962853264888</v>
      </c>
      <c r="BQ32" s="3">
        <f ca="1" xml:space="preserve">  $F30 * IF( Time!BQ28 &lt; 1 + 24, 0, OFFSET( BQ31, 0, - 1 * ( 24 ) ) )</f>
        <v>3402.3836932763616</v>
      </c>
    </row>
    <row r="35" spans="1:69">
      <c r="B35" s="27" t="s">
        <v>169</v>
      </c>
    </row>
    <row r="36" spans="1:69" outlineLevel="1">
      <c r="A36" s="18"/>
      <c r="B36" s="18"/>
      <c r="C36" s="30"/>
      <c r="D36" s="31"/>
      <c r="E36" s="4" t="str">
        <f xml:space="preserve">  InpC!E$20</f>
        <v>Sales Price Unit</v>
      </c>
      <c r="F36" s="4">
        <f xml:space="preserve">  InpC!F$20</f>
        <v>12</v>
      </c>
      <c r="G36" s="4" t="str">
        <f xml:space="preserve">  InpC!G$20</f>
        <v>GBP</v>
      </c>
      <c r="M36" s="2"/>
    </row>
    <row r="37" spans="1:69" outlineLevel="1">
      <c r="A37" s="18"/>
      <c r="B37" s="18"/>
      <c r="C37" s="30"/>
      <c r="D37" s="31"/>
      <c r="E37" s="4" t="str">
        <f xml:space="preserve">  InpC!E$21</f>
        <v>Contract Length</v>
      </c>
      <c r="F37" s="4">
        <f xml:space="preserve">  InpC!F$21</f>
        <v>24</v>
      </c>
      <c r="G37" s="4" t="str">
        <f xml:space="preserve">  InpC!G$21</f>
        <v>Months</v>
      </c>
      <c r="M37" s="2"/>
    </row>
    <row r="38" spans="1:69" outlineLevel="1">
      <c r="E38" s="2" t="str">
        <f t="shared" ref="E38:BQ38" si="9" xml:space="preserve">  E$11</f>
        <v>New customers orders</v>
      </c>
      <c r="F38" s="2">
        <f t="shared" si="9"/>
        <v>0</v>
      </c>
      <c r="G38" s="2" t="str">
        <f t="shared" si="9"/>
        <v>Units</v>
      </c>
      <c r="H38" s="2">
        <f t="shared" si="9"/>
        <v>261181.72293639058</v>
      </c>
      <c r="I38" s="2">
        <f t="shared" si="9"/>
        <v>0</v>
      </c>
      <c r="J38" s="2">
        <f t="shared" si="9"/>
        <v>500</v>
      </c>
      <c r="K38" s="2">
        <f t="shared" si="9"/>
        <v>530.31869276406599</v>
      </c>
      <c r="L38" s="2">
        <f t="shared" si="9"/>
        <v>561.40868500918316</v>
      </c>
      <c r="M38" s="2">
        <f t="shared" si="9"/>
        <v>595.4510398809266</v>
      </c>
      <c r="N38" s="2">
        <f t="shared" si="9"/>
        <v>631.55763414931334</v>
      </c>
      <c r="O38" s="2">
        <f t="shared" si="9"/>
        <v>668.58277057380337</v>
      </c>
      <c r="P38" s="2">
        <f t="shared" si="9"/>
        <v>709.12388179055358</v>
      </c>
      <c r="Q38" s="2">
        <f t="shared" si="9"/>
        <v>750.69634809527076</v>
      </c>
      <c r="R38" s="2">
        <f t="shared" si="9"/>
        <v>796.21661196928437</v>
      </c>
      <c r="S38" s="2">
        <f t="shared" si="9"/>
        <v>844.49710563316887</v>
      </c>
      <c r="T38" s="2">
        <f t="shared" si="9"/>
        <v>890.89871814033927</v>
      </c>
      <c r="U38" s="2">
        <f t="shared" si="9"/>
        <v>944.76851169192605</v>
      </c>
      <c r="V38" s="2">
        <f t="shared" si="9"/>
        <v>1000</v>
      </c>
      <c r="W38" s="2">
        <f t="shared" si="9"/>
        <v>1061.5580832031035</v>
      </c>
      <c r="X38" s="2">
        <f t="shared" si="9"/>
        <v>1123.704463583204</v>
      </c>
      <c r="Y38" s="2">
        <f t="shared" si="9"/>
        <v>1191.7469848656265</v>
      </c>
      <c r="Z38" s="2">
        <f t="shared" si="9"/>
        <v>1263.9096149956249</v>
      </c>
      <c r="AA38" s="2">
        <f t="shared" si="9"/>
        <v>1337.9021820933933</v>
      </c>
      <c r="AB38" s="2">
        <f t="shared" si="9"/>
        <v>1418.9147976423296</v>
      </c>
      <c r="AC38" s="2">
        <f t="shared" si="9"/>
        <v>1501.9817726260831</v>
      </c>
      <c r="AD38" s="2">
        <f t="shared" si="9"/>
        <v>1593.7719986646332</v>
      </c>
      <c r="AE38" s="2">
        <f t="shared" si="9"/>
        <v>1690.3233701094071</v>
      </c>
      <c r="AF38" s="2">
        <f t="shared" si="9"/>
        <v>1782.5488403365116</v>
      </c>
      <c r="AG38" s="2">
        <f t="shared" si="9"/>
        <v>1890.5363914705406</v>
      </c>
      <c r="AH38" s="2">
        <f t="shared" si="9"/>
        <v>2001.2652671743485</v>
      </c>
      <c r="AI38" s="2">
        <f t="shared" si="9"/>
        <v>2122.5027505360667</v>
      </c>
      <c r="AJ38" s="2">
        <f t="shared" si="9"/>
        <v>2246.81791543077</v>
      </c>
      <c r="AK38" s="2">
        <f t="shared" si="9"/>
        <v>2382.9310804903203</v>
      </c>
      <c r="AL38" s="2">
        <f t="shared" si="9"/>
        <v>2527.2900377768647</v>
      </c>
      <c r="AM38" s="2">
        <f t="shared" si="9"/>
        <v>2675.3136281838124</v>
      </c>
      <c r="AN38" s="2">
        <f t="shared" si="9"/>
        <v>2837.3852419795539</v>
      </c>
      <c r="AO38" s="2">
        <f t="shared" si="9"/>
        <v>3003.5711346185153</v>
      </c>
      <c r="AP38" s="2">
        <f t="shared" si="9"/>
        <v>3186.8748572718159</v>
      </c>
      <c r="AQ38" s="2">
        <f t="shared" si="9"/>
        <v>3379.98241970861</v>
      </c>
      <c r="AR38" s="2">
        <f t="shared" si="9"/>
        <v>3564.4403170294318</v>
      </c>
      <c r="AS38" s="2">
        <f t="shared" si="9"/>
        <v>3780.4263258626238</v>
      </c>
      <c r="AT38" s="2">
        <f t="shared" si="9"/>
        <v>4001.8981837991764</v>
      </c>
      <c r="AU38" s="2">
        <f t="shared" si="9"/>
        <v>4244.3917983916417</v>
      </c>
      <c r="AV38" s="2">
        <f t="shared" si="9"/>
        <v>4493.0445312777838</v>
      </c>
      <c r="AW38" s="2">
        <f t="shared" si="9"/>
        <v>4765.298986257475</v>
      </c>
      <c r="AX38" s="2">
        <f t="shared" si="9"/>
        <v>5054.050604294488</v>
      </c>
      <c r="AY38" s="2">
        <f t="shared" si="9"/>
        <v>5350.1362520376797</v>
      </c>
      <c r="AZ38" s="2">
        <f t="shared" si="9"/>
        <v>5674.3258787430632</v>
      </c>
      <c r="BA38" s="2">
        <f t="shared" si="9"/>
        <v>6006.7496284946019</v>
      </c>
      <c r="BB38" s="2">
        <f t="shared" si="9"/>
        <v>6372.946588234563</v>
      </c>
      <c r="BC38" s="2">
        <f t="shared" si="9"/>
        <v>6759.1674891435086</v>
      </c>
      <c r="BD38" s="2">
        <f t="shared" si="9"/>
        <v>7128.0916261082357</v>
      </c>
      <c r="BE38" s="2">
        <f t="shared" si="9"/>
        <v>7560.0767261684687</v>
      </c>
      <c r="BF38" s="2">
        <f t="shared" si="9"/>
        <v>8003.0373658535955</v>
      </c>
      <c r="BG38" s="2">
        <f t="shared" si="9"/>
        <v>8488.0469699124624</v>
      </c>
      <c r="BH38" s="2">
        <f t="shared" si="9"/>
        <v>8985.3793187304836</v>
      </c>
      <c r="BI38" s="2">
        <f t="shared" si="9"/>
        <v>9529.921980031846</v>
      </c>
      <c r="BJ38" s="2">
        <f t="shared" si="9"/>
        <v>10107.465664379506</v>
      </c>
      <c r="BK38" s="2">
        <f t="shared" si="9"/>
        <v>10699.683127039856</v>
      </c>
      <c r="BL38" s="2">
        <f t="shared" si="9"/>
        <v>11348.118069895754</v>
      </c>
      <c r="BM38" s="2">
        <f t="shared" si="9"/>
        <v>12013.027940725995</v>
      </c>
      <c r="BN38" s="2">
        <f t="shared" si="9"/>
        <v>12726.008005999736</v>
      </c>
      <c r="BO38" s="2">
        <f t="shared" si="9"/>
        <v>13496.954871063208</v>
      </c>
      <c r="BP38" s="2">
        <f t="shared" si="9"/>
        <v>14260.390722692093</v>
      </c>
      <c r="BQ38" s="2">
        <f t="shared" si="9"/>
        <v>15124.291131764327</v>
      </c>
    </row>
    <row r="39" spans="1:69" outlineLevel="1">
      <c r="E39" s="2" t="str">
        <f t="shared" ref="E39:BQ39" si="10" xml:space="preserve">  E$32</f>
        <v>Renewing Customer Orders</v>
      </c>
      <c r="F39" s="2">
        <f t="shared" si="10"/>
        <v>0</v>
      </c>
      <c r="G39" s="2" t="str">
        <f t="shared" si="10"/>
        <v>Units</v>
      </c>
      <c r="H39" s="2">
        <f t="shared" ca="1" si="10"/>
        <v>53090.297527815921</v>
      </c>
      <c r="I39" s="2">
        <f t="shared" si="10"/>
        <v>0</v>
      </c>
      <c r="J39" s="2">
        <f t="shared" ca="1" si="10"/>
        <v>0</v>
      </c>
      <c r="K39" s="2">
        <f t="shared" ca="1" si="10"/>
        <v>0</v>
      </c>
      <c r="L39" s="2">
        <f t="shared" ca="1" si="10"/>
        <v>0</v>
      </c>
      <c r="M39" s="2">
        <f t="shared" ca="1" si="10"/>
        <v>0</v>
      </c>
      <c r="N39" s="2">
        <f t="shared" ca="1" si="10"/>
        <v>0</v>
      </c>
      <c r="O39" s="2">
        <f t="shared" ca="1" si="10"/>
        <v>0</v>
      </c>
      <c r="P39" s="2">
        <f t="shared" ca="1" si="10"/>
        <v>0</v>
      </c>
      <c r="Q39" s="2">
        <f t="shared" ca="1" si="10"/>
        <v>0</v>
      </c>
      <c r="R39" s="2">
        <f t="shared" ca="1" si="10"/>
        <v>0</v>
      </c>
      <c r="S39" s="2">
        <f t="shared" ca="1" si="10"/>
        <v>0</v>
      </c>
      <c r="T39" s="2">
        <f t="shared" ca="1" si="10"/>
        <v>0</v>
      </c>
      <c r="U39" s="2">
        <f t="shared" ca="1" si="10"/>
        <v>0</v>
      </c>
      <c r="V39" s="2">
        <f t="shared" ca="1" si="10"/>
        <v>0</v>
      </c>
      <c r="W39" s="2">
        <f t="shared" ca="1" si="10"/>
        <v>0</v>
      </c>
      <c r="X39" s="2">
        <f t="shared" ca="1" si="10"/>
        <v>0</v>
      </c>
      <c r="Y39" s="2">
        <f t="shared" ca="1" si="10"/>
        <v>0</v>
      </c>
      <c r="Z39" s="2">
        <f t="shared" ca="1" si="10"/>
        <v>0</v>
      </c>
      <c r="AA39" s="2">
        <f t="shared" ca="1" si="10"/>
        <v>0</v>
      </c>
      <c r="AB39" s="2">
        <f t="shared" ca="1" si="10"/>
        <v>0</v>
      </c>
      <c r="AC39" s="2">
        <f t="shared" ca="1" si="10"/>
        <v>0</v>
      </c>
      <c r="AD39" s="2">
        <f t="shared" ca="1" si="10"/>
        <v>0</v>
      </c>
      <c r="AE39" s="2">
        <f t="shared" ca="1" si="10"/>
        <v>0</v>
      </c>
      <c r="AF39" s="2">
        <f t="shared" ca="1" si="10"/>
        <v>0</v>
      </c>
      <c r="AG39" s="2">
        <f t="shared" ca="1" si="10"/>
        <v>0</v>
      </c>
      <c r="AH39" s="2">
        <f t="shared" ca="1" si="10"/>
        <v>450</v>
      </c>
      <c r="AI39" s="2">
        <f t="shared" ca="1" si="10"/>
        <v>477.28682348765938</v>
      </c>
      <c r="AJ39" s="2">
        <f t="shared" ca="1" si="10"/>
        <v>505.26781650826484</v>
      </c>
      <c r="AK39" s="2">
        <f t="shared" ca="1" si="10"/>
        <v>535.90593589283401</v>
      </c>
      <c r="AL39" s="2">
        <f t="shared" ca="1" si="10"/>
        <v>568.40187073438199</v>
      </c>
      <c r="AM39" s="2">
        <f t="shared" ca="1" si="10"/>
        <v>601.72449351642308</v>
      </c>
      <c r="AN39" s="2">
        <f t="shared" ca="1" si="10"/>
        <v>638.21149361149821</v>
      </c>
      <c r="AO39" s="2">
        <f t="shared" ca="1" si="10"/>
        <v>675.62671328574368</v>
      </c>
      <c r="AP39" s="2">
        <f t="shared" ca="1" si="10"/>
        <v>716.5949507723559</v>
      </c>
      <c r="AQ39" s="2">
        <f t="shared" ca="1" si="10"/>
        <v>760.04739506985197</v>
      </c>
      <c r="AR39" s="2">
        <f t="shared" ca="1" si="10"/>
        <v>801.80884632630534</v>
      </c>
      <c r="AS39" s="2">
        <f t="shared" ca="1" si="10"/>
        <v>850.29166052273342</v>
      </c>
      <c r="AT39" s="2">
        <f t="shared" ca="1" si="10"/>
        <v>900</v>
      </c>
      <c r="AU39" s="2">
        <f t="shared" ca="1" si="10"/>
        <v>955.40227488279311</v>
      </c>
      <c r="AV39" s="2">
        <f t="shared" ca="1" si="10"/>
        <v>1011.3340172248836</v>
      </c>
      <c r="AW39" s="2">
        <f t="shared" ca="1" si="10"/>
        <v>1072.5722863790638</v>
      </c>
      <c r="AX39" s="2">
        <f t="shared" ca="1" si="10"/>
        <v>1137.5186534960624</v>
      </c>
      <c r="AY39" s="2">
        <f t="shared" ca="1" si="10"/>
        <v>1204.1119638840539</v>
      </c>
      <c r="AZ39" s="2">
        <f t="shared" ca="1" si="10"/>
        <v>1277.0233178780968</v>
      </c>
      <c r="BA39" s="2">
        <f t="shared" ca="1" si="10"/>
        <v>1351.7835953634749</v>
      </c>
      <c r="BB39" s="2">
        <f t="shared" ca="1" si="10"/>
        <v>1434.3947987981699</v>
      </c>
      <c r="BC39" s="2">
        <f t="shared" ca="1" si="10"/>
        <v>1521.2910330984664</v>
      </c>
      <c r="BD39" s="2">
        <f t="shared" ca="1" si="10"/>
        <v>1604.2939563028606</v>
      </c>
      <c r="BE39" s="2">
        <f t="shared" ca="1" si="10"/>
        <v>1701.4827523234865</v>
      </c>
      <c r="BF39" s="2">
        <f t="shared" ca="1" si="10"/>
        <v>1801.1387404569136</v>
      </c>
      <c r="BG39" s="2">
        <f t="shared" ca="1" si="10"/>
        <v>1910.2524754824601</v>
      </c>
      <c r="BH39" s="2">
        <f t="shared" ca="1" si="10"/>
        <v>2022.136123887693</v>
      </c>
      <c r="BI39" s="2">
        <f t="shared" ca="1" si="10"/>
        <v>2144.6379724412882</v>
      </c>
      <c r="BJ39" s="2">
        <f t="shared" ca="1" si="10"/>
        <v>2274.5610339991781</v>
      </c>
      <c r="BK39" s="2">
        <f t="shared" ca="1" si="10"/>
        <v>2407.7822653654312</v>
      </c>
      <c r="BL39" s="2">
        <f t="shared" ca="1" si="10"/>
        <v>2553.6467177815985</v>
      </c>
      <c r="BM39" s="2">
        <f t="shared" ca="1" si="10"/>
        <v>2703.2140211566639</v>
      </c>
      <c r="BN39" s="2">
        <f t="shared" ca="1" si="10"/>
        <v>2868.1873715446345</v>
      </c>
      <c r="BO39" s="2">
        <f t="shared" ca="1" si="10"/>
        <v>3041.9841777377492</v>
      </c>
      <c r="BP39" s="2">
        <f t="shared" ca="1" si="10"/>
        <v>3207.9962853264888</v>
      </c>
      <c r="BQ39" s="2">
        <f t="shared" ca="1" si="10"/>
        <v>3402.3836932763616</v>
      </c>
    </row>
    <row r="40" spans="1:69" outlineLevel="1">
      <c r="A40" s="36"/>
      <c r="B40" s="36"/>
      <c r="C40" s="65"/>
      <c r="D40" s="64"/>
      <c r="E40" s="21" t="s">
        <v>169</v>
      </c>
      <c r="F40" s="21"/>
      <c r="G40" s="21" t="s">
        <v>252</v>
      </c>
      <c r="H40" s="3">
        <f ca="1" xml:space="preserve"> SUM( J40:BQ40 )</f>
        <v>90510341.89369148</v>
      </c>
      <c r="I40" s="21"/>
      <c r="J40" s="3">
        <f t="shared" ref="J40:BQ40" ca="1" si="11" xml:space="preserve">  ( J38 + J39 ) * $F36 * $F37</f>
        <v>144000</v>
      </c>
      <c r="K40" s="3">
        <f t="shared" ca="1" si="11"/>
        <v>152731.78351605101</v>
      </c>
      <c r="L40" s="3">
        <f t="shared" ca="1" si="11"/>
        <v>161685.70128264476</v>
      </c>
      <c r="M40" s="3">
        <f t="shared" ca="1" si="11"/>
        <v>171489.89948570688</v>
      </c>
      <c r="N40" s="3">
        <f t="shared" ca="1" si="11"/>
        <v>181888.59863500224</v>
      </c>
      <c r="O40" s="3">
        <f t="shared" ca="1" si="11"/>
        <v>192551.83792525536</v>
      </c>
      <c r="P40" s="3">
        <f t="shared" ca="1" si="11"/>
        <v>204227.67795567942</v>
      </c>
      <c r="Q40" s="3">
        <f t="shared" ca="1" si="11"/>
        <v>216200.54825143795</v>
      </c>
      <c r="R40" s="3">
        <f t="shared" ca="1" si="11"/>
        <v>229310.38424715391</v>
      </c>
      <c r="S40" s="3">
        <f t="shared" ca="1" si="11"/>
        <v>243215.16642235266</v>
      </c>
      <c r="T40" s="3">
        <f t="shared" ca="1" si="11"/>
        <v>256578.83082441773</v>
      </c>
      <c r="U40" s="3">
        <f t="shared" ca="1" si="11"/>
        <v>272093.33136727469</v>
      </c>
      <c r="V40" s="3">
        <f t="shared" ca="1" si="11"/>
        <v>288000</v>
      </c>
      <c r="W40" s="3">
        <f t="shared" ca="1" si="11"/>
        <v>305728.72796249378</v>
      </c>
      <c r="X40" s="3">
        <f t="shared" ca="1" si="11"/>
        <v>323626.88551196276</v>
      </c>
      <c r="Y40" s="3">
        <f t="shared" ca="1" si="11"/>
        <v>343223.1316413004</v>
      </c>
      <c r="Z40" s="3">
        <f t="shared" ca="1" si="11"/>
        <v>364005.96911873994</v>
      </c>
      <c r="AA40" s="3">
        <f t="shared" ca="1" si="11"/>
        <v>385315.8284428973</v>
      </c>
      <c r="AB40" s="3">
        <f t="shared" ca="1" si="11"/>
        <v>408647.46172099089</v>
      </c>
      <c r="AC40" s="3">
        <f t="shared" ca="1" si="11"/>
        <v>432570.75051631196</v>
      </c>
      <c r="AD40" s="3">
        <f t="shared" ca="1" si="11"/>
        <v>459006.33561541431</v>
      </c>
      <c r="AE40" s="3">
        <f t="shared" ca="1" si="11"/>
        <v>486813.13059150928</v>
      </c>
      <c r="AF40" s="3">
        <f t="shared" ca="1" si="11"/>
        <v>513374.06601691537</v>
      </c>
      <c r="AG40" s="3">
        <f t="shared" ca="1" si="11"/>
        <v>544474.48074351577</v>
      </c>
      <c r="AH40" s="3">
        <f t="shared" ca="1" si="11"/>
        <v>705964.39694621228</v>
      </c>
      <c r="AI40" s="3">
        <f t="shared" ca="1" si="11"/>
        <v>748739.39731883316</v>
      </c>
      <c r="AJ40" s="3">
        <f t="shared" ca="1" si="11"/>
        <v>792600.69079844211</v>
      </c>
      <c r="AK40" s="3">
        <f t="shared" ca="1" si="11"/>
        <v>840625.06071834848</v>
      </c>
      <c r="AL40" s="3">
        <f t="shared" ca="1" si="11"/>
        <v>891559.26965123916</v>
      </c>
      <c r="AM40" s="3">
        <f t="shared" ca="1" si="11"/>
        <v>943786.97904966772</v>
      </c>
      <c r="AN40" s="3">
        <f t="shared" ca="1" si="11"/>
        <v>1000971.8598502229</v>
      </c>
      <c r="AO40" s="3">
        <f t="shared" ca="1" si="11"/>
        <v>1059608.9801964266</v>
      </c>
      <c r="AP40" s="3">
        <f t="shared" ca="1" si="11"/>
        <v>1124199.3047167214</v>
      </c>
      <c r="AQ40" s="3">
        <f t="shared" ca="1" si="11"/>
        <v>1192328.586656197</v>
      </c>
      <c r="AR40" s="3">
        <f t="shared" ca="1" si="11"/>
        <v>1257479.7590464526</v>
      </c>
      <c r="AS40" s="3">
        <f t="shared" ca="1" si="11"/>
        <v>1333646.7800789829</v>
      </c>
      <c r="AT40" s="3">
        <f t="shared" ca="1" si="11"/>
        <v>1411746.6769341626</v>
      </c>
      <c r="AU40" s="3">
        <f t="shared" ca="1" si="11"/>
        <v>1497540.6931030371</v>
      </c>
      <c r="AV40" s="3">
        <f t="shared" ca="1" si="11"/>
        <v>1585261.0219687682</v>
      </c>
      <c r="AW40" s="3">
        <f t="shared" ca="1" si="11"/>
        <v>1681306.9265193231</v>
      </c>
      <c r="AX40" s="3">
        <f t="shared" ca="1" si="11"/>
        <v>1783171.9462436785</v>
      </c>
      <c r="AY40" s="3">
        <f t="shared" ca="1" si="11"/>
        <v>1887623.4861854594</v>
      </c>
      <c r="AZ40" s="3">
        <f t="shared" ca="1" si="11"/>
        <v>2001988.5686268944</v>
      </c>
      <c r="BA40" s="3">
        <f t="shared" ca="1" si="11"/>
        <v>2119257.5684711263</v>
      </c>
      <c r="BB40" s="3">
        <f t="shared" ca="1" si="11"/>
        <v>2248514.3194654267</v>
      </c>
      <c r="BC40" s="3">
        <f t="shared" ca="1" si="11"/>
        <v>2384772.0544056888</v>
      </c>
      <c r="BD40" s="3">
        <f t="shared" ca="1" si="11"/>
        <v>2514927.0477343956</v>
      </c>
      <c r="BE40" s="3">
        <f t="shared" ca="1" si="11"/>
        <v>2667329.1298056832</v>
      </c>
      <c r="BF40" s="3">
        <f t="shared" ca="1" si="11"/>
        <v>2823602.7186174272</v>
      </c>
      <c r="BG40" s="3">
        <f t="shared" ca="1" si="11"/>
        <v>2994710.2402737383</v>
      </c>
      <c r="BH40" s="3">
        <f t="shared" ca="1" si="11"/>
        <v>3170164.4474740345</v>
      </c>
      <c r="BI40" s="3">
        <f t="shared" ca="1" si="11"/>
        <v>3362273.266312262</v>
      </c>
      <c r="BJ40" s="3">
        <f t="shared" ca="1" si="11"/>
        <v>3566023.6891330611</v>
      </c>
      <c r="BK40" s="3">
        <f t="shared" ca="1" si="11"/>
        <v>3774950.0330127231</v>
      </c>
      <c r="BL40" s="3">
        <f t="shared" ca="1" si="11"/>
        <v>4003708.2588510769</v>
      </c>
      <c r="BM40" s="3">
        <f t="shared" ca="1" si="11"/>
        <v>4238277.6850222051</v>
      </c>
      <c r="BN40" s="3">
        <f t="shared" ca="1" si="11"/>
        <v>4491128.2687327787</v>
      </c>
      <c r="BO40" s="3">
        <f t="shared" ca="1" si="11"/>
        <v>4763214.4460546756</v>
      </c>
      <c r="BP40" s="3">
        <f t="shared" ca="1" si="11"/>
        <v>5030895.4583093515</v>
      </c>
      <c r="BQ40" s="3">
        <f t="shared" ca="1" si="11"/>
        <v>5335682.3496117182</v>
      </c>
    </row>
    <row r="43" spans="1:69">
      <c r="B43" s="27" t="s">
        <v>265</v>
      </c>
    </row>
  </sheetData>
  <conditionalFormatting sqref="F2:F3">
    <cfRule type="cellIs" dxfId="238" priority="1" stopIfTrue="1" operator="notEqual">
      <formula>0</formula>
    </cfRule>
    <cfRule type="cellIs" dxfId="237" priority="2" stopIfTrue="1" operator="equal">
      <formula>""</formula>
    </cfRule>
  </conditionalFormatting>
  <conditionalFormatting sqref="J3:BQ3">
    <cfRule type="cellIs" dxfId="236" priority="8" operator="equal">
      <formula>"PPA ext."</formula>
    </cfRule>
    <cfRule type="cellIs" dxfId="235" priority="9" operator="equal">
      <formula>"Delay"</formula>
    </cfRule>
    <cfRule type="cellIs" dxfId="234" priority="10" operator="equal">
      <formula>"Fin Close"</formula>
    </cfRule>
    <cfRule type="cellIs" dxfId="233" priority="11" stopIfTrue="1" operator="equal">
      <formula>"Construction"</formula>
    </cfRule>
    <cfRule type="cellIs" dxfId="23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6.5429687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8164062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9" width="13.179687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Income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150</v>
      </c>
    </row>
    <row r="9" spans="1:69" outlineLevel="1">
      <c r="A9" s="18"/>
      <c r="B9" s="18"/>
      <c r="C9" s="30"/>
      <c r="D9" s="31"/>
      <c r="E9" s="4" t="str">
        <f xml:space="preserve">  InpC!E$22</f>
        <v>Invoice Term</v>
      </c>
      <c r="F9" s="4">
        <f xml:space="preserve">  InpC!F$22</f>
        <v>12</v>
      </c>
      <c r="G9" s="4" t="str">
        <f xml:space="preserve">  InpC!G$22</f>
        <v>Months</v>
      </c>
      <c r="M9" s="2"/>
    </row>
    <row r="10" spans="1:69" outlineLevel="1">
      <c r="A10" s="18"/>
      <c r="B10" s="18"/>
      <c r="C10" s="30"/>
      <c r="D10" s="31"/>
      <c r="E10" s="4" t="str">
        <f xml:space="preserve">  InpC!E$20</f>
        <v>Sales Price Unit</v>
      </c>
      <c r="F10" s="4">
        <f xml:space="preserve">  InpC!F$20</f>
        <v>12</v>
      </c>
      <c r="G10" s="4" t="str">
        <f xml:space="preserve">  InpC!G$20</f>
        <v>GBP</v>
      </c>
      <c r="M10" s="2"/>
    </row>
    <row r="11" spans="1:69" outlineLevel="1">
      <c r="A11" s="18"/>
      <c r="B11" s="18"/>
      <c r="C11" s="30"/>
      <c r="D11" s="31"/>
      <c r="E11" s="4" t="str">
        <f xml:space="preserve">  Customers!E$26</f>
        <v>Customer orders fullfilled</v>
      </c>
      <c r="F11" s="4">
        <f xml:space="preserve">  Customers!F$26</f>
        <v>0</v>
      </c>
      <c r="G11" s="4" t="str">
        <f xml:space="preserve">  Customers!G$26</f>
        <v>Units</v>
      </c>
      <c r="H11" s="4">
        <f ca="1" xml:space="preserve">  Customers!H$26</f>
        <v>253879.33897738747</v>
      </c>
      <c r="I11" s="4">
        <f xml:space="preserve">  Customers!I$26</f>
        <v>0</v>
      </c>
      <c r="J11" s="4">
        <f xml:space="preserve">  Customers!J$26</f>
        <v>0</v>
      </c>
      <c r="K11" s="4">
        <f ca="1" xml:space="preserve">  Customers!K$26</f>
        <v>0</v>
      </c>
      <c r="L11" s="4">
        <f ca="1" xml:space="preserve">  Customers!L$26</f>
        <v>0</v>
      </c>
      <c r="M11" s="4">
        <f ca="1" xml:space="preserve">  Customers!M$26</f>
        <v>0</v>
      </c>
      <c r="N11" s="4">
        <f ca="1" xml:space="preserve">  Customers!N$26</f>
        <v>0</v>
      </c>
      <c r="O11" s="4">
        <f ca="1" xml:space="preserve">  Customers!O$26</f>
        <v>0</v>
      </c>
      <c r="P11" s="4">
        <f ca="1" xml:space="preserve">  Customers!P$26</f>
        <v>0</v>
      </c>
      <c r="Q11" s="4">
        <f ca="1" xml:space="preserve">  Customers!Q$26</f>
        <v>4196.4427041678455</v>
      </c>
      <c r="R11" s="4">
        <f ca="1" xml:space="preserve">  Customers!R$26</f>
        <v>750.69634809527088</v>
      </c>
      <c r="S11" s="4">
        <f ca="1" xml:space="preserve">  Customers!S$26</f>
        <v>52.860947736883645</v>
      </c>
      <c r="T11" s="4">
        <f ca="1" xml:space="preserve">  Customers!T$26</f>
        <v>0</v>
      </c>
      <c r="U11" s="4">
        <f ca="1" xml:space="preserve">  Customers!U$26</f>
        <v>0</v>
      </c>
      <c r="V11" s="4">
        <f ca="1" xml:space="preserve">  Customers!V$26</f>
        <v>0</v>
      </c>
      <c r="W11" s="4">
        <f ca="1" xml:space="preserve">  Customers!W$26</f>
        <v>4423.5199996978354</v>
      </c>
      <c r="X11" s="4">
        <f ca="1" xml:space="preserve">  Customers!X$26</f>
        <v>576.48000030216463</v>
      </c>
      <c r="Y11" s="4">
        <f ca="1" xml:space="preserve">  Customers!Y$26</f>
        <v>0</v>
      </c>
      <c r="Z11" s="4">
        <f ca="1" xml:space="preserve">  Customers!Z$26</f>
        <v>0</v>
      </c>
      <c r="AA11" s="4">
        <f ca="1" xml:space="preserve">  Customers!AA$26</f>
        <v>0</v>
      </c>
      <c r="AB11" s="4">
        <f ca="1" xml:space="preserve">  Customers!AB$26</f>
        <v>0</v>
      </c>
      <c r="AC11" s="4">
        <f ca="1" xml:space="preserve">  Customers!AC$26</f>
        <v>5000</v>
      </c>
      <c r="AD11" s="4">
        <f ca="1" xml:space="preserve">  Customers!AD$26</f>
        <v>0</v>
      </c>
      <c r="AE11" s="4">
        <f ca="1" xml:space="preserve">  Customers!AE$26</f>
        <v>0</v>
      </c>
      <c r="AF11" s="4">
        <f ca="1" xml:space="preserve">  Customers!AF$26</f>
        <v>0</v>
      </c>
      <c r="AG11" s="4">
        <f ca="1" xml:space="preserve">  Customers!AG$26</f>
        <v>5000</v>
      </c>
      <c r="AH11" s="4">
        <f ca="1" xml:space="preserve">  Customers!AH$26</f>
        <v>0</v>
      </c>
      <c r="AI11" s="4">
        <f ca="1" xml:space="preserve">  Customers!AI$26</f>
        <v>1000</v>
      </c>
      <c r="AJ11" s="4">
        <f ca="1" xml:space="preserve">  Customers!AJ$26</f>
        <v>1060.637385528132</v>
      </c>
      <c r="AK11" s="4">
        <f ca="1" xml:space="preserve">  Customers!AK$26</f>
        <v>6122.817370018367</v>
      </c>
      <c r="AL11" s="4">
        <f ca="1" xml:space="preserve">  Customers!AL$26</f>
        <v>1190.9020797618532</v>
      </c>
      <c r="AM11" s="4">
        <f ca="1" xml:space="preserve">  Customers!AM$26</f>
        <v>1263.1152682986267</v>
      </c>
      <c r="AN11" s="4">
        <f ca="1" xml:space="preserve">  Customers!AN$26</f>
        <v>6337.1655411476058</v>
      </c>
      <c r="AO11" s="4">
        <f ca="1" xml:space="preserve">  Customers!AO$26</f>
        <v>1418.2477635811072</v>
      </c>
      <c r="AP11" s="4">
        <f ca="1" xml:space="preserve">  Customers!AP$26</f>
        <v>6501.3926961905418</v>
      </c>
      <c r="AQ11" s="4">
        <f ca="1" xml:space="preserve">  Customers!AQ$26</f>
        <v>1592.4332239385687</v>
      </c>
      <c r="AR11" s="4">
        <f ca="1" xml:space="preserve">  Customers!AR$26</f>
        <v>1688.9942112663377</v>
      </c>
      <c r="AS11" s="4">
        <f ca="1" xml:space="preserve">  Customers!AS$26</f>
        <v>6781.7974362806781</v>
      </c>
      <c r="AT11" s="4">
        <f ca="1" xml:space="preserve">  Customers!AT$26</f>
        <v>1889.5370233838521</v>
      </c>
      <c r="AU11" s="4">
        <f ca="1" xml:space="preserve">  Customers!AU$26</f>
        <v>2000</v>
      </c>
      <c r="AV11" s="4">
        <f ca="1" xml:space="preserve">  Customers!AV$26</f>
        <v>7123.1161664062074</v>
      </c>
      <c r="AW11" s="4">
        <f ca="1" xml:space="preserve">  Customers!AW$26</f>
        <v>2247.4089271664079</v>
      </c>
      <c r="AX11" s="4">
        <f ca="1" xml:space="preserve">  Customers!AX$26</f>
        <v>7383.4939697312529</v>
      </c>
      <c r="AY11" s="4">
        <f ca="1" xml:space="preserve">  Customers!AY$26</f>
        <v>2527.8192299912498</v>
      </c>
      <c r="AZ11" s="4">
        <f ca="1" xml:space="preserve">  Customers!AZ$26</f>
        <v>7675.8043641867862</v>
      </c>
      <c r="BA11" s="4">
        <f ca="1" xml:space="preserve">  Customers!BA$26</f>
        <v>7837.8295952846602</v>
      </c>
      <c r="BB11" s="4">
        <f ca="1" xml:space="preserve">  Customers!BB$26</f>
        <v>3003.9635452521661</v>
      </c>
      <c r="BC11" s="4">
        <f ca="1" xml:space="preserve">  Customers!BC$26</f>
        <v>8187.5439973292669</v>
      </c>
      <c r="BD11" s="4">
        <f ca="1" xml:space="preserve">  Customers!BD$26</f>
        <v>8380.6467402188136</v>
      </c>
      <c r="BE11" s="4">
        <f ca="1" xml:space="preserve">  Customers!BE$26</f>
        <v>3565.0976806730232</v>
      </c>
      <c r="BF11" s="4">
        <f ca="1" xml:space="preserve">  Customers!BF$26</f>
        <v>8781.0727829410807</v>
      </c>
      <c r="BG11" s="4">
        <f ca="1" xml:space="preserve">  Customers!BG$26</f>
        <v>9902.530534348698</v>
      </c>
      <c r="BH11" s="4">
        <f ca="1" xml:space="preserve">  Customers!BH$26</f>
        <v>10199.579148047453</v>
      </c>
      <c r="BI11" s="4">
        <f ca="1" xml:space="preserve">  Customers!BI$26</f>
        <v>10504.171463878069</v>
      </c>
      <c r="BJ11" s="4">
        <f ca="1" xml:space="preserve">  Customers!BJ$26</f>
        <v>10837.674032766308</v>
      </c>
      <c r="BK11" s="4">
        <f ca="1" xml:space="preserve">  Customers!BK$26</f>
        <v>11191.383817022494</v>
      </c>
      <c r="BL11" s="4">
        <f ca="1" xml:space="preserve">  Customers!BL$26</f>
        <v>11554.076243400472</v>
      </c>
      <c r="BM11" s="4">
        <f ca="1" xml:space="preserve">  Customers!BM$26</f>
        <v>11951.193471182105</v>
      </c>
      <c r="BN11" s="4">
        <f ca="1" xml:space="preserve">  Customers!BN$26</f>
        <v>12358.395695808518</v>
      </c>
      <c r="BO11" s="4">
        <f ca="1" xml:space="preserve">  Customers!BO$26</f>
        <v>12806.939616088344</v>
      </c>
      <c r="BP11" s="4">
        <f ca="1" xml:space="preserve">  Customers!BP$26</f>
        <v>13280.059629556923</v>
      </c>
      <c r="BQ11" s="4">
        <f ca="1" xml:space="preserve">  Customers!BQ$26</f>
        <v>13732.498326711473</v>
      </c>
    </row>
    <row r="12" spans="1:69" outlineLevel="1">
      <c r="A12" s="36"/>
      <c r="B12" s="36"/>
      <c r="C12" s="65"/>
      <c r="D12" s="64"/>
      <c r="E12" s="21" t="s">
        <v>150</v>
      </c>
      <c r="F12" s="21"/>
      <c r="G12" s="21" t="s">
        <v>252</v>
      </c>
      <c r="H12" s="3">
        <f ca="1" xml:space="preserve"> SUM( J12:BQ12 )</f>
        <v>53374910.85979531</v>
      </c>
      <c r="I12" s="21"/>
      <c r="J12" s="3">
        <f ca="1" xml:space="preserve">  ( J11 * $F9 * $F10 ) + ( IF( Time!J28 &lt; 1 + $F9, 0, OFFSET( J11, 0, - 1 * ( $F9 ) ) ) * $F9 * $F10 )</f>
        <v>0</v>
      </c>
      <c r="K12" s="3">
        <f ca="1" xml:space="preserve">  ( K11 * $F9 * $F10 ) + ( IF( Time!K28 &lt; 1 + $F9, 0, OFFSET( K11, 0, - 1 * ( $F9 ) ) ) * $F9 * $F10 )</f>
        <v>0</v>
      </c>
      <c r="L12" s="3">
        <f ca="1" xml:space="preserve">  ( L11 * $F9 * $F10 ) + ( IF( Time!L28 &lt; 1 + $F9, 0, OFFSET( L11, 0, - 1 * ( $F9 ) ) ) * $F9 * $F10 )</f>
        <v>0</v>
      </c>
      <c r="M12" s="3">
        <f ca="1" xml:space="preserve">  ( M11 * $F9 * $F10 ) + ( IF( Time!M28 &lt; 1 + $F9, 0, OFFSET( M11, 0, - 1 * ( $F9 ) ) ) * $F9 * $F10 )</f>
        <v>0</v>
      </c>
      <c r="N12" s="3">
        <f ca="1" xml:space="preserve">  ( N11 * $F9 * $F10 ) + ( IF( Time!N28 &lt; 1 + $F9, 0, OFFSET( N11, 0, - 1 * ( $F9 ) ) ) * $F9 * $F10 )</f>
        <v>0</v>
      </c>
      <c r="O12" s="3">
        <f ca="1" xml:space="preserve">  ( O11 * $F9 * $F10 ) + ( IF( Time!O28 &lt; 1 + $F9, 0, OFFSET( O11, 0, - 1 * ( $F9 ) ) ) * $F9 * $F10 )</f>
        <v>0</v>
      </c>
      <c r="P12" s="3">
        <f ca="1" xml:space="preserve">  ( P11 * $F9 * $F10 ) + ( IF( Time!P28 &lt; 1 + $F9, 0, OFFSET( P11, 0, - 1 * ( $F9 ) ) ) * $F9 * $F10 )</f>
        <v>0</v>
      </c>
      <c r="Q12" s="3">
        <f ca="1" xml:space="preserve">  ( Q11 * $F9 * $F10 ) + ( IF( Time!Q28 &lt; 1 + $F9, 0, OFFSET( Q11, 0, - 1 * ( $F9 ) ) ) * $F9 * $F10 )</f>
        <v>604287.74940016971</v>
      </c>
      <c r="R12" s="3">
        <f ca="1" xml:space="preserve">  ( R11 * $F9 * $F10 ) + ( IF( Time!R28 &lt; 1 + $F9, 0, OFFSET( R11, 0, - 1 * ( $F9 ) ) ) * $F9 * $F10 )</f>
        <v>108100.27412571901</v>
      </c>
      <c r="S12" s="3">
        <f ca="1" xml:space="preserve">  ( S11 * $F9 * $F10 ) + ( IF( Time!S28 &lt; 1 + $F9, 0, OFFSET( S11, 0, - 1 * ( $F9 ) ) ) * $F9 * $F10 )</f>
        <v>7611.9764741112449</v>
      </c>
      <c r="T12" s="3">
        <f ca="1" xml:space="preserve">  ( T11 * $F9 * $F10 ) + ( IF( Time!T28 &lt; 1 + $F9, 0, OFFSET( T11, 0, - 1 * ( $F9 ) ) ) * $F9 * $F10 )</f>
        <v>0</v>
      </c>
      <c r="U12" s="3">
        <f ca="1" xml:space="preserve">  ( U11 * $F9 * $F10 ) + ( IF( Time!U28 &lt; 1 + $F9, 0, OFFSET( U11, 0, - 1 * ( $F9 ) ) ) * $F9 * $F10 )</f>
        <v>0</v>
      </c>
      <c r="V12" s="3">
        <f ca="1" xml:space="preserve">  ( V11 * $F9 * $F10 ) + ( IF( Time!V28 &lt; 1 + $F9, 0, OFFSET( V11, 0, - 1 * ( $F9 ) ) ) * $F9 * $F10 )</f>
        <v>0</v>
      </c>
      <c r="W12" s="3">
        <f ca="1" xml:space="preserve">  ( W11 * $F9 * $F10 ) + ( IF( Time!W28 &lt; 1 + $F9, 0, OFFSET( W11, 0, - 1 * ( $F9 ) ) ) * $F9 * $F10 )</f>
        <v>636986.87995648826</v>
      </c>
      <c r="X12" s="3">
        <f ca="1" xml:space="preserve">  ( X11 * $F9 * $F10 ) + ( IF( Time!X28 &lt; 1 + $F9, 0, OFFSET( X11, 0, - 1 * ( $F9 ) ) ) * $F9 * $F10 )</f>
        <v>83013.120043511706</v>
      </c>
      <c r="Y12" s="3">
        <f ca="1" xml:space="preserve">  ( Y11 * $F9 * $F10 ) + ( IF( Time!Y28 &lt; 1 + $F9, 0, OFFSET( Y11, 0, - 1 * ( $F9 ) ) ) * $F9 * $F10 )</f>
        <v>0</v>
      </c>
      <c r="Z12" s="3">
        <f ca="1" xml:space="preserve">  ( Z11 * $F9 * $F10 ) + ( IF( Time!Z28 &lt; 1 + $F9, 0, OFFSET( Z11, 0, - 1 * ( $F9 ) ) ) * $F9 * $F10 )</f>
        <v>0</v>
      </c>
      <c r="AA12" s="3">
        <f ca="1" xml:space="preserve">  ( AA11 * $F9 * $F10 ) + ( IF( Time!AA28 &lt; 1 + $F9, 0, OFFSET( AA11, 0, - 1 * ( $F9 ) ) ) * $F9 * $F10 )</f>
        <v>0</v>
      </c>
      <c r="AB12" s="3">
        <f ca="1" xml:space="preserve">  ( AB11 * $F9 * $F10 ) + ( IF( Time!AB28 &lt; 1 + $F9, 0, OFFSET( AB11, 0, - 1 * ( $F9 ) ) ) * $F9 * $F10 )</f>
        <v>0</v>
      </c>
      <c r="AC12" s="3">
        <f ca="1" xml:space="preserve">  ( AC11 * $F9 * $F10 ) + ( IF( Time!AC28 &lt; 1 + $F9, 0, OFFSET( AC11, 0, - 1 * ( $F9 ) ) ) * $F9 * $F10 )</f>
        <v>1324287.7494001696</v>
      </c>
      <c r="AD12" s="3">
        <f ca="1" xml:space="preserve">  ( AD11 * $F9 * $F10 ) + ( IF( Time!AD28 &lt; 1 + $F9, 0, OFFSET( AD11, 0, - 1 * ( $F9 ) ) ) * $F9 * $F10 )</f>
        <v>108100.27412571901</v>
      </c>
      <c r="AE12" s="3">
        <f ca="1" xml:space="preserve">  ( AE11 * $F9 * $F10 ) + ( IF( Time!AE28 &lt; 1 + $F9, 0, OFFSET( AE11, 0, - 1 * ( $F9 ) ) ) * $F9 * $F10 )</f>
        <v>7611.9764741112449</v>
      </c>
      <c r="AF12" s="3">
        <f ca="1" xml:space="preserve">  ( AF11 * $F9 * $F10 ) + ( IF( Time!AF28 &lt; 1 + $F9, 0, OFFSET( AF11, 0, - 1 * ( $F9 ) ) ) * $F9 * $F10 )</f>
        <v>0</v>
      </c>
      <c r="AG12" s="3">
        <f ca="1" xml:space="preserve">  ( AG11 * $F9 * $F10 ) + ( IF( Time!AG28 &lt; 1 + $F9, 0, OFFSET( AG11, 0, - 1 * ( $F9 ) ) ) * $F9 * $F10 )</f>
        <v>720000</v>
      </c>
      <c r="AH12" s="3">
        <f ca="1" xml:space="preserve">  ( AH11 * $F9 * $F10 ) + ( IF( Time!AH28 &lt; 1 + $F9, 0, OFFSET( AH11, 0, - 1 * ( $F9 ) ) ) * $F9 * $F10 )</f>
        <v>0</v>
      </c>
      <c r="AI12" s="3">
        <f ca="1" xml:space="preserve">  ( AI11 * $F9 * $F10 ) + ( IF( Time!AI28 &lt; 1 + $F9, 0, OFFSET( AI11, 0, - 1 * ( $F9 ) ) ) * $F9 * $F10 )</f>
        <v>780986.87995648826</v>
      </c>
      <c r="AJ12" s="3">
        <f ca="1" xml:space="preserve">  ( AJ11 * $F9 * $F10 ) + ( IF( Time!AJ28 &lt; 1 + $F9, 0, OFFSET( AJ11, 0, - 1 * ( $F9 ) ) ) * $F9 * $F10 )</f>
        <v>235744.90355956272</v>
      </c>
      <c r="AK12" s="3">
        <f ca="1" xml:space="preserve">  ( AK11 * $F9 * $F10 ) + ( IF( Time!AK28 &lt; 1 + $F9, 0, OFFSET( AK11, 0, - 1 * ( $F9 ) ) ) * $F9 * $F10 )</f>
        <v>881685.70128264476</v>
      </c>
      <c r="AL12" s="3">
        <f ca="1" xml:space="preserve">  ( AL11 * $F9 * $F10 ) + ( IF( Time!AL28 &lt; 1 + $F9, 0, OFFSET( AL11, 0, - 1 * ( $F9 ) ) ) * $F9 * $F10 )</f>
        <v>171489.89948570688</v>
      </c>
      <c r="AM12" s="3">
        <f ca="1" xml:space="preserve">  ( AM11 * $F9 * $F10 ) + ( IF( Time!AM28 &lt; 1 + $F9, 0, OFFSET( AM11, 0, - 1 * ( $F9 ) ) ) * $F9 * $F10 )</f>
        <v>181888.59863500224</v>
      </c>
      <c r="AN12" s="3">
        <f ca="1" xml:space="preserve">  ( AN11 * $F9 * $F10 ) + ( IF( Time!AN28 &lt; 1 + $F9, 0, OFFSET( AN11, 0, - 1 * ( $F9 ) ) ) * $F9 * $F10 )</f>
        <v>912551.8379252553</v>
      </c>
      <c r="AO12" s="3">
        <f ca="1" xml:space="preserve">  ( AO11 * $F9 * $F10 ) + ( IF( Time!AO28 &lt; 1 + $F9, 0, OFFSET( AO11, 0, - 1 * ( $F9 ) ) ) * $F9 * $F10 )</f>
        <v>924227.67795567936</v>
      </c>
      <c r="AP12" s="3">
        <f ca="1" xml:space="preserve">  ( AP11 * $F9 * $F10 ) + ( IF( Time!AP28 &lt; 1 + $F9, 0, OFFSET( AP11, 0, - 1 * ( $F9 ) ) ) * $F9 * $F10 )</f>
        <v>936200.54825143795</v>
      </c>
      <c r="AQ12" s="3">
        <f ca="1" xml:space="preserve">  ( AQ11 * $F9 * $F10 ) + ( IF( Time!AQ28 &lt; 1 + $F9, 0, OFFSET( AQ11, 0, - 1 * ( $F9 ) ) ) * $F9 * $F10 )</f>
        <v>229310.38424715391</v>
      </c>
      <c r="AR12" s="3">
        <f ca="1" xml:space="preserve">  ( AR11 * $F9 * $F10 ) + ( IF( Time!AR28 &lt; 1 + $F9, 0, OFFSET( AR11, 0, - 1 * ( $F9 ) ) ) * $F9 * $F10 )</f>
        <v>243215.16642235266</v>
      </c>
      <c r="AS12" s="3">
        <f ca="1" xml:space="preserve">  ( AS11 * $F9 * $F10 ) + ( IF( Time!AS28 &lt; 1 + $F9, 0, OFFSET( AS11, 0, - 1 * ( $F9 ) ) ) * $F9 * $F10 )</f>
        <v>1696578.8308244175</v>
      </c>
      <c r="AT12" s="3">
        <f ca="1" xml:space="preserve">  ( AT11 * $F9 * $F10 ) + ( IF( Time!AT28 &lt; 1 + $F9, 0, OFFSET( AT11, 0, - 1 * ( $F9 ) ) ) * $F9 * $F10 )</f>
        <v>272093.33136727469</v>
      </c>
      <c r="AU12" s="3">
        <f ca="1" xml:space="preserve">  ( AU11 * $F9 * $F10 ) + ( IF( Time!AU28 &lt; 1 + $F9, 0, OFFSET( AU11, 0, - 1 * ( $F9 ) ) ) * $F9 * $F10 )</f>
        <v>432000</v>
      </c>
      <c r="AV12" s="3">
        <f ca="1" xml:space="preserve">  ( AV11 * $F9 * $F10 ) + ( IF( Time!AV28 &lt; 1 + $F9, 0, OFFSET( AV11, 0, - 1 * ( $F9 ) ) ) * $F9 * $F10 )</f>
        <v>1178460.5114785447</v>
      </c>
      <c r="AW12" s="3">
        <f ca="1" xml:space="preserve">  ( AW11 * $F9 * $F10 ) + ( IF( Time!AW28 &lt; 1 + $F9, 0, OFFSET( AW11, 0, - 1 * ( $F9 ) ) ) * $F9 * $F10 )</f>
        <v>1205312.5867946076</v>
      </c>
      <c r="AX12" s="3">
        <f ca="1" xml:space="preserve">  ( AX11 * $F9 * $F10 ) + ( IF( Time!AX28 &lt; 1 + $F9, 0, OFFSET( AX11, 0, - 1 * ( $F9 ) ) ) * $F9 * $F10 )</f>
        <v>1234713.0311270072</v>
      </c>
      <c r="AY12" s="3">
        <f ca="1" xml:space="preserve">  ( AY11 * $F9 * $F10 ) + ( IF( Time!AY28 &lt; 1 + $F9, 0, OFFSET( AY11, 0, - 1 * ( $F9 ) ) ) * $F9 * $F10 )</f>
        <v>545894.56775374222</v>
      </c>
      <c r="AZ12" s="3">
        <f ca="1" xml:space="preserve">  ( AZ11 * $F9 * $F10 ) + ( IF( Time!AZ28 &lt; 1 + $F9, 0, OFFSET( AZ11, 0, - 1 * ( $F9 ) ) ) * $F9 * $F10 )</f>
        <v>2017867.6663681525</v>
      </c>
      <c r="BA12" s="3">
        <f ca="1" xml:space="preserve">  ( BA11 * $F9 * $F10 ) + ( IF( Time!BA28 &lt; 1 + $F9, 0, OFFSET( BA11, 0, - 1 * ( $F9 ) ) ) * $F9 * $F10 )</f>
        <v>1332875.1396766703</v>
      </c>
      <c r="BB12" s="3">
        <f ca="1" xml:space="preserve">  ( BB11 * $F9 * $F10 ) + ( IF( Time!BB28 &lt; 1 + $F9, 0, OFFSET( BB11, 0, - 1 * ( $F9 ) ) ) * $F9 * $F10 )</f>
        <v>1368771.2987677499</v>
      </c>
      <c r="BC12" s="3">
        <f ca="1" xml:space="preserve">  ( BC11 * $F9 * $F10 ) + ( IF( Time!BC28 &lt; 1 + $F9, 0, OFFSET( BC11, 0, - 1 * ( $F9 ) ) ) * $F9 * $F10 )</f>
        <v>1408316.7198625684</v>
      </c>
      <c r="BD12" s="3">
        <f ca="1" xml:space="preserve">  ( BD11 * $F9 * $F10 ) + ( IF( Time!BD28 &lt; 1 + $F9, 0, OFFSET( BD11, 0, - 1 * ( $F9 ) ) ) * $F9 * $F10 )</f>
        <v>1450028.2970138618</v>
      </c>
      <c r="BE12" s="3">
        <f ca="1" xml:space="preserve">  ( BE11 * $F9 * $F10 ) + ( IF( Time!BE28 &lt; 1 + $F9, 0, OFFSET( BE11, 0, - 1 * ( $F9 ) ) ) * $F9 * $F10 )</f>
        <v>1489952.896841333</v>
      </c>
      <c r="BF12" s="3">
        <f ca="1" xml:space="preserve">  ( BF11 * $F9 * $F10 ) + ( IF( Time!BF28 &lt; 1 + $F9, 0, OFFSET( BF11, 0, - 1 * ( $F9 ) ) ) * $F9 * $F10 )</f>
        <v>1536567.8121107903</v>
      </c>
      <c r="BG12" s="3">
        <f ca="1" xml:space="preserve">  ( BG11 * $F9 * $F10 ) + ( IF( Time!BG28 &lt; 1 + $F9, 0, OFFSET( BG11, 0, - 1 * ( $F9 ) ) ) * $F9 * $F10 )</f>
        <v>1713964.3969462125</v>
      </c>
      <c r="BH12" s="3">
        <f ca="1" xml:space="preserve">  ( BH11 * $F9 * $F10 ) + ( IF( Time!BH28 &lt; 1 + $F9, 0, OFFSET( BH11, 0, - 1 * ( $F9 ) ) ) * $F9 * $F10 )</f>
        <v>2494468.1252813269</v>
      </c>
      <c r="BI12" s="3">
        <f ca="1" xml:space="preserve">  ( BI11 * $F9 * $F10 ) + ( IF( Time!BI28 &lt; 1 + $F9, 0, OFFSET( BI11, 0, - 1 * ( $F9 ) ) ) * $F9 * $F10 )</f>
        <v>1836227.5763104046</v>
      </c>
      <c r="BJ12" s="3">
        <f ca="1" xml:space="preserve">  ( BJ11 * $F9 * $F10 ) + ( IF( Time!BJ28 &lt; 1 + $F9, 0, OFFSET( BJ11, 0, - 1 * ( $F9 ) ) ) * $F9 * $F10 )</f>
        <v>2623848.1923596486</v>
      </c>
      <c r="BK12" s="3">
        <f ca="1" xml:space="preserve">  ( BK11 * $F9 * $F10 ) + ( IF( Time!BK28 &lt; 1 + $F9, 0, OFFSET( BK11, 0, - 1 * ( $F9 ) ) ) * $F9 * $F10 )</f>
        <v>1975565.2387699792</v>
      </c>
      <c r="BL12" s="3">
        <f ca="1" xml:space="preserve">  ( BL11 * $F9 * $F10 ) + ( IF( Time!BL28 &lt; 1 + $F9, 0, OFFSET( BL11, 0, - 1 * ( $F9 ) ) ) * $F9 * $F10 )</f>
        <v>2769102.8074925654</v>
      </c>
      <c r="BM12" s="3">
        <f ca="1" xml:space="preserve">  ( BM11 * $F9 * $F10 ) + ( IF( Time!BM28 &lt; 1 + $F9, 0, OFFSET( BM11, 0, - 1 * ( $F9 ) ) ) * $F9 * $F10 )</f>
        <v>2849619.3215712141</v>
      </c>
      <c r="BN12" s="3">
        <f ca="1" xml:space="preserve">  ( BN11 * $F9 * $F10 ) + ( IF( Time!BN28 &lt; 1 + $F9, 0, OFFSET( BN11, 0, - 1 * ( $F9 ) ) ) * $F9 * $F10 )</f>
        <v>2212179.7307127388</v>
      </c>
      <c r="BO12" s="3">
        <f ca="1" xml:space="preserve">  ( BO11 * $F9 * $F10 ) + ( IF( Time!BO28 &lt; 1 + $F9, 0, OFFSET( BO11, 0, - 1 * ( $F9 ) ) ) * $F9 * $F10 )</f>
        <v>3023205.6403321358</v>
      </c>
      <c r="BP12" s="3">
        <f ca="1" xml:space="preserve">  ( BP11 * $F9 * $F10 ) + ( IF( Time!BP28 &lt; 1 + $F9, 0, OFFSET( BP11, 0, - 1 * ( $F9 ) ) ) * $F9 * $F10 )</f>
        <v>3119141.7172477059</v>
      </c>
      <c r="BQ12" s="3">
        <f ca="1" xml:space="preserve">  ( BQ11 * $F9 * $F10 ) + ( IF( Time!BQ28 &lt; 1 + $F9, 0, OFFSET( BQ11, 0, - 1 * ( $F9 ) ) ) * $F9 * $F10 )</f>
        <v>2490853.8250633674</v>
      </c>
    </row>
    <row r="15" spans="1:69">
      <c r="B15" s="27" t="s">
        <v>170</v>
      </c>
    </row>
    <row r="16" spans="1:69" outlineLevel="1">
      <c r="A16" s="18"/>
      <c r="B16" s="18"/>
      <c r="C16" s="30"/>
      <c r="D16" s="31"/>
      <c r="E16" s="4" t="str">
        <f xml:space="preserve">  InpC!E$20</f>
        <v>Sales Price Unit</v>
      </c>
      <c r="F16" s="4">
        <f xml:space="preserve">  InpC!F$20</f>
        <v>12</v>
      </c>
      <c r="G16" s="4" t="str">
        <f xml:space="preserve">  InpC!G$20</f>
        <v>GBP</v>
      </c>
      <c r="M16" s="2"/>
    </row>
    <row r="17" spans="1:69" outlineLevel="1">
      <c r="A17" s="18"/>
      <c r="B17" s="18"/>
      <c r="C17" s="30"/>
      <c r="D17" s="31"/>
      <c r="E17" s="4" t="str">
        <f xml:space="preserve">  Inventory!E$64</f>
        <v>Units in use</v>
      </c>
      <c r="F17" s="4">
        <f xml:space="preserve">  Inventory!F$64</f>
        <v>0</v>
      </c>
      <c r="G17" s="4" t="str">
        <f xml:space="preserve">  Inventory!G$64</f>
        <v>Units</v>
      </c>
      <c r="H17" s="4">
        <f xml:space="preserve">  Inventory!H$64</f>
        <v>0</v>
      </c>
      <c r="I17" s="4">
        <f xml:space="preserve">  Inventory!I$64</f>
        <v>0</v>
      </c>
      <c r="J17" s="4">
        <f ca="1" xml:space="preserve">  Inventory!J$64</f>
        <v>0</v>
      </c>
      <c r="K17" s="4">
        <f ca="1" xml:space="preserve">  Inventory!K$64</f>
        <v>0</v>
      </c>
      <c r="L17" s="4">
        <f ca="1" xml:space="preserve">  Inventory!L$64</f>
        <v>0</v>
      </c>
      <c r="M17" s="4">
        <f ca="1" xml:space="preserve">  Inventory!M$64</f>
        <v>0</v>
      </c>
      <c r="N17" s="4">
        <f ca="1" xml:space="preserve">  Inventory!N$64</f>
        <v>0</v>
      </c>
      <c r="O17" s="4">
        <f ca="1" xml:space="preserve">  Inventory!O$64</f>
        <v>0</v>
      </c>
      <c r="P17" s="4">
        <f ca="1" xml:space="preserve">  Inventory!P$64</f>
        <v>0</v>
      </c>
      <c r="Q17" s="4">
        <f ca="1" xml:space="preserve">  Inventory!Q$64</f>
        <v>4196.4427041678455</v>
      </c>
      <c r="R17" s="4">
        <f ca="1" xml:space="preserve">  Inventory!R$64</f>
        <v>4947.1390522631164</v>
      </c>
      <c r="S17" s="4">
        <f ca="1" xml:space="preserve">  Inventory!S$64</f>
        <v>5000</v>
      </c>
      <c r="T17" s="4">
        <f ca="1" xml:space="preserve">  Inventory!T$64</f>
        <v>5000</v>
      </c>
      <c r="U17" s="4">
        <f ca="1" xml:space="preserve">  Inventory!U$64</f>
        <v>5000</v>
      </c>
      <c r="V17" s="4">
        <f ca="1" xml:space="preserve">  Inventory!V$64</f>
        <v>5000</v>
      </c>
      <c r="W17" s="4">
        <f ca="1" xml:space="preserve">  Inventory!W$64</f>
        <v>9423.5199996978354</v>
      </c>
      <c r="X17" s="4">
        <f ca="1" xml:space="preserve">  Inventory!X$64</f>
        <v>10000</v>
      </c>
      <c r="Y17" s="4">
        <f ca="1" xml:space="preserve">  Inventory!Y$64</f>
        <v>10000</v>
      </c>
      <c r="Z17" s="4">
        <f ca="1" xml:space="preserve">  Inventory!Z$64</f>
        <v>10000</v>
      </c>
      <c r="AA17" s="4">
        <f ca="1" xml:space="preserve">  Inventory!AA$64</f>
        <v>10000</v>
      </c>
      <c r="AB17" s="4">
        <f ca="1" xml:space="preserve">  Inventory!AB$64</f>
        <v>10000</v>
      </c>
      <c r="AC17" s="4">
        <f ca="1" xml:space="preserve">  Inventory!AC$64</f>
        <v>15000</v>
      </c>
      <c r="AD17" s="4">
        <f ca="1" xml:space="preserve">  Inventory!AD$64</f>
        <v>15000</v>
      </c>
      <c r="AE17" s="4">
        <f ca="1" xml:space="preserve">  Inventory!AE$64</f>
        <v>15000</v>
      </c>
      <c r="AF17" s="4">
        <f ca="1" xml:space="preserve">  Inventory!AF$64</f>
        <v>15000</v>
      </c>
      <c r="AG17" s="4">
        <f ca="1" xml:space="preserve">  Inventory!AG$64</f>
        <v>20000</v>
      </c>
      <c r="AH17" s="4">
        <f ca="1" xml:space="preserve">  Inventory!AH$64</f>
        <v>19500</v>
      </c>
      <c r="AI17" s="4">
        <f ca="1" xml:space="preserve">  Inventory!AI$64</f>
        <v>19969.681307235933</v>
      </c>
      <c r="AJ17" s="4">
        <f ca="1" xml:space="preserve">  Inventory!AJ$64</f>
        <v>20468.910007754879</v>
      </c>
      <c r="AK17" s="4">
        <f ca="1" xml:space="preserve">  Inventory!AK$64</f>
        <v>25996.276337892323</v>
      </c>
      <c r="AL17" s="4">
        <f ca="1" xml:space="preserve">  Inventory!AL$64</f>
        <v>26555.620783504863</v>
      </c>
      <c r="AM17" s="4">
        <f ca="1" xml:space="preserve">  Inventory!AM$64</f>
        <v>27150.153281229686</v>
      </c>
      <c r="AN17" s="4">
        <f ca="1" xml:space="preserve">  Inventory!AN$64</f>
        <v>32778.194940586734</v>
      </c>
      <c r="AO17" s="4">
        <f ca="1" xml:space="preserve">  Inventory!AO$64</f>
        <v>33445.746356072574</v>
      </c>
      <c r="AP17" s="4">
        <f ca="1" xml:space="preserve">  Inventory!AP$64</f>
        <v>39150.922440293827</v>
      </c>
      <c r="AQ17" s="4">
        <f ca="1" xml:space="preserve">  Inventory!AQ$64</f>
        <v>39898.858558599226</v>
      </c>
      <c r="AR17" s="4">
        <f ca="1" xml:space="preserve">  Inventory!AR$64</f>
        <v>40696.954051725224</v>
      </c>
      <c r="AS17" s="4">
        <f ca="1" xml:space="preserve">  Inventory!AS$64</f>
        <v>46533.982976313979</v>
      </c>
      <c r="AT17" s="4">
        <f ca="1" xml:space="preserve">  Inventory!AT$64</f>
        <v>47423.519999697834</v>
      </c>
      <c r="AU17" s="4">
        <f ca="1" xml:space="preserve">  Inventory!AU$64</f>
        <v>48361.961916494729</v>
      </c>
      <c r="AV17" s="4">
        <f ca="1" xml:space="preserve">  Inventory!AV$64</f>
        <v>54361.373619317732</v>
      </c>
      <c r="AW17" s="4">
        <f ca="1" xml:space="preserve">  Inventory!AW$64</f>
        <v>55417.035561618512</v>
      </c>
      <c r="AX17" s="4">
        <f ca="1" xml:space="preserve">  Inventory!AX$64</f>
        <v>61536.619916354139</v>
      </c>
      <c r="AY17" s="4">
        <f ca="1" xml:space="preserve">  Inventory!AY$64</f>
        <v>62726.536964251995</v>
      </c>
      <c r="AZ17" s="4">
        <f ca="1" xml:space="preserve">  Inventory!AZ$64</f>
        <v>68983.426530796452</v>
      </c>
      <c r="BA17" s="4">
        <f ca="1" xml:space="preserve">  Inventory!BA$64</f>
        <v>75319.274353455025</v>
      </c>
      <c r="BB17" s="4">
        <f ca="1" xml:space="preserve">  Inventory!BB$64</f>
        <v>76729.46590004256</v>
      </c>
      <c r="BC17" s="4">
        <f ca="1" xml:space="preserve">  Inventory!BC$64</f>
        <v>83226.686527262413</v>
      </c>
      <c r="BD17" s="4">
        <f ca="1" xml:space="preserve">  Inventory!BD$64</f>
        <v>89824.78442714471</v>
      </c>
      <c r="BE17" s="4">
        <f ca="1" xml:space="preserve">  Inventory!BE$64</f>
        <v>91499.34571634719</v>
      </c>
      <c r="BF17" s="4">
        <f ca="1" xml:space="preserve">  Inventory!BF$64</f>
        <v>97829.153232113924</v>
      </c>
      <c r="BG17" s="4">
        <f ca="1" xml:space="preserve">  Inventory!BG$64</f>
        <v>105131.89419243889</v>
      </c>
      <c r="BH17" s="4">
        <f ca="1" xml:space="preserve">  Inventory!BH$64</f>
        <v>112579.38760854732</v>
      </c>
      <c r="BI17" s="4">
        <f ca="1" xml:space="preserve">  Inventory!BI$64</f>
        <v>120164.72205604223</v>
      </c>
      <c r="BJ17" s="4">
        <f ca="1" xml:space="preserve">  Inventory!BJ$64</f>
        <v>127906.7041802973</v>
      </c>
      <c r="BK17" s="4">
        <f ca="1" xml:space="preserve">  Inventory!BK$64</f>
        <v>135821.04987561956</v>
      </c>
      <c r="BL17" s="4">
        <f ca="1" xml:space="preserve">  Inventory!BL$64</f>
        <v>143899.52938342901</v>
      </c>
      <c r="BM17" s="4">
        <f ca="1" xml:space="preserve">  Inventory!BM$64</f>
        <v>152171.52500670686</v>
      </c>
      <c r="BN17" s="4">
        <f ca="1" xml:space="preserve">  Inventory!BN$64</f>
        <v>160626.4508944712</v>
      </c>
      <c r="BO17" s="4">
        <f ca="1" xml:space="preserve">  Inventory!BO$64</f>
        <v>169293.3606957811</v>
      </c>
      <c r="BP17" s="4">
        <f ca="1" xml:space="preserve">  Inventory!BP$64</f>
        <v>178207.17116198229</v>
      </c>
      <c r="BQ17" s="4">
        <f ca="1" xml:space="preserve">  Inventory!BQ$64</f>
        <v>187308.95150230839</v>
      </c>
    </row>
    <row r="18" spans="1:69" outlineLevel="1">
      <c r="A18" s="36"/>
      <c r="B18" s="36"/>
      <c r="C18" s="65"/>
      <c r="D18" s="64"/>
      <c r="E18" s="21" t="s">
        <v>170</v>
      </c>
      <c r="F18" s="21"/>
      <c r="G18" s="21" t="s">
        <v>252</v>
      </c>
      <c r="H18" s="3">
        <f ca="1" xml:space="preserve"> SUM( J18:BQ18 )</f>
        <v>36564748.008238308</v>
      </c>
      <c r="I18" s="21"/>
      <c r="J18" s="3">
        <f t="shared" ref="J18:BQ18" ca="1" si="0" xml:space="preserve">  $F16 * J17</f>
        <v>0</v>
      </c>
      <c r="K18" s="3">
        <f t="shared" ca="1" si="0"/>
        <v>0</v>
      </c>
      <c r="L18" s="3">
        <f t="shared" ca="1" si="0"/>
        <v>0</v>
      </c>
      <c r="M18" s="3">
        <f t="shared" ca="1" si="0"/>
        <v>0</v>
      </c>
      <c r="N18" s="3">
        <f t="shared" ca="1" si="0"/>
        <v>0</v>
      </c>
      <c r="O18" s="3">
        <f t="shared" ca="1" si="0"/>
        <v>0</v>
      </c>
      <c r="P18" s="3">
        <f t="shared" ca="1" si="0"/>
        <v>0</v>
      </c>
      <c r="Q18" s="3">
        <f t="shared" ca="1" si="0"/>
        <v>50357.312450014142</v>
      </c>
      <c r="R18" s="3">
        <f t="shared" ca="1" si="0"/>
        <v>59365.6686271574</v>
      </c>
      <c r="S18" s="3">
        <f t="shared" ca="1" si="0"/>
        <v>60000</v>
      </c>
      <c r="T18" s="3">
        <f t="shared" ca="1" si="0"/>
        <v>60000</v>
      </c>
      <c r="U18" s="3">
        <f t="shared" ca="1" si="0"/>
        <v>60000</v>
      </c>
      <c r="V18" s="3">
        <f t="shared" ca="1" si="0"/>
        <v>60000</v>
      </c>
      <c r="W18" s="3">
        <f t="shared" ca="1" si="0"/>
        <v>113082.23999637403</v>
      </c>
      <c r="X18" s="3">
        <f t="shared" ca="1" si="0"/>
        <v>120000</v>
      </c>
      <c r="Y18" s="3">
        <f t="shared" ca="1" si="0"/>
        <v>120000</v>
      </c>
      <c r="Z18" s="3">
        <f t="shared" ca="1" si="0"/>
        <v>120000</v>
      </c>
      <c r="AA18" s="3">
        <f t="shared" ca="1" si="0"/>
        <v>120000</v>
      </c>
      <c r="AB18" s="3">
        <f t="shared" ca="1" si="0"/>
        <v>120000</v>
      </c>
      <c r="AC18" s="3">
        <f t="shared" ca="1" si="0"/>
        <v>180000</v>
      </c>
      <c r="AD18" s="3">
        <f t="shared" ca="1" si="0"/>
        <v>180000</v>
      </c>
      <c r="AE18" s="3">
        <f t="shared" ca="1" si="0"/>
        <v>180000</v>
      </c>
      <c r="AF18" s="3">
        <f t="shared" ca="1" si="0"/>
        <v>180000</v>
      </c>
      <c r="AG18" s="3">
        <f t="shared" ca="1" si="0"/>
        <v>240000</v>
      </c>
      <c r="AH18" s="3">
        <f t="shared" ca="1" si="0"/>
        <v>234000</v>
      </c>
      <c r="AI18" s="3">
        <f t="shared" ca="1" si="0"/>
        <v>239636.17568683118</v>
      </c>
      <c r="AJ18" s="3">
        <f t="shared" ca="1" si="0"/>
        <v>245626.92009305855</v>
      </c>
      <c r="AK18" s="3">
        <f t="shared" ca="1" si="0"/>
        <v>311955.31605470786</v>
      </c>
      <c r="AL18" s="3">
        <f t="shared" ca="1" si="0"/>
        <v>318667.44940205838</v>
      </c>
      <c r="AM18" s="3">
        <f t="shared" ca="1" si="0"/>
        <v>325801.83937475621</v>
      </c>
      <c r="AN18" s="3">
        <f t="shared" ca="1" si="0"/>
        <v>393338.33928704081</v>
      </c>
      <c r="AO18" s="3">
        <f t="shared" ca="1" si="0"/>
        <v>401348.95627287088</v>
      </c>
      <c r="AP18" s="3">
        <f t="shared" ca="1" si="0"/>
        <v>469811.06928352593</v>
      </c>
      <c r="AQ18" s="3">
        <f t="shared" ca="1" si="0"/>
        <v>478786.30270319071</v>
      </c>
      <c r="AR18" s="3">
        <f t="shared" ca="1" si="0"/>
        <v>488363.44862070272</v>
      </c>
      <c r="AS18" s="3">
        <f t="shared" ca="1" si="0"/>
        <v>558407.79571576777</v>
      </c>
      <c r="AT18" s="3">
        <f t="shared" ca="1" si="0"/>
        <v>569082.239996374</v>
      </c>
      <c r="AU18" s="3">
        <f t="shared" ca="1" si="0"/>
        <v>580343.54299793672</v>
      </c>
      <c r="AV18" s="3">
        <f t="shared" ca="1" si="0"/>
        <v>652336.48343181284</v>
      </c>
      <c r="AW18" s="3">
        <f t="shared" ca="1" si="0"/>
        <v>665004.42673942214</v>
      </c>
      <c r="AX18" s="3">
        <f t="shared" ca="1" si="0"/>
        <v>738439.43899624969</v>
      </c>
      <c r="AY18" s="3">
        <f t="shared" ca="1" si="0"/>
        <v>752718.44357102388</v>
      </c>
      <c r="AZ18" s="3">
        <f t="shared" ca="1" si="0"/>
        <v>827801.11836955743</v>
      </c>
      <c r="BA18" s="3">
        <f t="shared" ca="1" si="0"/>
        <v>903831.29224146029</v>
      </c>
      <c r="BB18" s="3">
        <f t="shared" ca="1" si="0"/>
        <v>920753.59080051072</v>
      </c>
      <c r="BC18" s="3">
        <f t="shared" ca="1" si="0"/>
        <v>998720.23832714895</v>
      </c>
      <c r="BD18" s="3">
        <f t="shared" ca="1" si="0"/>
        <v>1077897.4131257366</v>
      </c>
      <c r="BE18" s="3">
        <f t="shared" ca="1" si="0"/>
        <v>1097992.1485961662</v>
      </c>
      <c r="BF18" s="3">
        <f t="shared" ca="1" si="0"/>
        <v>1173949.8387853671</v>
      </c>
      <c r="BG18" s="3">
        <f t="shared" ca="1" si="0"/>
        <v>1261582.7303092666</v>
      </c>
      <c r="BH18" s="3">
        <f t="shared" ca="1" si="0"/>
        <v>1350952.6513025677</v>
      </c>
      <c r="BI18" s="3">
        <f t="shared" ca="1" si="0"/>
        <v>1441976.6646725067</v>
      </c>
      <c r="BJ18" s="3">
        <f t="shared" ca="1" si="0"/>
        <v>1534880.4501635674</v>
      </c>
      <c r="BK18" s="3">
        <f t="shared" ca="1" si="0"/>
        <v>1629852.5985074346</v>
      </c>
      <c r="BL18" s="3">
        <f t="shared" ca="1" si="0"/>
        <v>1726794.3526011482</v>
      </c>
      <c r="BM18" s="3">
        <f t="shared" ca="1" si="0"/>
        <v>1826058.3000804824</v>
      </c>
      <c r="BN18" s="3">
        <f t="shared" ca="1" si="0"/>
        <v>1927517.4107336544</v>
      </c>
      <c r="BO18" s="3">
        <f t="shared" ca="1" si="0"/>
        <v>2031520.3283493733</v>
      </c>
      <c r="BP18" s="3">
        <f t="shared" ca="1" si="0"/>
        <v>2138486.0539437877</v>
      </c>
      <c r="BQ18" s="3">
        <f t="shared" ca="1" si="0"/>
        <v>2247707.4180277009</v>
      </c>
    </row>
    <row r="21" spans="1:69">
      <c r="B21" s="27" t="s">
        <v>337</v>
      </c>
    </row>
    <row r="22" spans="1:69" s="85" customFormat="1">
      <c r="A22" s="59"/>
      <c r="B22" s="59"/>
      <c r="C22" s="86"/>
      <c r="D22" s="84"/>
      <c r="E22" s="40" t="str">
        <f xml:space="preserve">  InpC!E$48</f>
        <v>Opening Deferred Income</v>
      </c>
      <c r="F22" s="40">
        <f xml:space="preserve">  InpC!F$48</f>
        <v>0</v>
      </c>
      <c r="G22" s="40" t="str">
        <f xml:space="preserve">  InpC!G$48</f>
        <v>GBP</v>
      </c>
      <c r="M22" s="87"/>
    </row>
    <row r="23" spans="1:69">
      <c r="A23" s="18"/>
      <c r="B23" s="18"/>
      <c r="C23" s="30"/>
      <c r="D23" s="31"/>
      <c r="E23" s="10" t="str">
        <f xml:space="preserve">  Time!E$28</f>
        <v>Period number</v>
      </c>
      <c r="F23" s="10">
        <f xml:space="preserve">  Time!F$28</f>
        <v>0</v>
      </c>
      <c r="G23" s="10" t="str">
        <f xml:space="preserve">  Time!G$28</f>
        <v>Counter</v>
      </c>
      <c r="H23" s="10">
        <f xml:space="preserve">  Time!H$28</f>
        <v>0</v>
      </c>
      <c r="I23" s="10">
        <f xml:space="preserve">  Time!I$28</f>
        <v>0</v>
      </c>
      <c r="J23" s="10">
        <f xml:space="preserve">  Time!J$28</f>
        <v>1</v>
      </c>
      <c r="K23" s="10">
        <f xml:space="preserve">  Time!K$28</f>
        <v>2</v>
      </c>
      <c r="L23" s="10">
        <f xml:space="preserve">  Time!L$28</f>
        <v>3</v>
      </c>
      <c r="M23" s="10">
        <f xml:space="preserve">  Time!M$28</f>
        <v>4</v>
      </c>
      <c r="N23" s="10">
        <f xml:space="preserve">  Time!N$28</f>
        <v>5</v>
      </c>
      <c r="O23" s="10">
        <f xml:space="preserve">  Time!O$28</f>
        <v>6</v>
      </c>
      <c r="P23" s="10">
        <f xml:space="preserve">  Time!P$28</f>
        <v>7</v>
      </c>
      <c r="Q23" s="10">
        <f xml:space="preserve">  Time!Q$28</f>
        <v>8</v>
      </c>
      <c r="R23" s="10">
        <f xml:space="preserve">  Time!R$28</f>
        <v>9</v>
      </c>
      <c r="S23" s="10">
        <f xml:space="preserve">  Time!S$28</f>
        <v>10</v>
      </c>
      <c r="T23" s="10">
        <f xml:space="preserve">  Time!T$28</f>
        <v>11</v>
      </c>
      <c r="U23" s="10">
        <f xml:space="preserve">  Time!U$28</f>
        <v>12</v>
      </c>
      <c r="V23" s="10">
        <f xml:space="preserve">  Time!V$28</f>
        <v>13</v>
      </c>
      <c r="W23" s="10">
        <f xml:space="preserve">  Time!W$28</f>
        <v>14</v>
      </c>
      <c r="X23" s="10">
        <f xml:space="preserve">  Time!X$28</f>
        <v>15</v>
      </c>
      <c r="Y23" s="10">
        <f xml:space="preserve">  Time!Y$28</f>
        <v>16</v>
      </c>
      <c r="Z23" s="10">
        <f xml:space="preserve">  Time!Z$28</f>
        <v>17</v>
      </c>
      <c r="AA23" s="10">
        <f xml:space="preserve">  Time!AA$28</f>
        <v>18</v>
      </c>
      <c r="AB23" s="10">
        <f xml:space="preserve">  Time!AB$28</f>
        <v>19</v>
      </c>
      <c r="AC23" s="10">
        <f xml:space="preserve">  Time!AC$28</f>
        <v>20</v>
      </c>
      <c r="AD23" s="10">
        <f xml:space="preserve">  Time!AD$28</f>
        <v>21</v>
      </c>
      <c r="AE23" s="10">
        <f xml:space="preserve">  Time!AE$28</f>
        <v>22</v>
      </c>
      <c r="AF23" s="10">
        <f xml:space="preserve">  Time!AF$28</f>
        <v>23</v>
      </c>
      <c r="AG23" s="10">
        <f xml:space="preserve">  Time!AG$28</f>
        <v>24</v>
      </c>
      <c r="AH23" s="10">
        <f xml:space="preserve">  Time!AH$28</f>
        <v>25</v>
      </c>
      <c r="AI23" s="10">
        <f xml:space="preserve">  Time!AI$28</f>
        <v>26</v>
      </c>
      <c r="AJ23" s="10">
        <f xml:space="preserve">  Time!AJ$28</f>
        <v>27</v>
      </c>
      <c r="AK23" s="10">
        <f xml:space="preserve">  Time!AK$28</f>
        <v>28</v>
      </c>
      <c r="AL23" s="10">
        <f xml:space="preserve">  Time!AL$28</f>
        <v>29</v>
      </c>
      <c r="AM23" s="10">
        <f xml:space="preserve">  Time!AM$28</f>
        <v>30</v>
      </c>
      <c r="AN23" s="10">
        <f xml:space="preserve">  Time!AN$28</f>
        <v>31</v>
      </c>
      <c r="AO23" s="10">
        <f xml:space="preserve">  Time!AO$28</f>
        <v>32</v>
      </c>
      <c r="AP23" s="10">
        <f xml:space="preserve">  Time!AP$28</f>
        <v>33</v>
      </c>
      <c r="AQ23" s="10">
        <f xml:space="preserve">  Time!AQ$28</f>
        <v>34</v>
      </c>
      <c r="AR23" s="10">
        <f xml:space="preserve">  Time!AR$28</f>
        <v>35</v>
      </c>
      <c r="AS23" s="10">
        <f xml:space="preserve">  Time!AS$28</f>
        <v>36</v>
      </c>
      <c r="AT23" s="10">
        <f xml:space="preserve">  Time!AT$28</f>
        <v>37</v>
      </c>
      <c r="AU23" s="10">
        <f xml:space="preserve">  Time!AU$28</f>
        <v>38</v>
      </c>
      <c r="AV23" s="10">
        <f xml:space="preserve">  Time!AV$28</f>
        <v>39</v>
      </c>
      <c r="AW23" s="10">
        <f xml:space="preserve">  Time!AW$28</f>
        <v>40</v>
      </c>
      <c r="AX23" s="10">
        <f xml:space="preserve">  Time!AX$28</f>
        <v>41</v>
      </c>
      <c r="AY23" s="10">
        <f xml:space="preserve">  Time!AY$28</f>
        <v>42</v>
      </c>
      <c r="AZ23" s="10">
        <f xml:space="preserve">  Time!AZ$28</f>
        <v>43</v>
      </c>
      <c r="BA23" s="10">
        <f xml:space="preserve">  Time!BA$28</f>
        <v>44</v>
      </c>
      <c r="BB23" s="10">
        <f xml:space="preserve">  Time!BB$28</f>
        <v>45</v>
      </c>
      <c r="BC23" s="10">
        <f xml:space="preserve">  Time!BC$28</f>
        <v>46</v>
      </c>
      <c r="BD23" s="10">
        <f xml:space="preserve">  Time!BD$28</f>
        <v>47</v>
      </c>
      <c r="BE23" s="10">
        <f xml:space="preserve">  Time!BE$28</f>
        <v>48</v>
      </c>
      <c r="BF23" s="10">
        <f xml:space="preserve">  Time!BF$28</f>
        <v>49</v>
      </c>
      <c r="BG23" s="10">
        <f xml:space="preserve">  Time!BG$28</f>
        <v>50</v>
      </c>
      <c r="BH23" s="10">
        <f xml:space="preserve">  Time!BH$28</f>
        <v>51</v>
      </c>
      <c r="BI23" s="10">
        <f xml:space="preserve">  Time!BI$28</f>
        <v>52</v>
      </c>
      <c r="BJ23" s="10">
        <f xml:space="preserve">  Time!BJ$28</f>
        <v>53</v>
      </c>
      <c r="BK23" s="10">
        <f xml:space="preserve">  Time!BK$28</f>
        <v>54</v>
      </c>
      <c r="BL23" s="10">
        <f xml:space="preserve">  Time!BL$28</f>
        <v>55</v>
      </c>
      <c r="BM23" s="10">
        <f xml:space="preserve">  Time!BM$28</f>
        <v>56</v>
      </c>
      <c r="BN23" s="10">
        <f xml:space="preserve">  Time!BN$28</f>
        <v>57</v>
      </c>
      <c r="BO23" s="10">
        <f xml:space="preserve">  Time!BO$28</f>
        <v>58</v>
      </c>
      <c r="BP23" s="10">
        <f xml:space="preserve">  Time!BP$28</f>
        <v>59</v>
      </c>
      <c r="BQ23" s="10">
        <f xml:space="preserve">  Time!BQ$28</f>
        <v>60</v>
      </c>
    </row>
    <row r="24" spans="1:69">
      <c r="E24" s="46" t="s">
        <v>86</v>
      </c>
      <c r="G24" s="46" t="s">
        <v>252</v>
      </c>
      <c r="J24" s="2">
        <f t="shared" ref="J24:BQ24" si="1" xml:space="preserve">  I27</f>
        <v>0</v>
      </c>
      <c r="K24" s="2">
        <f t="shared" ca="1" si="1"/>
        <v>0</v>
      </c>
      <c r="L24" s="2">
        <f t="shared" ca="1" si="1"/>
        <v>0</v>
      </c>
      <c r="M24" s="2">
        <f t="shared" ca="1" si="1"/>
        <v>0</v>
      </c>
      <c r="N24" s="2">
        <f t="shared" ca="1" si="1"/>
        <v>0</v>
      </c>
      <c r="O24" s="2">
        <f t="shared" ca="1" si="1"/>
        <v>0</v>
      </c>
      <c r="P24" s="2">
        <f t="shared" ca="1" si="1"/>
        <v>0</v>
      </c>
      <c r="Q24" s="2">
        <f t="shared" ca="1" si="1"/>
        <v>0</v>
      </c>
      <c r="R24" s="2">
        <f t="shared" ca="1" si="1"/>
        <v>553930.43695015553</v>
      </c>
      <c r="S24" s="2">
        <f t="shared" ca="1" si="1"/>
        <v>602665.04244871717</v>
      </c>
      <c r="T24" s="2">
        <f t="shared" ca="1" si="1"/>
        <v>550277.01892282837</v>
      </c>
      <c r="U24" s="2">
        <f t="shared" ca="1" si="1"/>
        <v>490277.01892282837</v>
      </c>
      <c r="V24" s="2">
        <f t="shared" ca="1" si="1"/>
        <v>430277.01892282837</v>
      </c>
      <c r="W24" s="2">
        <f t="shared" ca="1" si="1"/>
        <v>370277.01892282837</v>
      </c>
      <c r="X24" s="2">
        <f t="shared" ca="1" si="1"/>
        <v>894181.65888294263</v>
      </c>
      <c r="Y24" s="2">
        <f t="shared" ca="1" si="1"/>
        <v>857194.77892645437</v>
      </c>
      <c r="Z24" s="2">
        <f t="shared" ca="1" si="1"/>
        <v>737194.77892645437</v>
      </c>
      <c r="AA24" s="2">
        <f t="shared" ca="1" si="1"/>
        <v>617194.77892645437</v>
      </c>
      <c r="AB24" s="2">
        <f t="shared" ca="1" si="1"/>
        <v>497194.77892645437</v>
      </c>
      <c r="AC24" s="2">
        <f t="shared" ca="1" si="1"/>
        <v>377194.77892645437</v>
      </c>
      <c r="AD24" s="2">
        <f t="shared" ca="1" si="1"/>
        <v>1521482.5283266241</v>
      </c>
      <c r="AE24" s="2">
        <f t="shared" ca="1" si="1"/>
        <v>1449582.8024523431</v>
      </c>
      <c r="AF24" s="2">
        <f t="shared" ca="1" si="1"/>
        <v>1277194.7789264543</v>
      </c>
      <c r="AG24" s="2">
        <f t="shared" ca="1" si="1"/>
        <v>1097194.7789264543</v>
      </c>
      <c r="AH24" s="2">
        <f t="shared" ca="1" si="1"/>
        <v>1577194.7789264543</v>
      </c>
      <c r="AI24" s="2">
        <f t="shared" ca="1" si="1"/>
        <v>1343194.7789264543</v>
      </c>
      <c r="AJ24" s="2">
        <f t="shared" ca="1" si="1"/>
        <v>1884545.4831961114</v>
      </c>
      <c r="AK24" s="2">
        <f t="shared" ca="1" si="1"/>
        <v>1874663.4666626155</v>
      </c>
      <c r="AL24" s="2">
        <f t="shared" ca="1" si="1"/>
        <v>2444393.8518905523</v>
      </c>
      <c r="AM24" s="2">
        <f t="shared" ca="1" si="1"/>
        <v>2297216.3019742006</v>
      </c>
      <c r="AN24" s="2">
        <f t="shared" ca="1" si="1"/>
        <v>2153303.0612344462</v>
      </c>
      <c r="AO24" s="2">
        <f t="shared" ca="1" si="1"/>
        <v>2672516.5598726608</v>
      </c>
      <c r="AP24" s="2">
        <f t="shared" ca="1" si="1"/>
        <v>3195395.2815554696</v>
      </c>
      <c r="AQ24" s="2">
        <f t="shared" ca="1" si="1"/>
        <v>3661784.7605233816</v>
      </c>
      <c r="AR24" s="2">
        <f t="shared" ca="1" si="1"/>
        <v>3412308.842067345</v>
      </c>
      <c r="AS24" s="2">
        <f t="shared" ca="1" si="1"/>
        <v>3167160.5598689951</v>
      </c>
      <c r="AT24" s="2">
        <f t="shared" ca="1" si="1"/>
        <v>4305331.5949776452</v>
      </c>
      <c r="AU24" s="2">
        <f t="shared" ca="1" si="1"/>
        <v>4008342.6863485458</v>
      </c>
      <c r="AV24" s="2">
        <f t="shared" ca="1" si="1"/>
        <v>3859999.1433506096</v>
      </c>
      <c r="AW24" s="2">
        <f t="shared" ca="1" si="1"/>
        <v>4386123.1713973414</v>
      </c>
      <c r="AX24" s="2">
        <f t="shared" ca="1" si="1"/>
        <v>4926431.3314525262</v>
      </c>
      <c r="AY24" s="2">
        <f t="shared" ca="1" si="1"/>
        <v>5422704.923583284</v>
      </c>
      <c r="AZ24" s="2">
        <f t="shared" ca="1" si="1"/>
        <v>5215881.0477660028</v>
      </c>
      <c r="BA24" s="2">
        <f t="shared" ca="1" si="1"/>
        <v>6405947.5957645979</v>
      </c>
      <c r="BB24" s="2">
        <f t="shared" ca="1" si="1"/>
        <v>6834991.4431998078</v>
      </c>
      <c r="BC24" s="2">
        <f t="shared" ca="1" si="1"/>
        <v>7283009.1511670472</v>
      </c>
      <c r="BD24" s="2">
        <f t="shared" ca="1" si="1"/>
        <v>7692605.6327024661</v>
      </c>
      <c r="BE24" s="2">
        <f t="shared" ca="1" si="1"/>
        <v>8064736.5165905915</v>
      </c>
      <c r="BF24" s="2">
        <f t="shared" ca="1" si="1"/>
        <v>8456697.2648357581</v>
      </c>
      <c r="BG24" s="2">
        <f t="shared" ca="1" si="1"/>
        <v>8819315.238161182</v>
      </c>
      <c r="BH24" s="2">
        <f t="shared" ca="1" si="1"/>
        <v>9271696.9047981277</v>
      </c>
      <c r="BI24" s="2">
        <f t="shared" ca="1" si="1"/>
        <v>10415212.378776886</v>
      </c>
      <c r="BJ24" s="2">
        <f t="shared" ca="1" si="1"/>
        <v>10809463.290414782</v>
      </c>
      <c r="BK24" s="2">
        <f t="shared" ca="1" si="1"/>
        <v>11898431.032610863</v>
      </c>
      <c r="BL24" s="2">
        <f t="shared" ca="1" si="1"/>
        <v>12244143.672873408</v>
      </c>
      <c r="BM24" s="2">
        <f t="shared" ca="1" si="1"/>
        <v>13286452.127764825</v>
      </c>
      <c r="BN24" s="2">
        <f t="shared" ca="1" si="1"/>
        <v>14310013.149255557</v>
      </c>
      <c r="BO24" s="2">
        <f t="shared" ca="1" si="1"/>
        <v>14594675.469234642</v>
      </c>
      <c r="BP24" s="2">
        <f t="shared" ca="1" si="1"/>
        <v>15586360.781217404</v>
      </c>
      <c r="BQ24" s="2">
        <f t="shared" ca="1" si="1"/>
        <v>16567016.444521323</v>
      </c>
    </row>
    <row r="25" spans="1:69">
      <c r="D25" s="88" t="s">
        <v>216</v>
      </c>
      <c r="E25" s="2" t="str">
        <f t="shared" ref="E25:BQ25" si="2" xml:space="preserve">  E$12</f>
        <v>New Deferred Income from customer orders</v>
      </c>
      <c r="F25" s="2">
        <f t="shared" si="2"/>
        <v>0</v>
      </c>
      <c r="G25" s="2" t="str">
        <f t="shared" si="2"/>
        <v>GBP</v>
      </c>
      <c r="H25" s="2">
        <f t="shared" ca="1" si="2"/>
        <v>53374910.85979531</v>
      </c>
      <c r="I25" s="2">
        <f t="shared" si="2"/>
        <v>0</v>
      </c>
      <c r="J25" s="2">
        <f t="shared" ca="1" si="2"/>
        <v>0</v>
      </c>
      <c r="K25" s="2">
        <f t="shared" ca="1" si="2"/>
        <v>0</v>
      </c>
      <c r="L25" s="2">
        <f t="shared" ca="1" si="2"/>
        <v>0</v>
      </c>
      <c r="M25" s="2">
        <f t="shared" ca="1" si="2"/>
        <v>0</v>
      </c>
      <c r="N25" s="2">
        <f t="shared" ca="1" si="2"/>
        <v>0</v>
      </c>
      <c r="O25" s="2">
        <f t="shared" ca="1" si="2"/>
        <v>0</v>
      </c>
      <c r="P25" s="2">
        <f t="shared" ca="1" si="2"/>
        <v>0</v>
      </c>
      <c r="Q25" s="2">
        <f t="shared" ca="1" si="2"/>
        <v>604287.74940016971</v>
      </c>
      <c r="R25" s="2">
        <f t="shared" ca="1" si="2"/>
        <v>108100.27412571901</v>
      </c>
      <c r="S25" s="2">
        <f t="shared" ca="1" si="2"/>
        <v>7611.9764741112449</v>
      </c>
      <c r="T25" s="2">
        <f t="shared" ca="1" si="2"/>
        <v>0</v>
      </c>
      <c r="U25" s="2">
        <f t="shared" ca="1" si="2"/>
        <v>0</v>
      </c>
      <c r="V25" s="2">
        <f t="shared" ca="1" si="2"/>
        <v>0</v>
      </c>
      <c r="W25" s="2">
        <f t="shared" ca="1" si="2"/>
        <v>636986.87995648826</v>
      </c>
      <c r="X25" s="2">
        <f t="shared" ca="1" si="2"/>
        <v>83013.120043511706</v>
      </c>
      <c r="Y25" s="2">
        <f t="shared" ca="1" si="2"/>
        <v>0</v>
      </c>
      <c r="Z25" s="2">
        <f t="shared" ca="1" si="2"/>
        <v>0</v>
      </c>
      <c r="AA25" s="2">
        <f t="shared" ca="1" si="2"/>
        <v>0</v>
      </c>
      <c r="AB25" s="2">
        <f t="shared" ca="1" si="2"/>
        <v>0</v>
      </c>
      <c r="AC25" s="2">
        <f t="shared" ca="1" si="2"/>
        <v>1324287.7494001696</v>
      </c>
      <c r="AD25" s="2">
        <f t="shared" ca="1" si="2"/>
        <v>108100.27412571901</v>
      </c>
      <c r="AE25" s="2">
        <f t="shared" ca="1" si="2"/>
        <v>7611.9764741112449</v>
      </c>
      <c r="AF25" s="2">
        <f t="shared" ca="1" si="2"/>
        <v>0</v>
      </c>
      <c r="AG25" s="2">
        <f t="shared" ca="1" si="2"/>
        <v>720000</v>
      </c>
      <c r="AH25" s="2">
        <f t="shared" ca="1" si="2"/>
        <v>0</v>
      </c>
      <c r="AI25" s="2">
        <f t="shared" ca="1" si="2"/>
        <v>780986.87995648826</v>
      </c>
      <c r="AJ25" s="2">
        <f t="shared" ca="1" si="2"/>
        <v>235744.90355956272</v>
      </c>
      <c r="AK25" s="2">
        <f t="shared" ca="1" si="2"/>
        <v>881685.70128264476</v>
      </c>
      <c r="AL25" s="2">
        <f t="shared" ca="1" si="2"/>
        <v>171489.89948570688</v>
      </c>
      <c r="AM25" s="2">
        <f t="shared" ca="1" si="2"/>
        <v>181888.59863500224</v>
      </c>
      <c r="AN25" s="2">
        <f t="shared" ca="1" si="2"/>
        <v>912551.8379252553</v>
      </c>
      <c r="AO25" s="2">
        <f t="shared" ca="1" si="2"/>
        <v>924227.67795567936</v>
      </c>
      <c r="AP25" s="2">
        <f t="shared" ca="1" si="2"/>
        <v>936200.54825143795</v>
      </c>
      <c r="AQ25" s="2">
        <f t="shared" ca="1" si="2"/>
        <v>229310.38424715391</v>
      </c>
      <c r="AR25" s="2">
        <f t="shared" ca="1" si="2"/>
        <v>243215.16642235266</v>
      </c>
      <c r="AS25" s="2">
        <f t="shared" ca="1" si="2"/>
        <v>1696578.8308244175</v>
      </c>
      <c r="AT25" s="2">
        <f t="shared" ca="1" si="2"/>
        <v>272093.33136727469</v>
      </c>
      <c r="AU25" s="2">
        <f t="shared" ca="1" si="2"/>
        <v>432000</v>
      </c>
      <c r="AV25" s="2">
        <f t="shared" ca="1" si="2"/>
        <v>1178460.5114785447</v>
      </c>
      <c r="AW25" s="2">
        <f t="shared" ca="1" si="2"/>
        <v>1205312.5867946076</v>
      </c>
      <c r="AX25" s="2">
        <f t="shared" ca="1" si="2"/>
        <v>1234713.0311270072</v>
      </c>
      <c r="AY25" s="2">
        <f t="shared" ca="1" si="2"/>
        <v>545894.56775374222</v>
      </c>
      <c r="AZ25" s="2">
        <f t="shared" ca="1" si="2"/>
        <v>2017867.6663681525</v>
      </c>
      <c r="BA25" s="2">
        <f t="shared" ca="1" si="2"/>
        <v>1332875.1396766703</v>
      </c>
      <c r="BB25" s="2">
        <f t="shared" ca="1" si="2"/>
        <v>1368771.2987677499</v>
      </c>
      <c r="BC25" s="2">
        <f t="shared" ca="1" si="2"/>
        <v>1408316.7198625684</v>
      </c>
      <c r="BD25" s="2">
        <f t="shared" ca="1" si="2"/>
        <v>1450028.2970138618</v>
      </c>
      <c r="BE25" s="2">
        <f t="shared" ca="1" si="2"/>
        <v>1489952.896841333</v>
      </c>
      <c r="BF25" s="2">
        <f t="shared" ca="1" si="2"/>
        <v>1536567.8121107903</v>
      </c>
      <c r="BG25" s="2">
        <f t="shared" ca="1" si="2"/>
        <v>1713964.3969462125</v>
      </c>
      <c r="BH25" s="2">
        <f t="shared" ca="1" si="2"/>
        <v>2494468.1252813269</v>
      </c>
      <c r="BI25" s="2">
        <f t="shared" ca="1" si="2"/>
        <v>1836227.5763104046</v>
      </c>
      <c r="BJ25" s="2">
        <f t="shared" ca="1" si="2"/>
        <v>2623848.1923596486</v>
      </c>
      <c r="BK25" s="2">
        <f t="shared" ca="1" si="2"/>
        <v>1975565.2387699792</v>
      </c>
      <c r="BL25" s="2">
        <f t="shared" ca="1" si="2"/>
        <v>2769102.8074925654</v>
      </c>
      <c r="BM25" s="2">
        <f t="shared" ca="1" si="2"/>
        <v>2849619.3215712141</v>
      </c>
      <c r="BN25" s="2">
        <f t="shared" ca="1" si="2"/>
        <v>2212179.7307127388</v>
      </c>
      <c r="BO25" s="2">
        <f t="shared" ca="1" si="2"/>
        <v>3023205.6403321358</v>
      </c>
      <c r="BP25" s="2">
        <f t="shared" ca="1" si="2"/>
        <v>3119141.7172477059</v>
      </c>
      <c r="BQ25" s="2">
        <f t="shared" ca="1" si="2"/>
        <v>2490853.8250633674</v>
      </c>
    </row>
    <row r="26" spans="1:69">
      <c r="D26" s="88" t="s">
        <v>293</v>
      </c>
      <c r="E26" s="2" t="str">
        <f t="shared" ref="E26:BQ26" si="3" xml:space="preserve">  E$18</f>
        <v>Income</v>
      </c>
      <c r="F26" s="2">
        <f t="shared" si="3"/>
        <v>0</v>
      </c>
      <c r="G26" s="2" t="str">
        <f t="shared" si="3"/>
        <v>GBP</v>
      </c>
      <c r="H26" s="2">
        <f t="shared" ca="1" si="3"/>
        <v>36564748.008238308</v>
      </c>
      <c r="I26" s="2">
        <f t="shared" si="3"/>
        <v>0</v>
      </c>
      <c r="J26" s="2">
        <f t="shared" ca="1" si="3"/>
        <v>0</v>
      </c>
      <c r="K26" s="2">
        <f t="shared" ca="1" si="3"/>
        <v>0</v>
      </c>
      <c r="L26" s="2">
        <f t="shared" ca="1" si="3"/>
        <v>0</v>
      </c>
      <c r="M26" s="2">
        <f t="shared" ca="1" si="3"/>
        <v>0</v>
      </c>
      <c r="N26" s="2">
        <f t="shared" ca="1" si="3"/>
        <v>0</v>
      </c>
      <c r="O26" s="2">
        <f t="shared" ca="1" si="3"/>
        <v>0</v>
      </c>
      <c r="P26" s="2">
        <f t="shared" ca="1" si="3"/>
        <v>0</v>
      </c>
      <c r="Q26" s="2">
        <f t="shared" ca="1" si="3"/>
        <v>50357.312450014142</v>
      </c>
      <c r="R26" s="2">
        <f t="shared" ca="1" si="3"/>
        <v>59365.6686271574</v>
      </c>
      <c r="S26" s="2">
        <f t="shared" ca="1" si="3"/>
        <v>60000</v>
      </c>
      <c r="T26" s="2">
        <f t="shared" ca="1" si="3"/>
        <v>60000</v>
      </c>
      <c r="U26" s="2">
        <f t="shared" ca="1" si="3"/>
        <v>60000</v>
      </c>
      <c r="V26" s="2">
        <f t="shared" ca="1" si="3"/>
        <v>60000</v>
      </c>
      <c r="W26" s="2">
        <f t="shared" ca="1" si="3"/>
        <v>113082.23999637403</v>
      </c>
      <c r="X26" s="2">
        <f t="shared" ca="1" si="3"/>
        <v>120000</v>
      </c>
      <c r="Y26" s="2">
        <f t="shared" ca="1" si="3"/>
        <v>120000</v>
      </c>
      <c r="Z26" s="2">
        <f t="shared" ca="1" si="3"/>
        <v>120000</v>
      </c>
      <c r="AA26" s="2">
        <f t="shared" ca="1" si="3"/>
        <v>120000</v>
      </c>
      <c r="AB26" s="2">
        <f t="shared" ca="1" si="3"/>
        <v>120000</v>
      </c>
      <c r="AC26" s="2">
        <f t="shared" ca="1" si="3"/>
        <v>180000</v>
      </c>
      <c r="AD26" s="2">
        <f t="shared" ca="1" si="3"/>
        <v>180000</v>
      </c>
      <c r="AE26" s="2">
        <f t="shared" ca="1" si="3"/>
        <v>180000</v>
      </c>
      <c r="AF26" s="2">
        <f t="shared" ca="1" si="3"/>
        <v>180000</v>
      </c>
      <c r="AG26" s="2">
        <f t="shared" ca="1" si="3"/>
        <v>240000</v>
      </c>
      <c r="AH26" s="2">
        <f t="shared" ca="1" si="3"/>
        <v>234000</v>
      </c>
      <c r="AI26" s="2">
        <f t="shared" ca="1" si="3"/>
        <v>239636.17568683118</v>
      </c>
      <c r="AJ26" s="2">
        <f t="shared" ca="1" si="3"/>
        <v>245626.92009305855</v>
      </c>
      <c r="AK26" s="2">
        <f t="shared" ca="1" si="3"/>
        <v>311955.31605470786</v>
      </c>
      <c r="AL26" s="2">
        <f t="shared" ca="1" si="3"/>
        <v>318667.44940205838</v>
      </c>
      <c r="AM26" s="2">
        <f t="shared" ca="1" si="3"/>
        <v>325801.83937475621</v>
      </c>
      <c r="AN26" s="2">
        <f t="shared" ca="1" si="3"/>
        <v>393338.33928704081</v>
      </c>
      <c r="AO26" s="2">
        <f t="shared" ca="1" si="3"/>
        <v>401348.95627287088</v>
      </c>
      <c r="AP26" s="2">
        <f t="shared" ca="1" si="3"/>
        <v>469811.06928352593</v>
      </c>
      <c r="AQ26" s="2">
        <f t="shared" ca="1" si="3"/>
        <v>478786.30270319071</v>
      </c>
      <c r="AR26" s="2">
        <f t="shared" ca="1" si="3"/>
        <v>488363.44862070272</v>
      </c>
      <c r="AS26" s="2">
        <f t="shared" ca="1" si="3"/>
        <v>558407.79571576777</v>
      </c>
      <c r="AT26" s="2">
        <f t="shared" ca="1" si="3"/>
        <v>569082.239996374</v>
      </c>
      <c r="AU26" s="2">
        <f t="shared" ca="1" si="3"/>
        <v>580343.54299793672</v>
      </c>
      <c r="AV26" s="2">
        <f t="shared" ca="1" si="3"/>
        <v>652336.48343181284</v>
      </c>
      <c r="AW26" s="2">
        <f t="shared" ca="1" si="3"/>
        <v>665004.42673942214</v>
      </c>
      <c r="AX26" s="2">
        <f t="shared" ca="1" si="3"/>
        <v>738439.43899624969</v>
      </c>
      <c r="AY26" s="2">
        <f t="shared" ca="1" si="3"/>
        <v>752718.44357102388</v>
      </c>
      <c r="AZ26" s="2">
        <f t="shared" ca="1" si="3"/>
        <v>827801.11836955743</v>
      </c>
      <c r="BA26" s="2">
        <f t="shared" ca="1" si="3"/>
        <v>903831.29224146029</v>
      </c>
      <c r="BB26" s="2">
        <f t="shared" ca="1" si="3"/>
        <v>920753.59080051072</v>
      </c>
      <c r="BC26" s="2">
        <f t="shared" ca="1" si="3"/>
        <v>998720.23832714895</v>
      </c>
      <c r="BD26" s="2">
        <f t="shared" ca="1" si="3"/>
        <v>1077897.4131257366</v>
      </c>
      <c r="BE26" s="2">
        <f t="shared" ca="1" si="3"/>
        <v>1097992.1485961662</v>
      </c>
      <c r="BF26" s="2">
        <f t="shared" ca="1" si="3"/>
        <v>1173949.8387853671</v>
      </c>
      <c r="BG26" s="2">
        <f t="shared" ca="1" si="3"/>
        <v>1261582.7303092666</v>
      </c>
      <c r="BH26" s="2">
        <f t="shared" ca="1" si="3"/>
        <v>1350952.6513025677</v>
      </c>
      <c r="BI26" s="2">
        <f t="shared" ca="1" si="3"/>
        <v>1441976.6646725067</v>
      </c>
      <c r="BJ26" s="2">
        <f t="shared" ca="1" si="3"/>
        <v>1534880.4501635674</v>
      </c>
      <c r="BK26" s="2">
        <f t="shared" ca="1" si="3"/>
        <v>1629852.5985074346</v>
      </c>
      <c r="BL26" s="2">
        <f t="shared" ca="1" si="3"/>
        <v>1726794.3526011482</v>
      </c>
      <c r="BM26" s="2">
        <f t="shared" ca="1" si="3"/>
        <v>1826058.3000804824</v>
      </c>
      <c r="BN26" s="2">
        <f t="shared" ca="1" si="3"/>
        <v>1927517.4107336544</v>
      </c>
      <c r="BO26" s="2">
        <f t="shared" ca="1" si="3"/>
        <v>2031520.3283493733</v>
      </c>
      <c r="BP26" s="2">
        <f t="shared" ca="1" si="3"/>
        <v>2138486.0539437877</v>
      </c>
      <c r="BQ26" s="2">
        <f t="shared" ca="1" si="3"/>
        <v>2247707.4180277009</v>
      </c>
    </row>
    <row r="27" spans="1:69" s="83" customFormat="1">
      <c r="A27" s="62"/>
      <c r="B27" s="62"/>
      <c r="C27" s="90"/>
      <c r="D27" s="91"/>
      <c r="E27" s="35" t="s">
        <v>337</v>
      </c>
      <c r="F27" s="35"/>
      <c r="G27" s="35" t="s">
        <v>252</v>
      </c>
      <c r="H27" s="35"/>
      <c r="I27" s="11">
        <f t="shared" ref="I27:BQ27" si="4" xml:space="preserve">  IF( I23 = 0, $F22, I24 + I25 - I26 )</f>
        <v>0</v>
      </c>
      <c r="J27" s="11">
        <f t="shared" ca="1" si="4"/>
        <v>0</v>
      </c>
      <c r="K27" s="11">
        <f t="shared" ca="1" si="4"/>
        <v>0</v>
      </c>
      <c r="L27" s="11">
        <f t="shared" ca="1" si="4"/>
        <v>0</v>
      </c>
      <c r="M27" s="11">
        <f t="shared" ca="1" si="4"/>
        <v>0</v>
      </c>
      <c r="N27" s="11">
        <f t="shared" ca="1" si="4"/>
        <v>0</v>
      </c>
      <c r="O27" s="11">
        <f t="shared" ca="1" si="4"/>
        <v>0</v>
      </c>
      <c r="P27" s="11">
        <f t="shared" ca="1" si="4"/>
        <v>0</v>
      </c>
      <c r="Q27" s="11">
        <f t="shared" ca="1" si="4"/>
        <v>553930.43695015553</v>
      </c>
      <c r="R27" s="11">
        <f t="shared" ca="1" si="4"/>
        <v>602665.04244871717</v>
      </c>
      <c r="S27" s="11">
        <f t="shared" ca="1" si="4"/>
        <v>550277.01892282837</v>
      </c>
      <c r="T27" s="11">
        <f t="shared" ca="1" si="4"/>
        <v>490277.01892282837</v>
      </c>
      <c r="U27" s="11">
        <f t="shared" ca="1" si="4"/>
        <v>430277.01892282837</v>
      </c>
      <c r="V27" s="11">
        <f t="shared" ca="1" si="4"/>
        <v>370277.01892282837</v>
      </c>
      <c r="W27" s="11">
        <f t="shared" ca="1" si="4"/>
        <v>894181.65888294263</v>
      </c>
      <c r="X27" s="11">
        <f t="shared" ca="1" si="4"/>
        <v>857194.77892645437</v>
      </c>
      <c r="Y27" s="11">
        <f t="shared" ca="1" si="4"/>
        <v>737194.77892645437</v>
      </c>
      <c r="Z27" s="11">
        <f t="shared" ca="1" si="4"/>
        <v>617194.77892645437</v>
      </c>
      <c r="AA27" s="11">
        <f t="shared" ca="1" si="4"/>
        <v>497194.77892645437</v>
      </c>
      <c r="AB27" s="11">
        <f t="shared" ca="1" si="4"/>
        <v>377194.77892645437</v>
      </c>
      <c r="AC27" s="11">
        <f t="shared" ca="1" si="4"/>
        <v>1521482.5283266241</v>
      </c>
      <c r="AD27" s="11">
        <f t="shared" ca="1" si="4"/>
        <v>1449582.8024523431</v>
      </c>
      <c r="AE27" s="11">
        <f t="shared" ca="1" si="4"/>
        <v>1277194.7789264543</v>
      </c>
      <c r="AF27" s="11">
        <f t="shared" ca="1" si="4"/>
        <v>1097194.7789264543</v>
      </c>
      <c r="AG27" s="11">
        <f t="shared" ca="1" si="4"/>
        <v>1577194.7789264543</v>
      </c>
      <c r="AH27" s="11">
        <f t="shared" ca="1" si="4"/>
        <v>1343194.7789264543</v>
      </c>
      <c r="AI27" s="11">
        <f t="shared" ca="1" si="4"/>
        <v>1884545.4831961114</v>
      </c>
      <c r="AJ27" s="11">
        <f t="shared" ca="1" si="4"/>
        <v>1874663.4666626155</v>
      </c>
      <c r="AK27" s="11">
        <f t="shared" ca="1" si="4"/>
        <v>2444393.8518905523</v>
      </c>
      <c r="AL27" s="11">
        <f t="shared" ca="1" si="4"/>
        <v>2297216.3019742006</v>
      </c>
      <c r="AM27" s="11">
        <f t="shared" ca="1" si="4"/>
        <v>2153303.0612344462</v>
      </c>
      <c r="AN27" s="11">
        <f t="shared" ca="1" si="4"/>
        <v>2672516.5598726608</v>
      </c>
      <c r="AO27" s="11">
        <f t="shared" ca="1" si="4"/>
        <v>3195395.2815554696</v>
      </c>
      <c r="AP27" s="11">
        <f t="shared" ca="1" si="4"/>
        <v>3661784.7605233816</v>
      </c>
      <c r="AQ27" s="11">
        <f t="shared" ca="1" si="4"/>
        <v>3412308.842067345</v>
      </c>
      <c r="AR27" s="11">
        <f t="shared" ca="1" si="4"/>
        <v>3167160.5598689951</v>
      </c>
      <c r="AS27" s="11">
        <f t="shared" ca="1" si="4"/>
        <v>4305331.5949776452</v>
      </c>
      <c r="AT27" s="11">
        <f t="shared" ca="1" si="4"/>
        <v>4008342.6863485458</v>
      </c>
      <c r="AU27" s="11">
        <f t="shared" ca="1" si="4"/>
        <v>3859999.1433506096</v>
      </c>
      <c r="AV27" s="11">
        <f t="shared" ca="1" si="4"/>
        <v>4386123.1713973414</v>
      </c>
      <c r="AW27" s="11">
        <f t="shared" ca="1" si="4"/>
        <v>4926431.3314525262</v>
      </c>
      <c r="AX27" s="11">
        <f t="shared" ca="1" si="4"/>
        <v>5422704.923583284</v>
      </c>
      <c r="AY27" s="11">
        <f t="shared" ca="1" si="4"/>
        <v>5215881.0477660028</v>
      </c>
      <c r="AZ27" s="11">
        <f t="shared" ca="1" si="4"/>
        <v>6405947.5957645979</v>
      </c>
      <c r="BA27" s="11">
        <f t="shared" ca="1" si="4"/>
        <v>6834991.4431998078</v>
      </c>
      <c r="BB27" s="11">
        <f t="shared" ca="1" si="4"/>
        <v>7283009.1511670472</v>
      </c>
      <c r="BC27" s="11">
        <f t="shared" ca="1" si="4"/>
        <v>7692605.6327024661</v>
      </c>
      <c r="BD27" s="11">
        <f t="shared" ca="1" si="4"/>
        <v>8064736.5165905915</v>
      </c>
      <c r="BE27" s="11">
        <f t="shared" ca="1" si="4"/>
        <v>8456697.2648357581</v>
      </c>
      <c r="BF27" s="11">
        <f t="shared" ca="1" si="4"/>
        <v>8819315.238161182</v>
      </c>
      <c r="BG27" s="11">
        <f t="shared" ca="1" si="4"/>
        <v>9271696.9047981277</v>
      </c>
      <c r="BH27" s="11">
        <f t="shared" ca="1" si="4"/>
        <v>10415212.378776886</v>
      </c>
      <c r="BI27" s="11">
        <f t="shared" ca="1" si="4"/>
        <v>10809463.290414782</v>
      </c>
      <c r="BJ27" s="11">
        <f t="shared" ca="1" si="4"/>
        <v>11898431.032610863</v>
      </c>
      <c r="BK27" s="11">
        <f t="shared" ca="1" si="4"/>
        <v>12244143.672873408</v>
      </c>
      <c r="BL27" s="11">
        <f t="shared" ca="1" si="4"/>
        <v>13286452.127764825</v>
      </c>
      <c r="BM27" s="11">
        <f t="shared" ca="1" si="4"/>
        <v>14310013.149255557</v>
      </c>
      <c r="BN27" s="11">
        <f t="shared" ca="1" si="4"/>
        <v>14594675.469234642</v>
      </c>
      <c r="BO27" s="11">
        <f t="shared" ca="1" si="4"/>
        <v>15586360.781217404</v>
      </c>
      <c r="BP27" s="11">
        <f t="shared" ca="1" si="4"/>
        <v>16567016.444521323</v>
      </c>
      <c r="BQ27" s="11">
        <f t="shared" ca="1" si="4"/>
        <v>16810162.851556987</v>
      </c>
    </row>
    <row r="30" spans="1:69">
      <c r="B30" s="27" t="s">
        <v>265</v>
      </c>
    </row>
  </sheetData>
  <conditionalFormatting sqref="F2:F3">
    <cfRule type="cellIs" dxfId="231" priority="1" stopIfTrue="1" operator="notEqual">
      <formula>0</formula>
    </cfRule>
    <cfRule type="cellIs" dxfId="230" priority="2" stopIfTrue="1" operator="equal">
      <formula>""</formula>
    </cfRule>
  </conditionalFormatting>
  <conditionalFormatting sqref="J3:BQ3">
    <cfRule type="cellIs" dxfId="229" priority="8" operator="equal">
      <formula>"PPA ext."</formula>
    </cfRule>
    <cfRule type="cellIs" dxfId="228" priority="9" operator="equal">
      <formula>"Delay"</formula>
    </cfRule>
    <cfRule type="cellIs" dxfId="227" priority="10" operator="equal">
      <formula>"Fin Close"</formula>
    </cfRule>
    <cfRule type="cellIs" dxfId="226" priority="11" stopIfTrue="1" operator="equal">
      <formula>"Construction"</formula>
    </cfRule>
    <cfRule type="cellIs" dxfId="22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Q71"/>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39.36328125" style="46" bestFit="1" customWidth="1"/>
    <col min="6" max="6" width="20.54296875" style="46" bestFit="1" customWidth="1"/>
    <col min="7" max="7" width="13.1796875" style="46" bestFit="1" customWidth="1"/>
    <col min="8" max="8" width="11.816406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Inventory</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194</v>
      </c>
    </row>
    <row r="9" spans="1:69" outlineLevel="1">
      <c r="A9" s="18"/>
      <c r="B9" s="18"/>
      <c r="C9" s="30"/>
      <c r="D9" s="31"/>
      <c r="E9" s="44" t="str">
        <f xml:space="preserve">  InpC!E$84</f>
        <v>VAT rate</v>
      </c>
      <c r="F9" s="44">
        <f xml:space="preserve">  InpC!F$84</f>
        <v>0.2</v>
      </c>
      <c r="G9" s="44" t="str">
        <f xml:space="preserve">  InpC!G$84</f>
        <v>%</v>
      </c>
      <c r="M9" s="58"/>
    </row>
    <row r="10" spans="1:69" outlineLevel="1">
      <c r="A10" s="18"/>
      <c r="B10" s="18"/>
      <c r="C10" s="30"/>
      <c r="D10" s="31"/>
      <c r="E10" s="4" t="str">
        <f xml:space="preserve">  Financials!E$18</f>
        <v>Supplier Invoices</v>
      </c>
      <c r="F10" s="4">
        <f xml:space="preserve">  Financials!F$18</f>
        <v>0</v>
      </c>
      <c r="G10" s="4" t="str">
        <f xml:space="preserve">  Financials!G$18</f>
        <v>GBP</v>
      </c>
      <c r="H10" s="4">
        <f ca="1" xml:space="preserve">  Financials!H$18</f>
        <v>5775000</v>
      </c>
      <c r="I10" s="4">
        <f xml:space="preserve">  Financials!I$18</f>
        <v>0</v>
      </c>
      <c r="J10" s="4">
        <f ca="1" xml:space="preserve">  Financials!J$18</f>
        <v>175000</v>
      </c>
      <c r="K10" s="4">
        <f ca="1" xml:space="preserve">  Financials!K$18</f>
        <v>0</v>
      </c>
      <c r="L10" s="4">
        <f ca="1" xml:space="preserve">  Financials!L$18</f>
        <v>0</v>
      </c>
      <c r="M10" s="4">
        <f ca="1" xml:space="preserve">  Financials!M$18</f>
        <v>0</v>
      </c>
      <c r="N10" s="4">
        <f ca="1" xml:space="preserve">  Financials!N$18</f>
        <v>0</v>
      </c>
      <c r="O10" s="4">
        <f ca="1" xml:space="preserve">  Financials!O$18</f>
        <v>0</v>
      </c>
      <c r="P10" s="4">
        <f ca="1" xml:space="preserve">  Financials!P$18</f>
        <v>175000</v>
      </c>
      <c r="Q10" s="4">
        <f ca="1" xml:space="preserve">  Financials!Q$18</f>
        <v>0</v>
      </c>
      <c r="R10" s="4">
        <f ca="1" xml:space="preserve">  Financials!R$18</f>
        <v>0</v>
      </c>
      <c r="S10" s="4">
        <f ca="1" xml:space="preserve">  Financials!S$18</f>
        <v>0</v>
      </c>
      <c r="T10" s="4">
        <f ca="1" xml:space="preserve">  Financials!T$18</f>
        <v>0</v>
      </c>
      <c r="U10" s="4">
        <f ca="1" xml:space="preserve">  Financials!U$18</f>
        <v>0</v>
      </c>
      <c r="V10" s="4">
        <f ca="1" xml:space="preserve">  Financials!V$18</f>
        <v>175000</v>
      </c>
      <c r="W10" s="4">
        <f ca="1" xml:space="preserve">  Financials!W$18</f>
        <v>0</v>
      </c>
      <c r="X10" s="4">
        <f ca="1" xml:space="preserve">  Financials!X$18</f>
        <v>0</v>
      </c>
      <c r="Y10" s="4">
        <f ca="1" xml:space="preserve">  Financials!Y$18</f>
        <v>0</v>
      </c>
      <c r="Z10" s="4">
        <f ca="1" xml:space="preserve">  Financials!Z$18</f>
        <v>175000</v>
      </c>
      <c r="AA10" s="4">
        <f ca="1" xml:space="preserve">  Financials!AA$18</f>
        <v>0</v>
      </c>
      <c r="AB10" s="4">
        <f ca="1" xml:space="preserve">  Financials!AB$18</f>
        <v>0</v>
      </c>
      <c r="AC10" s="4">
        <f ca="1" xml:space="preserve">  Financials!AC$18</f>
        <v>0</v>
      </c>
      <c r="AD10" s="4">
        <f ca="1" xml:space="preserve">  Financials!AD$18</f>
        <v>175000</v>
      </c>
      <c r="AE10" s="4">
        <f ca="1" xml:space="preserve">  Financials!AE$18</f>
        <v>0</v>
      </c>
      <c r="AF10" s="4">
        <f ca="1" xml:space="preserve">  Financials!AF$18</f>
        <v>0</v>
      </c>
      <c r="AG10" s="4">
        <f ca="1" xml:space="preserve">  Financials!AG$18</f>
        <v>175000</v>
      </c>
      <c r="AH10" s="4">
        <f ca="1" xml:space="preserve">  Financials!AH$18</f>
        <v>0</v>
      </c>
      <c r="AI10" s="4">
        <f ca="1" xml:space="preserve">  Financials!AI$18</f>
        <v>175000</v>
      </c>
      <c r="AJ10" s="4">
        <f ca="1" xml:space="preserve">  Financials!AJ$18</f>
        <v>0</v>
      </c>
      <c r="AK10" s="4">
        <f ca="1" xml:space="preserve">  Financials!AK$18</f>
        <v>0</v>
      </c>
      <c r="AL10" s="4">
        <f ca="1" xml:space="preserve">  Financials!AL$18</f>
        <v>175000</v>
      </c>
      <c r="AM10" s="4">
        <f ca="1" xml:space="preserve">  Financials!AM$18</f>
        <v>0</v>
      </c>
      <c r="AN10" s="4">
        <f ca="1" xml:space="preserve">  Financials!AN$18</f>
        <v>0</v>
      </c>
      <c r="AO10" s="4">
        <f ca="1" xml:space="preserve">  Financials!AO$18</f>
        <v>175000</v>
      </c>
      <c r="AP10" s="4">
        <f ca="1" xml:space="preserve">  Financials!AP$18</f>
        <v>0</v>
      </c>
      <c r="AQ10" s="4">
        <f ca="1" xml:space="preserve">  Financials!AQ$18</f>
        <v>175000</v>
      </c>
      <c r="AR10" s="4">
        <f ca="1" xml:space="preserve">  Financials!AR$18</f>
        <v>0</v>
      </c>
      <c r="AS10" s="4">
        <f ca="1" xml:space="preserve">  Financials!AS$18</f>
        <v>175000</v>
      </c>
      <c r="AT10" s="4">
        <f ca="1" xml:space="preserve">  Financials!AT$18</f>
        <v>175000</v>
      </c>
      <c r="AU10" s="4">
        <f ca="1" xml:space="preserve">  Financials!AU$18</f>
        <v>0</v>
      </c>
      <c r="AV10" s="4">
        <f ca="1" xml:space="preserve">  Financials!AV$18</f>
        <v>175000</v>
      </c>
      <c r="AW10" s="4">
        <f ca="1" xml:space="preserve">  Financials!AW$18</f>
        <v>175000</v>
      </c>
      <c r="AX10" s="4">
        <f ca="1" xml:space="preserve">  Financials!AX$18</f>
        <v>0</v>
      </c>
      <c r="AY10" s="4">
        <f ca="1" xml:space="preserve">  Financials!AY$18</f>
        <v>175000</v>
      </c>
      <c r="AZ10" s="4">
        <f ca="1" xml:space="preserve">  Financials!AZ$18</f>
        <v>175000</v>
      </c>
      <c r="BA10" s="4">
        <f ca="1" xml:space="preserve">  Financials!BA$18</f>
        <v>175000</v>
      </c>
      <c r="BB10" s="4">
        <f ca="1" xml:space="preserve">  Financials!BB$18</f>
        <v>175000</v>
      </c>
      <c r="BC10" s="4">
        <f ca="1" xml:space="preserve">  Financials!BC$18</f>
        <v>175000</v>
      </c>
      <c r="BD10" s="4">
        <f ca="1" xml:space="preserve">  Financials!BD$18</f>
        <v>175000</v>
      </c>
      <c r="BE10" s="4">
        <f ca="1" xml:space="preserve">  Financials!BE$18</f>
        <v>175000</v>
      </c>
      <c r="BF10" s="4">
        <f ca="1" xml:space="preserve">  Financials!BF$18</f>
        <v>175000</v>
      </c>
      <c r="BG10" s="4">
        <f ca="1" xml:space="preserve">  Financials!BG$18</f>
        <v>175000</v>
      </c>
      <c r="BH10" s="4">
        <f ca="1" xml:space="preserve">  Financials!BH$18</f>
        <v>175000</v>
      </c>
      <c r="BI10" s="4">
        <f ca="1" xml:space="preserve">  Financials!BI$18</f>
        <v>175000</v>
      </c>
      <c r="BJ10" s="4">
        <f ca="1" xml:space="preserve">  Financials!BJ$18</f>
        <v>175000</v>
      </c>
      <c r="BK10" s="4">
        <f ca="1" xml:space="preserve">  Financials!BK$18</f>
        <v>175000</v>
      </c>
      <c r="BL10" s="4">
        <f ca="1" xml:space="preserve">  Financials!BL$18</f>
        <v>175000</v>
      </c>
      <c r="BM10" s="4">
        <f ca="1" xml:space="preserve">  Financials!BM$18</f>
        <v>175000</v>
      </c>
      <c r="BN10" s="4">
        <f ca="1" xml:space="preserve">  Financials!BN$18</f>
        <v>175000</v>
      </c>
      <c r="BO10" s="4">
        <f ca="1" xml:space="preserve">  Financials!BO$18</f>
        <v>175000</v>
      </c>
      <c r="BP10" s="4">
        <f ca="1" xml:space="preserve">  Financials!BP$18</f>
        <v>175000</v>
      </c>
      <c r="BQ10" s="4">
        <f ca="1" xml:space="preserve">  Financials!BQ$18</f>
        <v>175000</v>
      </c>
    </row>
    <row r="11" spans="1:69" outlineLevel="1">
      <c r="A11" s="36"/>
      <c r="B11" s="36"/>
      <c r="C11" s="65"/>
      <c r="D11" s="64"/>
      <c r="E11" s="21" t="s">
        <v>194</v>
      </c>
      <c r="F11" s="21"/>
      <c r="G11" s="21" t="s">
        <v>252</v>
      </c>
      <c r="H11" s="3">
        <f ca="1" xml:space="preserve"> SUM( J11:BQ11 )</f>
        <v>1155000</v>
      </c>
      <c r="I11" s="21"/>
      <c r="J11" s="3">
        <f t="shared" ref="J11:BQ11" ca="1" si="0" xml:space="preserve">  ( J10 * $F9 )</f>
        <v>35000</v>
      </c>
      <c r="K11" s="3">
        <f t="shared" ca="1" si="0"/>
        <v>0</v>
      </c>
      <c r="L11" s="3">
        <f t="shared" ca="1" si="0"/>
        <v>0</v>
      </c>
      <c r="M11" s="3">
        <f t="shared" ca="1" si="0"/>
        <v>0</v>
      </c>
      <c r="N11" s="3">
        <f t="shared" ca="1" si="0"/>
        <v>0</v>
      </c>
      <c r="O11" s="3">
        <f t="shared" ca="1" si="0"/>
        <v>0</v>
      </c>
      <c r="P11" s="3">
        <f t="shared" ca="1" si="0"/>
        <v>35000</v>
      </c>
      <c r="Q11" s="3">
        <f t="shared" ca="1" si="0"/>
        <v>0</v>
      </c>
      <c r="R11" s="3">
        <f t="shared" ca="1" si="0"/>
        <v>0</v>
      </c>
      <c r="S11" s="3">
        <f t="shared" ca="1" si="0"/>
        <v>0</v>
      </c>
      <c r="T11" s="3">
        <f t="shared" ca="1" si="0"/>
        <v>0</v>
      </c>
      <c r="U11" s="3">
        <f t="shared" ca="1" si="0"/>
        <v>0</v>
      </c>
      <c r="V11" s="3">
        <f t="shared" ca="1" si="0"/>
        <v>35000</v>
      </c>
      <c r="W11" s="3">
        <f t="shared" ca="1" si="0"/>
        <v>0</v>
      </c>
      <c r="X11" s="3">
        <f t="shared" ca="1" si="0"/>
        <v>0</v>
      </c>
      <c r="Y11" s="3">
        <f t="shared" ca="1" si="0"/>
        <v>0</v>
      </c>
      <c r="Z11" s="3">
        <f t="shared" ca="1" si="0"/>
        <v>35000</v>
      </c>
      <c r="AA11" s="3">
        <f t="shared" ca="1" si="0"/>
        <v>0</v>
      </c>
      <c r="AB11" s="3">
        <f t="shared" ca="1" si="0"/>
        <v>0</v>
      </c>
      <c r="AC11" s="3">
        <f t="shared" ca="1" si="0"/>
        <v>0</v>
      </c>
      <c r="AD11" s="3">
        <f t="shared" ca="1" si="0"/>
        <v>35000</v>
      </c>
      <c r="AE11" s="3">
        <f t="shared" ca="1" si="0"/>
        <v>0</v>
      </c>
      <c r="AF11" s="3">
        <f t="shared" ca="1" si="0"/>
        <v>0</v>
      </c>
      <c r="AG11" s="3">
        <f t="shared" ca="1" si="0"/>
        <v>35000</v>
      </c>
      <c r="AH11" s="3">
        <f t="shared" ca="1" si="0"/>
        <v>0</v>
      </c>
      <c r="AI11" s="3">
        <f t="shared" ca="1" si="0"/>
        <v>35000</v>
      </c>
      <c r="AJ11" s="3">
        <f t="shared" ca="1" si="0"/>
        <v>0</v>
      </c>
      <c r="AK11" s="3">
        <f t="shared" ca="1" si="0"/>
        <v>0</v>
      </c>
      <c r="AL11" s="3">
        <f t="shared" ca="1" si="0"/>
        <v>35000</v>
      </c>
      <c r="AM11" s="3">
        <f t="shared" ca="1" si="0"/>
        <v>0</v>
      </c>
      <c r="AN11" s="3">
        <f t="shared" ca="1" si="0"/>
        <v>0</v>
      </c>
      <c r="AO11" s="3">
        <f t="shared" ca="1" si="0"/>
        <v>35000</v>
      </c>
      <c r="AP11" s="3">
        <f t="shared" ca="1" si="0"/>
        <v>0</v>
      </c>
      <c r="AQ11" s="3">
        <f t="shared" ca="1" si="0"/>
        <v>35000</v>
      </c>
      <c r="AR11" s="3">
        <f t="shared" ca="1" si="0"/>
        <v>0</v>
      </c>
      <c r="AS11" s="3">
        <f t="shared" ca="1" si="0"/>
        <v>35000</v>
      </c>
      <c r="AT11" s="3">
        <f t="shared" ca="1" si="0"/>
        <v>35000</v>
      </c>
      <c r="AU11" s="3">
        <f t="shared" ca="1" si="0"/>
        <v>0</v>
      </c>
      <c r="AV11" s="3">
        <f t="shared" ca="1" si="0"/>
        <v>35000</v>
      </c>
      <c r="AW11" s="3">
        <f t="shared" ca="1" si="0"/>
        <v>35000</v>
      </c>
      <c r="AX11" s="3">
        <f t="shared" ca="1" si="0"/>
        <v>0</v>
      </c>
      <c r="AY11" s="3">
        <f t="shared" ca="1" si="0"/>
        <v>35000</v>
      </c>
      <c r="AZ11" s="3">
        <f t="shared" ca="1" si="0"/>
        <v>35000</v>
      </c>
      <c r="BA11" s="3">
        <f t="shared" ca="1" si="0"/>
        <v>35000</v>
      </c>
      <c r="BB11" s="3">
        <f t="shared" ca="1" si="0"/>
        <v>35000</v>
      </c>
      <c r="BC11" s="3">
        <f t="shared" ca="1" si="0"/>
        <v>35000</v>
      </c>
      <c r="BD11" s="3">
        <f t="shared" ca="1" si="0"/>
        <v>35000</v>
      </c>
      <c r="BE11" s="3">
        <f t="shared" ca="1" si="0"/>
        <v>35000</v>
      </c>
      <c r="BF11" s="3">
        <f t="shared" ca="1" si="0"/>
        <v>35000</v>
      </c>
      <c r="BG11" s="3">
        <f t="shared" ca="1" si="0"/>
        <v>35000</v>
      </c>
      <c r="BH11" s="3">
        <f t="shared" ca="1" si="0"/>
        <v>35000</v>
      </c>
      <c r="BI11" s="3">
        <f t="shared" ca="1" si="0"/>
        <v>35000</v>
      </c>
      <c r="BJ11" s="3">
        <f t="shared" ca="1" si="0"/>
        <v>35000</v>
      </c>
      <c r="BK11" s="3">
        <f t="shared" ca="1" si="0"/>
        <v>35000</v>
      </c>
      <c r="BL11" s="3">
        <f t="shared" ca="1" si="0"/>
        <v>35000</v>
      </c>
      <c r="BM11" s="3">
        <f t="shared" ca="1" si="0"/>
        <v>35000</v>
      </c>
      <c r="BN11" s="3">
        <f t="shared" ca="1" si="0"/>
        <v>35000</v>
      </c>
      <c r="BO11" s="3">
        <f t="shared" ca="1" si="0"/>
        <v>35000</v>
      </c>
      <c r="BP11" s="3">
        <f t="shared" ca="1" si="0"/>
        <v>35000</v>
      </c>
      <c r="BQ11" s="3">
        <f t="shared" ca="1" si="0"/>
        <v>35000</v>
      </c>
    </row>
    <row r="14" spans="1:69">
      <c r="B14" s="27" t="s">
        <v>239</v>
      </c>
    </row>
    <row r="15" spans="1:69" outlineLevel="1">
      <c r="A15" s="18"/>
      <c r="B15" s="18"/>
      <c r="C15" s="30"/>
      <c r="D15" s="31"/>
      <c r="E15" s="4" t="str">
        <f xml:space="preserve">  InpC!E$21</f>
        <v>Contract Length</v>
      </c>
      <c r="F15" s="4">
        <f xml:space="preserve">  InpC!F$21</f>
        <v>24</v>
      </c>
      <c r="G15" s="4" t="str">
        <f xml:space="preserve">  InpC!G$21</f>
        <v>Months</v>
      </c>
      <c r="M15" s="2"/>
    </row>
    <row r="16" spans="1:69" outlineLevel="1">
      <c r="A16" s="18"/>
      <c r="B16" s="18"/>
      <c r="C16" s="30"/>
      <c r="D16" s="31"/>
      <c r="E16" s="4" t="str">
        <f xml:space="preserve">  Customers!E$11</f>
        <v>New customers orders</v>
      </c>
      <c r="F16" s="4">
        <f xml:space="preserve">  Customers!F$11</f>
        <v>0</v>
      </c>
      <c r="G16" s="4" t="str">
        <f xml:space="preserve">  Customers!G$11</f>
        <v>Units</v>
      </c>
      <c r="H16" s="4">
        <f xml:space="preserve">  Customers!H$11</f>
        <v>261181.72293639058</v>
      </c>
      <c r="I16" s="4">
        <f xml:space="preserve">  Customers!I$11</f>
        <v>0</v>
      </c>
      <c r="J16" s="4">
        <f xml:space="preserve">  Customers!J$11</f>
        <v>500</v>
      </c>
      <c r="K16" s="4">
        <f xml:space="preserve">  Customers!K$11</f>
        <v>530.31869276406599</v>
      </c>
      <c r="L16" s="4">
        <f xml:space="preserve">  Customers!L$11</f>
        <v>561.40868500918316</v>
      </c>
      <c r="M16" s="4">
        <f xml:space="preserve">  Customers!M$11</f>
        <v>595.4510398809266</v>
      </c>
      <c r="N16" s="4">
        <f xml:space="preserve">  Customers!N$11</f>
        <v>631.55763414931334</v>
      </c>
      <c r="O16" s="4">
        <f xml:space="preserve">  Customers!O$11</f>
        <v>668.58277057380337</v>
      </c>
      <c r="P16" s="4">
        <f xml:space="preserve">  Customers!P$11</f>
        <v>709.12388179055358</v>
      </c>
      <c r="Q16" s="4">
        <f xml:space="preserve">  Customers!Q$11</f>
        <v>750.69634809527076</v>
      </c>
      <c r="R16" s="4">
        <f xml:space="preserve">  Customers!R$11</f>
        <v>796.21661196928437</v>
      </c>
      <c r="S16" s="4">
        <f xml:space="preserve">  Customers!S$11</f>
        <v>844.49710563316887</v>
      </c>
      <c r="T16" s="4">
        <f xml:space="preserve">  Customers!T$11</f>
        <v>890.89871814033927</v>
      </c>
      <c r="U16" s="4">
        <f xml:space="preserve">  Customers!U$11</f>
        <v>944.76851169192605</v>
      </c>
      <c r="V16" s="4">
        <f xml:space="preserve">  Customers!V$11</f>
        <v>1000</v>
      </c>
      <c r="W16" s="4">
        <f xml:space="preserve">  Customers!W$11</f>
        <v>1061.5580832031035</v>
      </c>
      <c r="X16" s="4">
        <f xml:space="preserve">  Customers!X$11</f>
        <v>1123.704463583204</v>
      </c>
      <c r="Y16" s="4">
        <f xml:space="preserve">  Customers!Y$11</f>
        <v>1191.7469848656265</v>
      </c>
      <c r="Z16" s="4">
        <f xml:space="preserve">  Customers!Z$11</f>
        <v>1263.9096149956249</v>
      </c>
      <c r="AA16" s="4">
        <f xml:space="preserve">  Customers!AA$11</f>
        <v>1337.9021820933933</v>
      </c>
      <c r="AB16" s="4">
        <f xml:space="preserve">  Customers!AB$11</f>
        <v>1418.9147976423296</v>
      </c>
      <c r="AC16" s="4">
        <f xml:space="preserve">  Customers!AC$11</f>
        <v>1501.9817726260831</v>
      </c>
      <c r="AD16" s="4">
        <f xml:space="preserve">  Customers!AD$11</f>
        <v>1593.7719986646332</v>
      </c>
      <c r="AE16" s="4">
        <f xml:space="preserve">  Customers!AE$11</f>
        <v>1690.3233701094071</v>
      </c>
      <c r="AF16" s="4">
        <f xml:space="preserve">  Customers!AF$11</f>
        <v>1782.5488403365116</v>
      </c>
      <c r="AG16" s="4">
        <f xml:space="preserve">  Customers!AG$11</f>
        <v>1890.5363914705406</v>
      </c>
      <c r="AH16" s="4">
        <f xml:space="preserve">  Customers!AH$11</f>
        <v>2001.2652671743485</v>
      </c>
      <c r="AI16" s="4">
        <f xml:space="preserve">  Customers!AI$11</f>
        <v>2122.5027505360667</v>
      </c>
      <c r="AJ16" s="4">
        <f xml:space="preserve">  Customers!AJ$11</f>
        <v>2246.81791543077</v>
      </c>
      <c r="AK16" s="4">
        <f xml:space="preserve">  Customers!AK$11</f>
        <v>2382.9310804903203</v>
      </c>
      <c r="AL16" s="4">
        <f xml:space="preserve">  Customers!AL$11</f>
        <v>2527.2900377768647</v>
      </c>
      <c r="AM16" s="4">
        <f xml:space="preserve">  Customers!AM$11</f>
        <v>2675.3136281838124</v>
      </c>
      <c r="AN16" s="4">
        <f xml:space="preserve">  Customers!AN$11</f>
        <v>2837.3852419795539</v>
      </c>
      <c r="AO16" s="4">
        <f xml:space="preserve">  Customers!AO$11</f>
        <v>3003.5711346185153</v>
      </c>
      <c r="AP16" s="4">
        <f xml:space="preserve">  Customers!AP$11</f>
        <v>3186.8748572718159</v>
      </c>
      <c r="AQ16" s="4">
        <f xml:space="preserve">  Customers!AQ$11</f>
        <v>3379.98241970861</v>
      </c>
      <c r="AR16" s="4">
        <f xml:space="preserve">  Customers!AR$11</f>
        <v>3564.4403170294318</v>
      </c>
      <c r="AS16" s="4">
        <f xml:space="preserve">  Customers!AS$11</f>
        <v>3780.4263258626238</v>
      </c>
      <c r="AT16" s="4">
        <f xml:space="preserve">  Customers!AT$11</f>
        <v>4001.8981837991764</v>
      </c>
      <c r="AU16" s="4">
        <f xml:space="preserve">  Customers!AU$11</f>
        <v>4244.3917983916417</v>
      </c>
      <c r="AV16" s="4">
        <f xml:space="preserve">  Customers!AV$11</f>
        <v>4493.0445312777838</v>
      </c>
      <c r="AW16" s="4">
        <f xml:space="preserve">  Customers!AW$11</f>
        <v>4765.298986257475</v>
      </c>
      <c r="AX16" s="4">
        <f xml:space="preserve">  Customers!AX$11</f>
        <v>5054.050604294488</v>
      </c>
      <c r="AY16" s="4">
        <f xml:space="preserve">  Customers!AY$11</f>
        <v>5350.1362520376797</v>
      </c>
      <c r="AZ16" s="4">
        <f xml:space="preserve">  Customers!AZ$11</f>
        <v>5674.3258787430632</v>
      </c>
      <c r="BA16" s="4">
        <f xml:space="preserve">  Customers!BA$11</f>
        <v>6006.7496284946019</v>
      </c>
      <c r="BB16" s="4">
        <f xml:space="preserve">  Customers!BB$11</f>
        <v>6372.946588234563</v>
      </c>
      <c r="BC16" s="4">
        <f xml:space="preserve">  Customers!BC$11</f>
        <v>6759.1674891435086</v>
      </c>
      <c r="BD16" s="4">
        <f xml:space="preserve">  Customers!BD$11</f>
        <v>7128.0916261082357</v>
      </c>
      <c r="BE16" s="4">
        <f xml:space="preserve">  Customers!BE$11</f>
        <v>7560.0767261684687</v>
      </c>
      <c r="BF16" s="4">
        <f xml:space="preserve">  Customers!BF$11</f>
        <v>8003.0373658535955</v>
      </c>
      <c r="BG16" s="4">
        <f xml:space="preserve">  Customers!BG$11</f>
        <v>8488.0469699124624</v>
      </c>
      <c r="BH16" s="4">
        <f xml:space="preserve">  Customers!BH$11</f>
        <v>8985.3793187304836</v>
      </c>
      <c r="BI16" s="4">
        <f xml:space="preserve">  Customers!BI$11</f>
        <v>9529.921980031846</v>
      </c>
      <c r="BJ16" s="4">
        <f xml:space="preserve">  Customers!BJ$11</f>
        <v>10107.465664379506</v>
      </c>
      <c r="BK16" s="4">
        <f xml:space="preserve">  Customers!BK$11</f>
        <v>10699.683127039856</v>
      </c>
      <c r="BL16" s="4">
        <f xml:space="preserve">  Customers!BL$11</f>
        <v>11348.118069895754</v>
      </c>
      <c r="BM16" s="4">
        <f xml:space="preserve">  Customers!BM$11</f>
        <v>12013.027940725995</v>
      </c>
      <c r="BN16" s="4">
        <f xml:space="preserve">  Customers!BN$11</f>
        <v>12726.008005999736</v>
      </c>
      <c r="BO16" s="4">
        <f xml:space="preserve">  Customers!BO$11</f>
        <v>13496.954871063208</v>
      </c>
      <c r="BP16" s="4">
        <f xml:space="preserve">  Customers!BP$11</f>
        <v>14260.390722692093</v>
      </c>
      <c r="BQ16" s="4">
        <f xml:space="preserve">  Customers!BQ$11</f>
        <v>15124.291131764327</v>
      </c>
    </row>
    <row r="17" spans="1:69" outlineLevel="1">
      <c r="A17" s="18"/>
      <c r="B17" s="18"/>
      <c r="C17" s="30"/>
      <c r="D17" s="31"/>
      <c r="E17" s="4" t="str">
        <f xml:space="preserve">  Customers!E$32</f>
        <v>Renewing Customer Orders</v>
      </c>
      <c r="F17" s="4">
        <f xml:space="preserve">  Customers!F$32</f>
        <v>0</v>
      </c>
      <c r="G17" s="4" t="str">
        <f xml:space="preserve">  Customers!G$32</f>
        <v>Units</v>
      </c>
      <c r="H17" s="4">
        <f ca="1" xml:space="preserve">  Customers!H$32</f>
        <v>53090.297527815921</v>
      </c>
      <c r="I17" s="4">
        <f xml:space="preserve">  Customers!I$32</f>
        <v>0</v>
      </c>
      <c r="J17" s="4">
        <f ca="1" xml:space="preserve">  Customers!J$32</f>
        <v>0</v>
      </c>
      <c r="K17" s="4">
        <f ca="1" xml:space="preserve">  Customers!K$32</f>
        <v>0</v>
      </c>
      <c r="L17" s="4">
        <f ca="1" xml:space="preserve">  Customers!L$32</f>
        <v>0</v>
      </c>
      <c r="M17" s="4">
        <f ca="1" xml:space="preserve">  Customers!M$32</f>
        <v>0</v>
      </c>
      <c r="N17" s="4">
        <f ca="1" xml:space="preserve">  Customers!N$32</f>
        <v>0</v>
      </c>
      <c r="O17" s="4">
        <f ca="1" xml:space="preserve">  Customers!O$32</f>
        <v>0</v>
      </c>
      <c r="P17" s="4">
        <f ca="1" xml:space="preserve">  Customers!P$32</f>
        <v>0</v>
      </c>
      <c r="Q17" s="4">
        <f ca="1" xml:space="preserve">  Customers!Q$32</f>
        <v>0</v>
      </c>
      <c r="R17" s="4">
        <f ca="1" xml:space="preserve">  Customers!R$32</f>
        <v>0</v>
      </c>
      <c r="S17" s="4">
        <f ca="1" xml:space="preserve">  Customers!S$32</f>
        <v>0</v>
      </c>
      <c r="T17" s="4">
        <f ca="1" xml:space="preserve">  Customers!T$32</f>
        <v>0</v>
      </c>
      <c r="U17" s="4">
        <f ca="1" xml:space="preserve">  Customers!U$32</f>
        <v>0</v>
      </c>
      <c r="V17" s="4">
        <f ca="1" xml:space="preserve">  Customers!V$32</f>
        <v>0</v>
      </c>
      <c r="W17" s="4">
        <f ca="1" xml:space="preserve">  Customers!W$32</f>
        <v>0</v>
      </c>
      <c r="X17" s="4">
        <f ca="1" xml:space="preserve">  Customers!X$32</f>
        <v>0</v>
      </c>
      <c r="Y17" s="4">
        <f ca="1" xml:space="preserve">  Customers!Y$32</f>
        <v>0</v>
      </c>
      <c r="Z17" s="4">
        <f ca="1" xml:space="preserve">  Customers!Z$32</f>
        <v>0</v>
      </c>
      <c r="AA17" s="4">
        <f ca="1" xml:space="preserve">  Customers!AA$32</f>
        <v>0</v>
      </c>
      <c r="AB17" s="4">
        <f ca="1" xml:space="preserve">  Customers!AB$32</f>
        <v>0</v>
      </c>
      <c r="AC17" s="4">
        <f ca="1" xml:space="preserve">  Customers!AC$32</f>
        <v>0</v>
      </c>
      <c r="AD17" s="4">
        <f ca="1" xml:space="preserve">  Customers!AD$32</f>
        <v>0</v>
      </c>
      <c r="AE17" s="4">
        <f ca="1" xml:space="preserve">  Customers!AE$32</f>
        <v>0</v>
      </c>
      <c r="AF17" s="4">
        <f ca="1" xml:space="preserve">  Customers!AF$32</f>
        <v>0</v>
      </c>
      <c r="AG17" s="4">
        <f ca="1" xml:space="preserve">  Customers!AG$32</f>
        <v>0</v>
      </c>
      <c r="AH17" s="4">
        <f ca="1" xml:space="preserve">  Customers!AH$32</f>
        <v>450</v>
      </c>
      <c r="AI17" s="4">
        <f ca="1" xml:space="preserve">  Customers!AI$32</f>
        <v>477.28682348765938</v>
      </c>
      <c r="AJ17" s="4">
        <f ca="1" xml:space="preserve">  Customers!AJ$32</f>
        <v>505.26781650826484</v>
      </c>
      <c r="AK17" s="4">
        <f ca="1" xml:space="preserve">  Customers!AK$32</f>
        <v>535.90593589283401</v>
      </c>
      <c r="AL17" s="4">
        <f ca="1" xml:space="preserve">  Customers!AL$32</f>
        <v>568.40187073438199</v>
      </c>
      <c r="AM17" s="4">
        <f ca="1" xml:space="preserve">  Customers!AM$32</f>
        <v>601.72449351642308</v>
      </c>
      <c r="AN17" s="4">
        <f ca="1" xml:space="preserve">  Customers!AN$32</f>
        <v>638.21149361149821</v>
      </c>
      <c r="AO17" s="4">
        <f ca="1" xml:space="preserve">  Customers!AO$32</f>
        <v>675.62671328574368</v>
      </c>
      <c r="AP17" s="4">
        <f ca="1" xml:space="preserve">  Customers!AP$32</f>
        <v>716.5949507723559</v>
      </c>
      <c r="AQ17" s="4">
        <f ca="1" xml:space="preserve">  Customers!AQ$32</f>
        <v>760.04739506985197</v>
      </c>
      <c r="AR17" s="4">
        <f ca="1" xml:space="preserve">  Customers!AR$32</f>
        <v>801.80884632630534</v>
      </c>
      <c r="AS17" s="4">
        <f ca="1" xml:space="preserve">  Customers!AS$32</f>
        <v>850.29166052273342</v>
      </c>
      <c r="AT17" s="4">
        <f ca="1" xml:space="preserve">  Customers!AT$32</f>
        <v>900</v>
      </c>
      <c r="AU17" s="4">
        <f ca="1" xml:space="preserve">  Customers!AU$32</f>
        <v>955.40227488279311</v>
      </c>
      <c r="AV17" s="4">
        <f ca="1" xml:space="preserve">  Customers!AV$32</f>
        <v>1011.3340172248836</v>
      </c>
      <c r="AW17" s="4">
        <f ca="1" xml:space="preserve">  Customers!AW$32</f>
        <v>1072.5722863790638</v>
      </c>
      <c r="AX17" s="4">
        <f ca="1" xml:space="preserve">  Customers!AX$32</f>
        <v>1137.5186534960624</v>
      </c>
      <c r="AY17" s="4">
        <f ca="1" xml:space="preserve">  Customers!AY$32</f>
        <v>1204.1119638840539</v>
      </c>
      <c r="AZ17" s="4">
        <f ca="1" xml:space="preserve">  Customers!AZ$32</f>
        <v>1277.0233178780968</v>
      </c>
      <c r="BA17" s="4">
        <f ca="1" xml:space="preserve">  Customers!BA$32</f>
        <v>1351.7835953634749</v>
      </c>
      <c r="BB17" s="4">
        <f ca="1" xml:space="preserve">  Customers!BB$32</f>
        <v>1434.3947987981699</v>
      </c>
      <c r="BC17" s="4">
        <f ca="1" xml:space="preserve">  Customers!BC$32</f>
        <v>1521.2910330984664</v>
      </c>
      <c r="BD17" s="4">
        <f ca="1" xml:space="preserve">  Customers!BD$32</f>
        <v>1604.2939563028606</v>
      </c>
      <c r="BE17" s="4">
        <f ca="1" xml:space="preserve">  Customers!BE$32</f>
        <v>1701.4827523234865</v>
      </c>
      <c r="BF17" s="4">
        <f ca="1" xml:space="preserve">  Customers!BF$32</f>
        <v>1801.1387404569136</v>
      </c>
      <c r="BG17" s="4">
        <f ca="1" xml:space="preserve">  Customers!BG$32</f>
        <v>1910.2524754824601</v>
      </c>
      <c r="BH17" s="4">
        <f ca="1" xml:space="preserve">  Customers!BH$32</f>
        <v>2022.136123887693</v>
      </c>
      <c r="BI17" s="4">
        <f ca="1" xml:space="preserve">  Customers!BI$32</f>
        <v>2144.6379724412882</v>
      </c>
      <c r="BJ17" s="4">
        <f ca="1" xml:space="preserve">  Customers!BJ$32</f>
        <v>2274.5610339991781</v>
      </c>
      <c r="BK17" s="4">
        <f ca="1" xml:space="preserve">  Customers!BK$32</f>
        <v>2407.7822653654312</v>
      </c>
      <c r="BL17" s="4">
        <f ca="1" xml:space="preserve">  Customers!BL$32</f>
        <v>2553.6467177815985</v>
      </c>
      <c r="BM17" s="4">
        <f ca="1" xml:space="preserve">  Customers!BM$32</f>
        <v>2703.2140211566639</v>
      </c>
      <c r="BN17" s="4">
        <f ca="1" xml:space="preserve">  Customers!BN$32</f>
        <v>2868.1873715446345</v>
      </c>
      <c r="BO17" s="4">
        <f ca="1" xml:space="preserve">  Customers!BO$32</f>
        <v>3041.9841777377492</v>
      </c>
      <c r="BP17" s="4">
        <f ca="1" xml:space="preserve">  Customers!BP$32</f>
        <v>3207.9962853264888</v>
      </c>
      <c r="BQ17" s="4">
        <f ca="1" xml:space="preserve">  Customers!BQ$32</f>
        <v>3402.3836932763616</v>
      </c>
    </row>
    <row r="18" spans="1:69" outlineLevel="1">
      <c r="A18" s="36"/>
      <c r="B18" s="36"/>
      <c r="C18" s="65"/>
      <c r="D18" s="64"/>
      <c r="E18" s="21" t="s">
        <v>239</v>
      </c>
      <c r="F18" s="21"/>
      <c r="G18" s="21" t="s">
        <v>122</v>
      </c>
      <c r="H18" s="3">
        <f ca="1" xml:space="preserve"> SUM( J18:BQ18 )</f>
        <v>66570.387475079086</v>
      </c>
      <c r="I18" s="21"/>
      <c r="J18" s="3">
        <f ca="1" xml:space="preserve">  IF( Time!J28 &lt; 1 + $F15, 0, OFFSET( J16, 0, - 1 * ( $F15 ) ) ) + IF( Time!J28 &lt; 1 + $F15, 0, OFFSET( J17, 0, - 1 * ( $F15 ) ) )</f>
        <v>0</v>
      </c>
      <c r="K18" s="3">
        <f ca="1" xml:space="preserve">  IF( Time!K28 &lt; 1 + $F15, 0, OFFSET( K16, 0, - 1 * ( $F15 ) ) ) + IF( Time!K28 &lt; 1 + $F15, 0, OFFSET( K17, 0, - 1 * ( $F15 ) ) )</f>
        <v>0</v>
      </c>
      <c r="L18" s="3">
        <f ca="1" xml:space="preserve">  IF( Time!L28 &lt; 1 + $F15, 0, OFFSET( L16, 0, - 1 * ( $F15 ) ) ) + IF( Time!L28 &lt; 1 + $F15, 0, OFFSET( L17, 0, - 1 * ( $F15 ) ) )</f>
        <v>0</v>
      </c>
      <c r="M18" s="3">
        <f ca="1" xml:space="preserve">  IF( Time!M28 &lt; 1 + $F15, 0, OFFSET( M16, 0, - 1 * ( $F15 ) ) ) + IF( Time!M28 &lt; 1 + $F15, 0, OFFSET( M17, 0, - 1 * ( $F15 ) ) )</f>
        <v>0</v>
      </c>
      <c r="N18" s="3">
        <f ca="1" xml:space="preserve">  IF( Time!N28 &lt; 1 + $F15, 0, OFFSET( N16, 0, - 1 * ( $F15 ) ) ) + IF( Time!N28 &lt; 1 + $F15, 0, OFFSET( N17, 0, - 1 * ( $F15 ) ) )</f>
        <v>0</v>
      </c>
      <c r="O18" s="3">
        <f ca="1" xml:space="preserve">  IF( Time!O28 &lt; 1 + $F15, 0, OFFSET( O16, 0, - 1 * ( $F15 ) ) ) + IF( Time!O28 &lt; 1 + $F15, 0, OFFSET( O17, 0, - 1 * ( $F15 ) ) )</f>
        <v>0</v>
      </c>
      <c r="P18" s="3">
        <f ca="1" xml:space="preserve">  IF( Time!P28 &lt; 1 + $F15, 0, OFFSET( P16, 0, - 1 * ( $F15 ) ) ) + IF( Time!P28 &lt; 1 + $F15, 0, OFFSET( P17, 0, - 1 * ( $F15 ) ) )</f>
        <v>0</v>
      </c>
      <c r="Q18" s="3">
        <f ca="1" xml:space="preserve">  IF( Time!Q28 &lt; 1 + $F15, 0, OFFSET( Q16, 0, - 1 * ( $F15 ) ) ) + IF( Time!Q28 &lt; 1 + $F15, 0, OFFSET( Q17, 0, - 1 * ( $F15 ) ) )</f>
        <v>0</v>
      </c>
      <c r="R18" s="3">
        <f ca="1" xml:space="preserve">  IF( Time!R28 &lt; 1 + $F15, 0, OFFSET( R16, 0, - 1 * ( $F15 ) ) ) + IF( Time!R28 &lt; 1 + $F15, 0, OFFSET( R17, 0, - 1 * ( $F15 ) ) )</f>
        <v>0</v>
      </c>
      <c r="S18" s="3">
        <f ca="1" xml:space="preserve">  IF( Time!S28 &lt; 1 + $F15, 0, OFFSET( S16, 0, - 1 * ( $F15 ) ) ) + IF( Time!S28 &lt; 1 + $F15, 0, OFFSET( S17, 0, - 1 * ( $F15 ) ) )</f>
        <v>0</v>
      </c>
      <c r="T18" s="3">
        <f ca="1" xml:space="preserve">  IF( Time!T28 &lt; 1 + $F15, 0, OFFSET( T16, 0, - 1 * ( $F15 ) ) ) + IF( Time!T28 &lt; 1 + $F15, 0, OFFSET( T17, 0, - 1 * ( $F15 ) ) )</f>
        <v>0</v>
      </c>
      <c r="U18" s="3">
        <f ca="1" xml:space="preserve">  IF( Time!U28 &lt; 1 + $F15, 0, OFFSET( U16, 0, - 1 * ( $F15 ) ) ) + IF( Time!U28 &lt; 1 + $F15, 0, OFFSET( U17, 0, - 1 * ( $F15 ) ) )</f>
        <v>0</v>
      </c>
      <c r="V18" s="3">
        <f ca="1" xml:space="preserve">  IF( Time!V28 &lt; 1 + $F15, 0, OFFSET( V16, 0, - 1 * ( $F15 ) ) ) + IF( Time!V28 &lt; 1 + $F15, 0, OFFSET( V17, 0, - 1 * ( $F15 ) ) )</f>
        <v>0</v>
      </c>
      <c r="W18" s="3">
        <f ca="1" xml:space="preserve">  IF( Time!W28 &lt; 1 + $F15, 0, OFFSET( W16, 0, - 1 * ( $F15 ) ) ) + IF( Time!W28 &lt; 1 + $F15, 0, OFFSET( W17, 0, - 1 * ( $F15 ) ) )</f>
        <v>0</v>
      </c>
      <c r="X18" s="3">
        <f ca="1" xml:space="preserve">  IF( Time!X28 &lt; 1 + $F15, 0, OFFSET( X16, 0, - 1 * ( $F15 ) ) ) + IF( Time!X28 &lt; 1 + $F15, 0, OFFSET( X17, 0, - 1 * ( $F15 ) ) )</f>
        <v>0</v>
      </c>
      <c r="Y18" s="3">
        <f ca="1" xml:space="preserve">  IF( Time!Y28 &lt; 1 + $F15, 0, OFFSET( Y16, 0, - 1 * ( $F15 ) ) ) + IF( Time!Y28 &lt; 1 + $F15, 0, OFFSET( Y17, 0, - 1 * ( $F15 ) ) )</f>
        <v>0</v>
      </c>
      <c r="Z18" s="3">
        <f ca="1" xml:space="preserve">  IF( Time!Z28 &lt; 1 + $F15, 0, OFFSET( Z16, 0, - 1 * ( $F15 ) ) ) + IF( Time!Z28 &lt; 1 + $F15, 0, OFFSET( Z17, 0, - 1 * ( $F15 ) ) )</f>
        <v>0</v>
      </c>
      <c r="AA18" s="3">
        <f ca="1" xml:space="preserve">  IF( Time!AA28 &lt; 1 + $F15, 0, OFFSET( AA16, 0, - 1 * ( $F15 ) ) ) + IF( Time!AA28 &lt; 1 + $F15, 0, OFFSET( AA17, 0, - 1 * ( $F15 ) ) )</f>
        <v>0</v>
      </c>
      <c r="AB18" s="3">
        <f ca="1" xml:space="preserve">  IF( Time!AB28 &lt; 1 + $F15, 0, OFFSET( AB16, 0, - 1 * ( $F15 ) ) ) + IF( Time!AB28 &lt; 1 + $F15, 0, OFFSET( AB17, 0, - 1 * ( $F15 ) ) )</f>
        <v>0</v>
      </c>
      <c r="AC18" s="3">
        <f ca="1" xml:space="preserve">  IF( Time!AC28 &lt; 1 + $F15, 0, OFFSET( AC16, 0, - 1 * ( $F15 ) ) ) + IF( Time!AC28 &lt; 1 + $F15, 0, OFFSET( AC17, 0, - 1 * ( $F15 ) ) )</f>
        <v>0</v>
      </c>
      <c r="AD18" s="3">
        <f ca="1" xml:space="preserve">  IF( Time!AD28 &lt; 1 + $F15, 0, OFFSET( AD16, 0, - 1 * ( $F15 ) ) ) + IF( Time!AD28 &lt; 1 + $F15, 0, OFFSET( AD17, 0, - 1 * ( $F15 ) ) )</f>
        <v>0</v>
      </c>
      <c r="AE18" s="3">
        <f ca="1" xml:space="preserve">  IF( Time!AE28 &lt; 1 + $F15, 0, OFFSET( AE16, 0, - 1 * ( $F15 ) ) ) + IF( Time!AE28 &lt; 1 + $F15, 0, OFFSET( AE17, 0, - 1 * ( $F15 ) ) )</f>
        <v>0</v>
      </c>
      <c r="AF18" s="3">
        <f ca="1" xml:space="preserve">  IF( Time!AF28 &lt; 1 + $F15, 0, OFFSET( AF16, 0, - 1 * ( $F15 ) ) ) + IF( Time!AF28 &lt; 1 + $F15, 0, OFFSET( AF17, 0, - 1 * ( $F15 ) ) )</f>
        <v>0</v>
      </c>
      <c r="AG18" s="3">
        <f ca="1" xml:space="preserve">  IF( Time!AG28 &lt; 1 + $F15, 0, OFFSET( AG16, 0, - 1 * ( $F15 ) ) ) + IF( Time!AG28 &lt; 1 + $F15, 0, OFFSET( AG17, 0, - 1 * ( $F15 ) ) )</f>
        <v>0</v>
      </c>
      <c r="AH18" s="3">
        <f ca="1" xml:space="preserve">  IF( Time!AH28 &lt; 1 + $F15, 0, OFFSET( AH16, 0, - 1 * ( $F15 ) ) ) + IF( Time!AH28 &lt; 1 + $F15, 0, OFFSET( AH17, 0, - 1 * ( $F15 ) ) )</f>
        <v>500</v>
      </c>
      <c r="AI18" s="3">
        <f ca="1" xml:space="preserve">  IF( Time!AI28 &lt; 1 + $F15, 0, OFFSET( AI16, 0, - 1 * ( $F15 ) ) ) + IF( Time!AI28 &lt; 1 + $F15, 0, OFFSET( AI17, 0, - 1 * ( $F15 ) ) )</f>
        <v>530.31869276406599</v>
      </c>
      <c r="AJ18" s="3">
        <f ca="1" xml:space="preserve">  IF( Time!AJ28 &lt; 1 + $F15, 0, OFFSET( AJ16, 0, - 1 * ( $F15 ) ) ) + IF( Time!AJ28 &lt; 1 + $F15, 0, OFFSET( AJ17, 0, - 1 * ( $F15 ) ) )</f>
        <v>561.40868500918316</v>
      </c>
      <c r="AK18" s="3">
        <f ca="1" xml:space="preserve">  IF( Time!AK28 &lt; 1 + $F15, 0, OFFSET( AK16, 0, - 1 * ( $F15 ) ) ) + IF( Time!AK28 &lt; 1 + $F15, 0, OFFSET( AK17, 0, - 1 * ( $F15 ) ) )</f>
        <v>595.4510398809266</v>
      </c>
      <c r="AL18" s="3">
        <f ca="1" xml:space="preserve">  IF( Time!AL28 &lt; 1 + $F15, 0, OFFSET( AL16, 0, - 1 * ( $F15 ) ) ) + IF( Time!AL28 &lt; 1 + $F15, 0, OFFSET( AL17, 0, - 1 * ( $F15 ) ) )</f>
        <v>631.55763414931334</v>
      </c>
      <c r="AM18" s="3">
        <f ca="1" xml:space="preserve">  IF( Time!AM28 &lt; 1 + $F15, 0, OFFSET( AM16, 0, - 1 * ( $F15 ) ) ) + IF( Time!AM28 &lt; 1 + $F15, 0, OFFSET( AM17, 0, - 1 * ( $F15 ) ) )</f>
        <v>668.58277057380337</v>
      </c>
      <c r="AN18" s="3">
        <f ca="1" xml:space="preserve">  IF( Time!AN28 &lt; 1 + $F15, 0, OFFSET( AN16, 0, - 1 * ( $F15 ) ) ) + IF( Time!AN28 &lt; 1 + $F15, 0, OFFSET( AN17, 0, - 1 * ( $F15 ) ) )</f>
        <v>709.12388179055358</v>
      </c>
      <c r="AO18" s="3">
        <f ca="1" xml:space="preserve">  IF( Time!AO28 &lt; 1 + $F15, 0, OFFSET( AO16, 0, - 1 * ( $F15 ) ) ) + IF( Time!AO28 &lt; 1 + $F15, 0, OFFSET( AO17, 0, - 1 * ( $F15 ) ) )</f>
        <v>750.69634809527076</v>
      </c>
      <c r="AP18" s="3">
        <f ca="1" xml:space="preserve">  IF( Time!AP28 &lt; 1 + $F15, 0, OFFSET( AP16, 0, - 1 * ( $F15 ) ) ) + IF( Time!AP28 &lt; 1 + $F15, 0, OFFSET( AP17, 0, - 1 * ( $F15 ) ) )</f>
        <v>796.21661196928437</v>
      </c>
      <c r="AQ18" s="3">
        <f ca="1" xml:space="preserve">  IF( Time!AQ28 &lt; 1 + $F15, 0, OFFSET( AQ16, 0, - 1 * ( $F15 ) ) ) + IF( Time!AQ28 &lt; 1 + $F15, 0, OFFSET( AQ17, 0, - 1 * ( $F15 ) ) )</f>
        <v>844.49710563316887</v>
      </c>
      <c r="AR18" s="3">
        <f ca="1" xml:space="preserve">  IF( Time!AR28 &lt; 1 + $F15, 0, OFFSET( AR16, 0, - 1 * ( $F15 ) ) ) + IF( Time!AR28 &lt; 1 + $F15, 0, OFFSET( AR17, 0, - 1 * ( $F15 ) ) )</f>
        <v>890.89871814033927</v>
      </c>
      <c r="AS18" s="3">
        <f ca="1" xml:space="preserve">  IF( Time!AS28 &lt; 1 + $F15, 0, OFFSET( AS16, 0, - 1 * ( $F15 ) ) ) + IF( Time!AS28 &lt; 1 + $F15, 0, OFFSET( AS17, 0, - 1 * ( $F15 ) ) )</f>
        <v>944.76851169192605</v>
      </c>
      <c r="AT18" s="3">
        <f ca="1" xml:space="preserve">  IF( Time!AT28 &lt; 1 + $F15, 0, OFFSET( AT16, 0, - 1 * ( $F15 ) ) ) + IF( Time!AT28 &lt; 1 + $F15, 0, OFFSET( AT17, 0, - 1 * ( $F15 ) ) )</f>
        <v>1000</v>
      </c>
      <c r="AU18" s="3">
        <f ca="1" xml:space="preserve">  IF( Time!AU28 &lt; 1 + $F15, 0, OFFSET( AU16, 0, - 1 * ( $F15 ) ) ) + IF( Time!AU28 &lt; 1 + $F15, 0, OFFSET( AU17, 0, - 1 * ( $F15 ) ) )</f>
        <v>1061.5580832031035</v>
      </c>
      <c r="AV18" s="3">
        <f ca="1" xml:space="preserve">  IF( Time!AV28 &lt; 1 + $F15, 0, OFFSET( AV16, 0, - 1 * ( $F15 ) ) ) + IF( Time!AV28 &lt; 1 + $F15, 0, OFFSET( AV17, 0, - 1 * ( $F15 ) ) )</f>
        <v>1123.704463583204</v>
      </c>
      <c r="AW18" s="3">
        <f ca="1" xml:space="preserve">  IF( Time!AW28 &lt; 1 + $F15, 0, OFFSET( AW16, 0, - 1 * ( $F15 ) ) ) + IF( Time!AW28 &lt; 1 + $F15, 0, OFFSET( AW17, 0, - 1 * ( $F15 ) ) )</f>
        <v>1191.7469848656265</v>
      </c>
      <c r="AX18" s="3">
        <f ca="1" xml:space="preserve">  IF( Time!AX28 &lt; 1 + $F15, 0, OFFSET( AX16, 0, - 1 * ( $F15 ) ) ) + IF( Time!AX28 &lt; 1 + $F15, 0, OFFSET( AX17, 0, - 1 * ( $F15 ) ) )</f>
        <v>1263.9096149956249</v>
      </c>
      <c r="AY18" s="3">
        <f ca="1" xml:space="preserve">  IF( Time!AY28 &lt; 1 + $F15, 0, OFFSET( AY16, 0, - 1 * ( $F15 ) ) ) + IF( Time!AY28 &lt; 1 + $F15, 0, OFFSET( AY17, 0, - 1 * ( $F15 ) ) )</f>
        <v>1337.9021820933933</v>
      </c>
      <c r="AZ18" s="3">
        <f ca="1" xml:space="preserve">  IF( Time!AZ28 &lt; 1 + $F15, 0, OFFSET( AZ16, 0, - 1 * ( $F15 ) ) ) + IF( Time!AZ28 &lt; 1 + $F15, 0, OFFSET( AZ17, 0, - 1 * ( $F15 ) ) )</f>
        <v>1418.9147976423296</v>
      </c>
      <c r="BA18" s="3">
        <f ca="1" xml:space="preserve">  IF( Time!BA28 &lt; 1 + $F15, 0, OFFSET( BA16, 0, - 1 * ( $F15 ) ) ) + IF( Time!BA28 &lt; 1 + $F15, 0, OFFSET( BA17, 0, - 1 * ( $F15 ) ) )</f>
        <v>1501.9817726260831</v>
      </c>
      <c r="BB18" s="3">
        <f ca="1" xml:space="preserve">  IF( Time!BB28 &lt; 1 + $F15, 0, OFFSET( BB16, 0, - 1 * ( $F15 ) ) ) + IF( Time!BB28 &lt; 1 + $F15, 0, OFFSET( BB17, 0, - 1 * ( $F15 ) ) )</f>
        <v>1593.7719986646332</v>
      </c>
      <c r="BC18" s="3">
        <f ca="1" xml:space="preserve">  IF( Time!BC28 &lt; 1 + $F15, 0, OFFSET( BC16, 0, - 1 * ( $F15 ) ) ) + IF( Time!BC28 &lt; 1 + $F15, 0, OFFSET( BC17, 0, - 1 * ( $F15 ) ) )</f>
        <v>1690.3233701094071</v>
      </c>
      <c r="BD18" s="3">
        <f ca="1" xml:space="preserve">  IF( Time!BD28 &lt; 1 + $F15, 0, OFFSET( BD16, 0, - 1 * ( $F15 ) ) ) + IF( Time!BD28 &lt; 1 + $F15, 0, OFFSET( BD17, 0, - 1 * ( $F15 ) ) )</f>
        <v>1782.5488403365116</v>
      </c>
      <c r="BE18" s="3">
        <f ca="1" xml:space="preserve">  IF( Time!BE28 &lt; 1 + $F15, 0, OFFSET( BE16, 0, - 1 * ( $F15 ) ) ) + IF( Time!BE28 &lt; 1 + $F15, 0, OFFSET( BE17, 0, - 1 * ( $F15 ) ) )</f>
        <v>1890.5363914705406</v>
      </c>
      <c r="BF18" s="3">
        <f ca="1" xml:space="preserve">  IF( Time!BF28 &lt; 1 + $F15, 0, OFFSET( BF16, 0, - 1 * ( $F15 ) ) ) + IF( Time!BF28 &lt; 1 + $F15, 0, OFFSET( BF17, 0, - 1 * ( $F15 ) ) )</f>
        <v>2451.2652671743485</v>
      </c>
      <c r="BG18" s="3">
        <f ca="1" xml:space="preserve">  IF( Time!BG28 &lt; 1 + $F15, 0, OFFSET( BG16, 0, - 1 * ( $F15 ) ) ) + IF( Time!BG28 &lt; 1 + $F15, 0, OFFSET( BG17, 0, - 1 * ( $F15 ) ) )</f>
        <v>2599.7895740237263</v>
      </c>
      <c r="BH18" s="3">
        <f ca="1" xml:space="preserve">  IF( Time!BH28 &lt; 1 + $F15, 0, OFFSET( BH16, 0, - 1 * ( $F15 ) ) ) + IF( Time!BH28 &lt; 1 + $F15, 0, OFFSET( BH17, 0, - 1 * ( $F15 ) ) )</f>
        <v>2752.0857319390348</v>
      </c>
      <c r="BI18" s="3">
        <f ca="1" xml:space="preserve">  IF( Time!BI28 &lt; 1 + $F15, 0, OFFSET( BI16, 0, - 1 * ( $F15 ) ) ) + IF( Time!BI28 &lt; 1 + $F15, 0, OFFSET( BI17, 0, - 1 * ( $F15 ) ) )</f>
        <v>2918.8370163831542</v>
      </c>
      <c r="BJ18" s="3">
        <f ca="1" xml:space="preserve">  IF( Time!BJ28 &lt; 1 + $F15, 0, OFFSET( BJ16, 0, - 1 * ( $F15 ) ) ) + IF( Time!BJ28 &lt; 1 + $F15, 0, OFFSET( BJ17, 0, - 1 * ( $F15 ) ) )</f>
        <v>3095.6919085112468</v>
      </c>
      <c r="BK18" s="3">
        <f ca="1" xml:space="preserve">  IF( Time!BK28 &lt; 1 + $F15, 0, OFFSET( BK16, 0, - 1 * ( $F15 ) ) ) + IF( Time!BK28 &lt; 1 + $F15, 0, OFFSET( BK17, 0, - 1 * ( $F15 ) ) )</f>
        <v>3277.0381217002355</v>
      </c>
      <c r="BL18" s="3">
        <f ca="1" xml:space="preserve">  IF( Time!BL28 &lt; 1 + $F15, 0, OFFSET( BL16, 0, - 1 * ( $F15 ) ) ) + IF( Time!BL28 &lt; 1 + $F15, 0, OFFSET( BL17, 0, - 1 * ( $F15 ) ) )</f>
        <v>3475.596735591052</v>
      </c>
      <c r="BM18" s="3">
        <f ca="1" xml:space="preserve">  IF( Time!BM28 &lt; 1 + $F15, 0, OFFSET( BM16, 0, - 1 * ( $F15 ) ) ) + IF( Time!BM28 &lt; 1 + $F15, 0, OFFSET( BM17, 0, - 1 * ( $F15 ) ) )</f>
        <v>3679.1978479042591</v>
      </c>
      <c r="BN18" s="3">
        <f ca="1" xml:space="preserve">  IF( Time!BN28 &lt; 1 + $F15, 0, OFFSET( BN16, 0, - 1 * ( $F15 ) ) ) + IF( Time!BN28 &lt; 1 + $F15, 0, OFFSET( BN17, 0, - 1 * ( $F15 ) ) )</f>
        <v>3903.4698080441717</v>
      </c>
      <c r="BO18" s="3">
        <f ca="1" xml:space="preserve">  IF( Time!BO28 &lt; 1 + $F15, 0, OFFSET( BO16, 0, - 1 * ( $F15 ) ) ) + IF( Time!BO28 &lt; 1 + $F15, 0, OFFSET( BO17, 0, - 1 * ( $F15 ) ) )</f>
        <v>4140.0298147784615</v>
      </c>
      <c r="BP18" s="3">
        <f ca="1" xml:space="preserve">  IF( Time!BP28 &lt; 1 + $F15, 0, OFFSET( BP16, 0, - 1 * ( $F15 ) ) ) + IF( Time!BP28 &lt; 1 + $F15, 0, OFFSET( BP17, 0, - 1 * ( $F15 ) ) )</f>
        <v>4366.2491633557374</v>
      </c>
      <c r="BQ18" s="3">
        <f ca="1" xml:space="preserve">  IF( Time!BQ28 &lt; 1 + $F15, 0, OFFSET( BQ16, 0, - 1 * ( $F15 ) ) ) + IF( Time!BQ28 &lt; 1 + $F15, 0, OFFSET( BQ17, 0, - 1 * ( $F15 ) ) )</f>
        <v>4630.7179863853571</v>
      </c>
    </row>
    <row r="21" spans="1:69">
      <c r="B21" s="27" t="s">
        <v>129</v>
      </c>
    </row>
    <row r="22" spans="1:69" outlineLevel="1">
      <c r="A22" s="18"/>
      <c r="B22" s="18"/>
      <c r="C22" s="30"/>
      <c r="D22" s="31"/>
      <c r="E22" s="4" t="str">
        <f xml:space="preserve">  InpC!E$31</f>
        <v>Minimum quantity before reorder</v>
      </c>
      <c r="F22" s="4">
        <f xml:space="preserve">  InpC!F$31</f>
        <v>1000</v>
      </c>
      <c r="G22" s="4" t="str">
        <f xml:space="preserve">  InpC!G$31</f>
        <v>Units</v>
      </c>
      <c r="M22" s="2"/>
    </row>
    <row r="23" spans="1:69" outlineLevel="1">
      <c r="A23" s="18"/>
      <c r="B23" s="18"/>
      <c r="C23" s="30"/>
      <c r="D23" s="31"/>
      <c r="E23" s="4" t="str">
        <f xml:space="preserve">  InpC!E$35</f>
        <v>Minimum supplier order quantity</v>
      </c>
      <c r="F23" s="4">
        <f xml:space="preserve">  InpC!F$35</f>
        <v>5000</v>
      </c>
      <c r="G23" s="4" t="str">
        <f xml:space="preserve">  InpC!G$35</f>
        <v>Units</v>
      </c>
      <c r="M23" s="2"/>
    </row>
    <row r="24" spans="1:69" outlineLevel="1">
      <c r="A24" s="18"/>
      <c r="B24" s="18"/>
      <c r="C24" s="30"/>
      <c r="D24" s="31"/>
      <c r="E24" s="4" t="str">
        <f xml:space="preserve">  Customers!E$21</f>
        <v>Customer Orders Awaiting Fullfilment</v>
      </c>
      <c r="F24" s="4">
        <f xml:space="preserve">  Customers!F$21</f>
        <v>0</v>
      </c>
      <c r="G24" s="4" t="str">
        <f xml:space="preserve">  Customers!G$21</f>
        <v>Units</v>
      </c>
      <c r="H24" s="4">
        <f xml:space="preserve">  Customers!H$21</f>
        <v>0</v>
      </c>
      <c r="I24" s="4">
        <f xml:space="preserve">  Customers!I$21</f>
        <v>0</v>
      </c>
      <c r="J24" s="4">
        <f ca="1" xml:space="preserve">  Customers!J$21</f>
        <v>500</v>
      </c>
      <c r="K24" s="4">
        <f ca="1" xml:space="preserve">  Customers!K$21</f>
        <v>1030.3186927640659</v>
      </c>
      <c r="L24" s="4">
        <f ca="1" xml:space="preserve">  Customers!L$21</f>
        <v>1591.7273777732489</v>
      </c>
      <c r="M24" s="4">
        <f ca="1" xml:space="preserve">  Customers!M$21</f>
        <v>2187.1784176541755</v>
      </c>
      <c r="N24" s="4">
        <f ca="1" xml:space="preserve">  Customers!N$21</f>
        <v>2818.7360518034889</v>
      </c>
      <c r="O24" s="4">
        <f ca="1" xml:space="preserve">  Customers!O$21</f>
        <v>3487.3188223772922</v>
      </c>
      <c r="P24" s="4">
        <f ca="1" xml:space="preserve">  Customers!P$21</f>
        <v>4196.4427041678455</v>
      </c>
      <c r="Q24" s="4">
        <f ca="1" xml:space="preserve">  Customers!Q$21</f>
        <v>750.69634809527088</v>
      </c>
      <c r="R24" s="4">
        <f ca="1" xml:space="preserve">  Customers!R$21</f>
        <v>796.21661196928426</v>
      </c>
      <c r="S24" s="4">
        <f ca="1" xml:space="preserve">  Customers!S$21</f>
        <v>1587.8527698655694</v>
      </c>
      <c r="T24" s="4">
        <f ca="1" xml:space="preserve">  Customers!T$21</f>
        <v>2478.7514880059089</v>
      </c>
      <c r="U24" s="4">
        <f ca="1" xml:space="preserve">  Customers!U$21</f>
        <v>3423.5199996978349</v>
      </c>
      <c r="V24" s="4">
        <f ca="1" xml:space="preserve">  Customers!V$21</f>
        <v>4423.5199996978354</v>
      </c>
      <c r="W24" s="4">
        <f ca="1" xml:space="preserve">  Customers!W$21</f>
        <v>1061.5580832031037</v>
      </c>
      <c r="X24" s="4">
        <f ca="1" xml:space="preserve">  Customers!X$21</f>
        <v>1608.782546484143</v>
      </c>
      <c r="Y24" s="4">
        <f ca="1" xml:space="preserve">  Customers!Y$21</f>
        <v>2800.5295313497695</v>
      </c>
      <c r="Z24" s="4">
        <f ca="1" xml:space="preserve">  Customers!Z$21</f>
        <v>4064.4391463453944</v>
      </c>
      <c r="AA24" s="4">
        <f ca="1" xml:space="preserve">  Customers!AA$21</f>
        <v>5402.341328438788</v>
      </c>
      <c r="AB24" s="4">
        <f ca="1" xml:space="preserve">  Customers!AB$21</f>
        <v>6821.2561260811181</v>
      </c>
      <c r="AC24" s="4">
        <f ca="1" xml:space="preserve">  Customers!AC$21</f>
        <v>3323.2378987072007</v>
      </c>
      <c r="AD24" s="4">
        <f ca="1" xml:space="preserve">  Customers!AD$21</f>
        <v>4917.0098973718341</v>
      </c>
      <c r="AE24" s="4">
        <f ca="1" xml:space="preserve">  Customers!AE$21</f>
        <v>6607.3332674812409</v>
      </c>
      <c r="AF24" s="4">
        <f ca="1" xml:space="preserve">  Customers!AF$21</f>
        <v>8389.8821078177534</v>
      </c>
      <c r="AG24" s="4">
        <f ca="1" xml:space="preserve">  Customers!AG$21</f>
        <v>5280.4184992882947</v>
      </c>
      <c r="AH24" s="4">
        <f ca="1" xml:space="preserve">  Customers!AH$21</f>
        <v>7731.6837664626437</v>
      </c>
      <c r="AI24" s="4">
        <f ca="1" xml:space="preserve">  Customers!AI$21</f>
        <v>9331.4733404863691</v>
      </c>
      <c r="AJ24" s="4">
        <f ca="1" xml:space="preserve">  Customers!AJ$21</f>
        <v>11022.921686897271</v>
      </c>
      <c r="AK24" s="4">
        <f ca="1" xml:space="preserve">  Customers!AK$21</f>
        <v>7818.941333262057</v>
      </c>
      <c r="AL24" s="4">
        <f ca="1" xml:space="preserve">  Customers!AL$21</f>
        <v>9723.7311620114488</v>
      </c>
      <c r="AM24" s="4">
        <f ca="1" xml:space="preserve">  Customers!AM$21</f>
        <v>11737.654015413058</v>
      </c>
      <c r="AN24" s="4">
        <f ca="1" xml:space="preserve">  Customers!AN$21</f>
        <v>8876.0852098565028</v>
      </c>
      <c r="AO24" s="4">
        <f ca="1" xml:space="preserve">  Customers!AO$21</f>
        <v>11137.035294179654</v>
      </c>
      <c r="AP24" s="4">
        <f ca="1" xml:space="preserve">  Customers!AP$21</f>
        <v>8539.1124060332841</v>
      </c>
      <c r="AQ24" s="4">
        <f ca="1" xml:space="preserve">  Customers!AQ$21</f>
        <v>11086.708996873176</v>
      </c>
      <c r="AR24" s="4">
        <f ca="1" xml:space="preserve">  Customers!AR$21</f>
        <v>13763.963948962575</v>
      </c>
      <c r="AS24" s="4">
        <f ca="1" xml:space="preserve">  Customers!AS$21</f>
        <v>11612.884499067255</v>
      </c>
      <c r="AT24" s="4">
        <f ca="1" xml:space="preserve">  Customers!AT$21</f>
        <v>14625.245659482582</v>
      </c>
      <c r="AU24" s="4">
        <f ca="1" xml:space="preserve">  Customers!AU$21</f>
        <v>17825.039732757017</v>
      </c>
      <c r="AV24" s="4">
        <f ca="1" xml:space="preserve">  Customers!AV$21</f>
        <v>16206.302114853477</v>
      </c>
      <c r="AW24" s="4">
        <f ca="1" xml:space="preserve">  Customers!AW$21</f>
        <v>19796.764460323608</v>
      </c>
      <c r="AX24" s="4">
        <f ca="1" xml:space="preserve">  Customers!AX$21</f>
        <v>18604.839748382903</v>
      </c>
      <c r="AY24" s="4">
        <f ca="1" xml:space="preserve">  Customers!AY$21</f>
        <v>22631.268734313388</v>
      </c>
      <c r="AZ24" s="4">
        <f ca="1" xml:space="preserve">  Customers!AZ$21</f>
        <v>21906.813566747762</v>
      </c>
      <c r="BA24" s="4">
        <f ca="1" xml:space="preserve">  Customers!BA$21</f>
        <v>21427.517195321179</v>
      </c>
      <c r="BB24" s="4">
        <f ca="1" xml:space="preserve">  Customers!BB$21</f>
        <v>26230.895037101749</v>
      </c>
      <c r="BC24" s="4">
        <f ca="1" xml:space="preserve">  Customers!BC$21</f>
        <v>26323.80956201446</v>
      </c>
      <c r="BD24" s="4">
        <f ca="1" xml:space="preserve">  Customers!BD$21</f>
        <v>26675.548404206747</v>
      </c>
      <c r="BE24" s="4">
        <f ca="1" xml:space="preserve">  Customers!BE$21</f>
        <v>32372.010202025675</v>
      </c>
      <c r="BF24" s="4">
        <f ca="1" xml:space="preserve">  Customers!BF$21</f>
        <v>33395.1135253951</v>
      </c>
      <c r="BG24" s="4">
        <f ca="1" xml:space="preserve">  Customers!BG$21</f>
        <v>33890.882436441323</v>
      </c>
      <c r="BH24" s="4">
        <f ca="1" xml:space="preserve">  Customers!BH$21</f>
        <v>34698.818731012048</v>
      </c>
      <c r="BI24" s="4">
        <f ca="1" xml:space="preserve">  Customers!BI$21</f>
        <v>35869.207219607117</v>
      </c>
      <c r="BJ24" s="4">
        <f ca="1" xml:space="preserve">  Customers!BJ$21</f>
        <v>37413.559885219496</v>
      </c>
      <c r="BK24" s="4">
        <f ca="1" xml:space="preserve">  Customers!BK$21</f>
        <v>39329.641460602288</v>
      </c>
      <c r="BL24" s="4">
        <f ca="1" xml:space="preserve">  Customers!BL$21</f>
        <v>41677.330004879172</v>
      </c>
      <c r="BM24" s="4">
        <f ca="1" xml:space="preserve">  Customers!BM$21</f>
        <v>44442.378495579731</v>
      </c>
      <c r="BN24" s="4">
        <f ca="1" xml:space="preserve">  Customers!BN$21</f>
        <v>47678.178177315582</v>
      </c>
      <c r="BO24" s="4">
        <f ca="1" xml:space="preserve">  Customers!BO$21</f>
        <v>51410.1776100282</v>
      </c>
      <c r="BP24" s="4">
        <f ca="1" xml:space="preserve">  Customers!BP$21</f>
        <v>55598.504988489847</v>
      </c>
      <c r="BQ24" s="4">
        <f ca="1" xml:space="preserve">  Customers!BQ$21</f>
        <v>60392.68148681907</v>
      </c>
    </row>
    <row r="25" spans="1:69" outlineLevel="1">
      <c r="E25" s="2" t="str">
        <f t="shared" ref="E25:BQ25" si="1" xml:space="preserve">  E$38</f>
        <v>Units on order BEG</v>
      </c>
      <c r="F25" s="2">
        <f t="shared" si="1"/>
        <v>0</v>
      </c>
      <c r="G25" s="2" t="str">
        <f t="shared" si="1"/>
        <v>Units</v>
      </c>
      <c r="H25" s="2">
        <f t="shared" si="1"/>
        <v>0</v>
      </c>
      <c r="I25" s="2">
        <f t="shared" si="1"/>
        <v>0</v>
      </c>
      <c r="J25" s="2">
        <f t="shared" si="1"/>
        <v>0</v>
      </c>
      <c r="K25" s="2">
        <f t="shared" ca="1" si="1"/>
        <v>5000</v>
      </c>
      <c r="L25" s="2">
        <f t="shared" ca="1" si="1"/>
        <v>5000</v>
      </c>
      <c r="M25" s="2">
        <f t="shared" ca="1" si="1"/>
        <v>5000</v>
      </c>
      <c r="N25" s="2">
        <f t="shared" ca="1" si="1"/>
        <v>5000</v>
      </c>
      <c r="O25" s="2">
        <f t="shared" ca="1" si="1"/>
        <v>5000</v>
      </c>
      <c r="P25" s="2">
        <f t="shared" ca="1" si="1"/>
        <v>5000</v>
      </c>
      <c r="Q25" s="2">
        <f t="shared" ca="1" si="1"/>
        <v>5000</v>
      </c>
      <c r="R25" s="2">
        <f t="shared" ca="1" si="1"/>
        <v>5000</v>
      </c>
      <c r="S25" s="2">
        <f t="shared" ca="1" si="1"/>
        <v>5000</v>
      </c>
      <c r="T25" s="2">
        <f t="shared" ca="1" si="1"/>
        <v>5000</v>
      </c>
      <c r="U25" s="2">
        <f t="shared" ca="1" si="1"/>
        <v>5000</v>
      </c>
      <c r="V25" s="2">
        <f t="shared" ca="1" si="1"/>
        <v>5000</v>
      </c>
      <c r="W25" s="2">
        <f t="shared" ca="1" si="1"/>
        <v>5000</v>
      </c>
      <c r="X25" s="2">
        <f t="shared" ca="1" si="1"/>
        <v>5000</v>
      </c>
      <c r="Y25" s="2">
        <f t="shared" ca="1" si="1"/>
        <v>5000</v>
      </c>
      <c r="Z25" s="2">
        <f t="shared" ca="1" si="1"/>
        <v>5000</v>
      </c>
      <c r="AA25" s="2">
        <f t="shared" ca="1" si="1"/>
        <v>10000</v>
      </c>
      <c r="AB25" s="2">
        <f t="shared" ca="1" si="1"/>
        <v>10000</v>
      </c>
      <c r="AC25" s="2">
        <f t="shared" ca="1" si="1"/>
        <v>5000</v>
      </c>
      <c r="AD25" s="2">
        <f t="shared" ca="1" si="1"/>
        <v>5000</v>
      </c>
      <c r="AE25" s="2">
        <f t="shared" ca="1" si="1"/>
        <v>10000</v>
      </c>
      <c r="AF25" s="2">
        <f t="shared" ca="1" si="1"/>
        <v>10000</v>
      </c>
      <c r="AG25" s="2">
        <f t="shared" ca="1" si="1"/>
        <v>5000</v>
      </c>
      <c r="AH25" s="2">
        <f t="shared" ca="1" si="1"/>
        <v>10000</v>
      </c>
      <c r="AI25" s="2">
        <f t="shared" ca="1" si="1"/>
        <v>10000</v>
      </c>
      <c r="AJ25" s="2">
        <f t="shared" ca="1" si="1"/>
        <v>15000</v>
      </c>
      <c r="AK25" s="2">
        <f t="shared" ca="1" si="1"/>
        <v>10000</v>
      </c>
      <c r="AL25" s="2">
        <f t="shared" ca="1" si="1"/>
        <v>10000</v>
      </c>
      <c r="AM25" s="2">
        <f t="shared" ca="1" si="1"/>
        <v>15000</v>
      </c>
      <c r="AN25" s="2">
        <f t="shared" ca="1" si="1"/>
        <v>10000</v>
      </c>
      <c r="AO25" s="2">
        <f t="shared" ca="1" si="1"/>
        <v>10000</v>
      </c>
      <c r="AP25" s="2">
        <f t="shared" ca="1" si="1"/>
        <v>10000</v>
      </c>
      <c r="AQ25" s="2">
        <f t="shared" ca="1" si="1"/>
        <v>10000</v>
      </c>
      <c r="AR25" s="2">
        <f t="shared" ca="1" si="1"/>
        <v>15000</v>
      </c>
      <c r="AS25" s="2">
        <f t="shared" ca="1" si="1"/>
        <v>10000</v>
      </c>
      <c r="AT25" s="2">
        <f t="shared" ca="1" si="1"/>
        <v>15000</v>
      </c>
      <c r="AU25" s="2">
        <f t="shared" ca="1" si="1"/>
        <v>20000</v>
      </c>
      <c r="AV25" s="2">
        <f t="shared" ca="1" si="1"/>
        <v>15000</v>
      </c>
      <c r="AW25" s="2">
        <f t="shared" ca="1" si="1"/>
        <v>20000</v>
      </c>
      <c r="AX25" s="2">
        <f t="shared" ca="1" si="1"/>
        <v>20000</v>
      </c>
      <c r="AY25" s="2">
        <f t="shared" ca="1" si="1"/>
        <v>20000</v>
      </c>
      <c r="AZ25" s="2">
        <f t="shared" ca="1" si="1"/>
        <v>20000</v>
      </c>
      <c r="BA25" s="2">
        <f t="shared" ca="1" si="1"/>
        <v>20000</v>
      </c>
      <c r="BB25" s="2">
        <f t="shared" ca="1" si="1"/>
        <v>25000</v>
      </c>
      <c r="BC25" s="2">
        <f t="shared" ca="1" si="1"/>
        <v>25000</v>
      </c>
      <c r="BD25" s="2">
        <f t="shared" ca="1" si="1"/>
        <v>25000</v>
      </c>
      <c r="BE25" s="2">
        <f t="shared" ca="1" si="1"/>
        <v>30000</v>
      </c>
      <c r="BF25" s="2">
        <f t="shared" ca="1" si="1"/>
        <v>30000</v>
      </c>
      <c r="BG25" s="2">
        <f t="shared" ca="1" si="1"/>
        <v>30000</v>
      </c>
      <c r="BH25" s="2">
        <f t="shared" ca="1" si="1"/>
        <v>30000</v>
      </c>
      <c r="BI25" s="2">
        <f t="shared" ca="1" si="1"/>
        <v>30000</v>
      </c>
      <c r="BJ25" s="2">
        <f t="shared" ca="1" si="1"/>
        <v>30000</v>
      </c>
      <c r="BK25" s="2">
        <f t="shared" ca="1" si="1"/>
        <v>30000</v>
      </c>
      <c r="BL25" s="2">
        <f t="shared" ca="1" si="1"/>
        <v>30000</v>
      </c>
      <c r="BM25" s="2">
        <f t="shared" ca="1" si="1"/>
        <v>30000</v>
      </c>
      <c r="BN25" s="2">
        <f t="shared" ca="1" si="1"/>
        <v>30000</v>
      </c>
      <c r="BO25" s="2">
        <f t="shared" ca="1" si="1"/>
        <v>30000</v>
      </c>
      <c r="BP25" s="2">
        <f t="shared" ca="1" si="1"/>
        <v>30000</v>
      </c>
      <c r="BQ25" s="2">
        <f t="shared" ca="1" si="1"/>
        <v>30000</v>
      </c>
    </row>
    <row r="26" spans="1:69" outlineLevel="1">
      <c r="A26" s="36"/>
      <c r="B26" s="36"/>
      <c r="C26" s="65"/>
      <c r="D26" s="64"/>
      <c r="E26" s="21" t="s">
        <v>129</v>
      </c>
      <c r="F26" s="21"/>
      <c r="G26" s="21" t="s">
        <v>122</v>
      </c>
      <c r="H26" s="3">
        <f ca="1" xml:space="preserve"> SUM( J26:BQ26 )</f>
        <v>165000</v>
      </c>
      <c r="I26" s="21"/>
      <c r="J26" s="3">
        <f t="shared" ref="J26:BQ26" ca="1" si="2" xml:space="preserve">  IF( J24 + $F22 - J25 &gt; 0, $F23, 0 )</f>
        <v>5000</v>
      </c>
      <c r="K26" s="3">
        <f t="shared" ca="1" si="2"/>
        <v>0</v>
      </c>
      <c r="L26" s="3">
        <f t="shared" ca="1" si="2"/>
        <v>0</v>
      </c>
      <c r="M26" s="3">
        <f t="shared" ca="1" si="2"/>
        <v>0</v>
      </c>
      <c r="N26" s="3">
        <f t="shared" ca="1" si="2"/>
        <v>0</v>
      </c>
      <c r="O26" s="3">
        <f t="shared" ca="1" si="2"/>
        <v>0</v>
      </c>
      <c r="P26" s="3">
        <f t="shared" ca="1" si="2"/>
        <v>5000</v>
      </c>
      <c r="Q26" s="3">
        <f t="shared" ca="1" si="2"/>
        <v>0</v>
      </c>
      <c r="R26" s="3">
        <f t="shared" ca="1" si="2"/>
        <v>0</v>
      </c>
      <c r="S26" s="3">
        <f t="shared" ca="1" si="2"/>
        <v>0</v>
      </c>
      <c r="T26" s="3">
        <f t="shared" ca="1" si="2"/>
        <v>0</v>
      </c>
      <c r="U26" s="3">
        <f t="shared" ca="1" si="2"/>
        <v>0</v>
      </c>
      <c r="V26" s="3">
        <f t="shared" ca="1" si="2"/>
        <v>5000</v>
      </c>
      <c r="W26" s="3">
        <f t="shared" ca="1" si="2"/>
        <v>0</v>
      </c>
      <c r="X26" s="3">
        <f t="shared" ca="1" si="2"/>
        <v>0</v>
      </c>
      <c r="Y26" s="3">
        <f t="shared" ca="1" si="2"/>
        <v>0</v>
      </c>
      <c r="Z26" s="3">
        <f t="shared" ca="1" si="2"/>
        <v>5000</v>
      </c>
      <c r="AA26" s="3">
        <f t="shared" ca="1" si="2"/>
        <v>0</v>
      </c>
      <c r="AB26" s="3">
        <f t="shared" ca="1" si="2"/>
        <v>0</v>
      </c>
      <c r="AC26" s="3">
        <f t="shared" ca="1" si="2"/>
        <v>0</v>
      </c>
      <c r="AD26" s="3">
        <f t="shared" ca="1" si="2"/>
        <v>5000</v>
      </c>
      <c r="AE26" s="3">
        <f t="shared" ca="1" si="2"/>
        <v>0</v>
      </c>
      <c r="AF26" s="3">
        <f t="shared" ca="1" si="2"/>
        <v>0</v>
      </c>
      <c r="AG26" s="3">
        <f t="shared" ca="1" si="2"/>
        <v>5000</v>
      </c>
      <c r="AH26" s="3">
        <f t="shared" ca="1" si="2"/>
        <v>0</v>
      </c>
      <c r="AI26" s="3">
        <f t="shared" ca="1" si="2"/>
        <v>5000</v>
      </c>
      <c r="AJ26" s="3">
        <f t="shared" ca="1" si="2"/>
        <v>0</v>
      </c>
      <c r="AK26" s="3">
        <f t="shared" ca="1" si="2"/>
        <v>0</v>
      </c>
      <c r="AL26" s="3">
        <f t="shared" ca="1" si="2"/>
        <v>5000</v>
      </c>
      <c r="AM26" s="3">
        <f t="shared" ca="1" si="2"/>
        <v>0</v>
      </c>
      <c r="AN26" s="3">
        <f t="shared" ca="1" si="2"/>
        <v>0</v>
      </c>
      <c r="AO26" s="3">
        <f t="shared" ca="1" si="2"/>
        <v>5000</v>
      </c>
      <c r="AP26" s="3">
        <f t="shared" ca="1" si="2"/>
        <v>0</v>
      </c>
      <c r="AQ26" s="3">
        <f t="shared" ca="1" si="2"/>
        <v>5000</v>
      </c>
      <c r="AR26" s="3">
        <f t="shared" ca="1" si="2"/>
        <v>0</v>
      </c>
      <c r="AS26" s="3">
        <f t="shared" ca="1" si="2"/>
        <v>5000</v>
      </c>
      <c r="AT26" s="3">
        <f t="shared" ca="1" si="2"/>
        <v>5000</v>
      </c>
      <c r="AU26" s="3">
        <f t="shared" ca="1" si="2"/>
        <v>0</v>
      </c>
      <c r="AV26" s="3">
        <f t="shared" ca="1" si="2"/>
        <v>5000</v>
      </c>
      <c r="AW26" s="3">
        <f t="shared" ca="1" si="2"/>
        <v>5000</v>
      </c>
      <c r="AX26" s="3">
        <f t="shared" ca="1" si="2"/>
        <v>0</v>
      </c>
      <c r="AY26" s="3">
        <f t="shared" ca="1" si="2"/>
        <v>5000</v>
      </c>
      <c r="AZ26" s="3">
        <f t="shared" ca="1" si="2"/>
        <v>5000</v>
      </c>
      <c r="BA26" s="3">
        <f t="shared" ca="1" si="2"/>
        <v>5000</v>
      </c>
      <c r="BB26" s="3">
        <f t="shared" ca="1" si="2"/>
        <v>5000</v>
      </c>
      <c r="BC26" s="3">
        <f t="shared" ca="1" si="2"/>
        <v>5000</v>
      </c>
      <c r="BD26" s="3">
        <f t="shared" ca="1" si="2"/>
        <v>5000</v>
      </c>
      <c r="BE26" s="3">
        <f t="shared" ca="1" si="2"/>
        <v>5000</v>
      </c>
      <c r="BF26" s="3">
        <f t="shared" ca="1" si="2"/>
        <v>5000</v>
      </c>
      <c r="BG26" s="3">
        <f t="shared" ca="1" si="2"/>
        <v>5000</v>
      </c>
      <c r="BH26" s="3">
        <f t="shared" ca="1" si="2"/>
        <v>5000</v>
      </c>
      <c r="BI26" s="3">
        <f t="shared" ca="1" si="2"/>
        <v>5000</v>
      </c>
      <c r="BJ26" s="3">
        <f t="shared" ca="1" si="2"/>
        <v>5000</v>
      </c>
      <c r="BK26" s="3">
        <f t="shared" ca="1" si="2"/>
        <v>5000</v>
      </c>
      <c r="BL26" s="3">
        <f t="shared" ca="1" si="2"/>
        <v>5000</v>
      </c>
      <c r="BM26" s="3">
        <f t="shared" ca="1" si="2"/>
        <v>5000</v>
      </c>
      <c r="BN26" s="3">
        <f t="shared" ca="1" si="2"/>
        <v>5000</v>
      </c>
      <c r="BO26" s="3">
        <f t="shared" ca="1" si="2"/>
        <v>5000</v>
      </c>
      <c r="BP26" s="3">
        <f t="shared" ca="1" si="2"/>
        <v>5000</v>
      </c>
      <c r="BQ26" s="3">
        <f t="shared" ca="1" si="2"/>
        <v>5000</v>
      </c>
    </row>
    <row r="29" spans="1:69">
      <c r="B29" s="27" t="s">
        <v>195</v>
      </c>
    </row>
    <row r="30" spans="1:69" outlineLevel="1">
      <c r="A30" s="18"/>
      <c r="B30" s="18"/>
      <c r="C30" s="30"/>
      <c r="D30" s="31"/>
      <c r="E30" s="4" t="str">
        <f xml:space="preserve">  InpC!E$33</f>
        <v>Order lead time (months)</v>
      </c>
      <c r="F30" s="4">
        <f xml:space="preserve">  InpC!F$33</f>
        <v>6</v>
      </c>
      <c r="G30" s="4" t="str">
        <f xml:space="preserve">  InpC!G$33</f>
        <v>Months</v>
      </c>
      <c r="M30" s="2"/>
    </row>
    <row r="31" spans="1:69" outlineLevel="1">
      <c r="E31" s="2" t="str">
        <f t="shared" ref="E31:BQ31" si="3" xml:space="preserve">  E$26</f>
        <v>Units ordered</v>
      </c>
      <c r="F31" s="2">
        <f t="shared" si="3"/>
        <v>0</v>
      </c>
      <c r="G31" s="2" t="str">
        <f t="shared" si="3"/>
        <v>Units</v>
      </c>
      <c r="H31" s="2">
        <f t="shared" ca="1" si="3"/>
        <v>165000</v>
      </c>
      <c r="I31" s="2">
        <f t="shared" si="3"/>
        <v>0</v>
      </c>
      <c r="J31" s="2">
        <f t="shared" ca="1" si="3"/>
        <v>5000</v>
      </c>
      <c r="K31" s="2">
        <f t="shared" ca="1" si="3"/>
        <v>0</v>
      </c>
      <c r="L31" s="2">
        <f t="shared" ca="1" si="3"/>
        <v>0</v>
      </c>
      <c r="M31" s="2">
        <f t="shared" ca="1" si="3"/>
        <v>0</v>
      </c>
      <c r="N31" s="2">
        <f t="shared" ca="1" si="3"/>
        <v>0</v>
      </c>
      <c r="O31" s="2">
        <f t="shared" ca="1" si="3"/>
        <v>0</v>
      </c>
      <c r="P31" s="2">
        <f t="shared" ca="1" si="3"/>
        <v>5000</v>
      </c>
      <c r="Q31" s="2">
        <f t="shared" ca="1" si="3"/>
        <v>0</v>
      </c>
      <c r="R31" s="2">
        <f t="shared" ca="1" si="3"/>
        <v>0</v>
      </c>
      <c r="S31" s="2">
        <f t="shared" ca="1" si="3"/>
        <v>0</v>
      </c>
      <c r="T31" s="2">
        <f t="shared" ca="1" si="3"/>
        <v>0</v>
      </c>
      <c r="U31" s="2">
        <f t="shared" ca="1" si="3"/>
        <v>0</v>
      </c>
      <c r="V31" s="2">
        <f t="shared" ca="1" si="3"/>
        <v>5000</v>
      </c>
      <c r="W31" s="2">
        <f t="shared" ca="1" si="3"/>
        <v>0</v>
      </c>
      <c r="X31" s="2">
        <f t="shared" ca="1" si="3"/>
        <v>0</v>
      </c>
      <c r="Y31" s="2">
        <f t="shared" ca="1" si="3"/>
        <v>0</v>
      </c>
      <c r="Z31" s="2">
        <f t="shared" ca="1" si="3"/>
        <v>5000</v>
      </c>
      <c r="AA31" s="2">
        <f t="shared" ca="1" si="3"/>
        <v>0</v>
      </c>
      <c r="AB31" s="2">
        <f t="shared" ca="1" si="3"/>
        <v>0</v>
      </c>
      <c r="AC31" s="2">
        <f t="shared" ca="1" si="3"/>
        <v>0</v>
      </c>
      <c r="AD31" s="2">
        <f t="shared" ca="1" si="3"/>
        <v>5000</v>
      </c>
      <c r="AE31" s="2">
        <f t="shared" ca="1" si="3"/>
        <v>0</v>
      </c>
      <c r="AF31" s="2">
        <f t="shared" ca="1" si="3"/>
        <v>0</v>
      </c>
      <c r="AG31" s="2">
        <f t="shared" ca="1" si="3"/>
        <v>5000</v>
      </c>
      <c r="AH31" s="2">
        <f t="shared" ca="1" si="3"/>
        <v>0</v>
      </c>
      <c r="AI31" s="2">
        <f t="shared" ca="1" si="3"/>
        <v>5000</v>
      </c>
      <c r="AJ31" s="2">
        <f t="shared" ca="1" si="3"/>
        <v>0</v>
      </c>
      <c r="AK31" s="2">
        <f t="shared" ca="1" si="3"/>
        <v>0</v>
      </c>
      <c r="AL31" s="2">
        <f t="shared" ca="1" si="3"/>
        <v>5000</v>
      </c>
      <c r="AM31" s="2">
        <f t="shared" ca="1" si="3"/>
        <v>0</v>
      </c>
      <c r="AN31" s="2">
        <f t="shared" ca="1" si="3"/>
        <v>0</v>
      </c>
      <c r="AO31" s="2">
        <f t="shared" ca="1" si="3"/>
        <v>5000</v>
      </c>
      <c r="AP31" s="2">
        <f t="shared" ca="1" si="3"/>
        <v>0</v>
      </c>
      <c r="AQ31" s="2">
        <f t="shared" ca="1" si="3"/>
        <v>5000</v>
      </c>
      <c r="AR31" s="2">
        <f t="shared" ca="1" si="3"/>
        <v>0</v>
      </c>
      <c r="AS31" s="2">
        <f t="shared" ca="1" si="3"/>
        <v>5000</v>
      </c>
      <c r="AT31" s="2">
        <f t="shared" ca="1" si="3"/>
        <v>5000</v>
      </c>
      <c r="AU31" s="2">
        <f t="shared" ca="1" si="3"/>
        <v>0</v>
      </c>
      <c r="AV31" s="2">
        <f t="shared" ca="1" si="3"/>
        <v>5000</v>
      </c>
      <c r="AW31" s="2">
        <f t="shared" ca="1" si="3"/>
        <v>5000</v>
      </c>
      <c r="AX31" s="2">
        <f t="shared" ca="1" si="3"/>
        <v>0</v>
      </c>
      <c r="AY31" s="2">
        <f t="shared" ca="1" si="3"/>
        <v>5000</v>
      </c>
      <c r="AZ31" s="2">
        <f t="shared" ca="1" si="3"/>
        <v>5000</v>
      </c>
      <c r="BA31" s="2">
        <f t="shared" ca="1" si="3"/>
        <v>5000</v>
      </c>
      <c r="BB31" s="2">
        <f t="shared" ca="1" si="3"/>
        <v>5000</v>
      </c>
      <c r="BC31" s="2">
        <f t="shared" ca="1" si="3"/>
        <v>5000</v>
      </c>
      <c r="BD31" s="2">
        <f t="shared" ca="1" si="3"/>
        <v>5000</v>
      </c>
      <c r="BE31" s="2">
        <f t="shared" ca="1" si="3"/>
        <v>5000</v>
      </c>
      <c r="BF31" s="2">
        <f t="shared" ca="1" si="3"/>
        <v>5000</v>
      </c>
      <c r="BG31" s="2">
        <f t="shared" ca="1" si="3"/>
        <v>5000</v>
      </c>
      <c r="BH31" s="2">
        <f t="shared" ca="1" si="3"/>
        <v>5000</v>
      </c>
      <c r="BI31" s="2">
        <f t="shared" ca="1" si="3"/>
        <v>5000</v>
      </c>
      <c r="BJ31" s="2">
        <f t="shared" ca="1" si="3"/>
        <v>5000</v>
      </c>
      <c r="BK31" s="2">
        <f t="shared" ca="1" si="3"/>
        <v>5000</v>
      </c>
      <c r="BL31" s="2">
        <f t="shared" ca="1" si="3"/>
        <v>5000</v>
      </c>
      <c r="BM31" s="2">
        <f t="shared" ca="1" si="3"/>
        <v>5000</v>
      </c>
      <c r="BN31" s="2">
        <f t="shared" ca="1" si="3"/>
        <v>5000</v>
      </c>
      <c r="BO31" s="2">
        <f t="shared" ca="1" si="3"/>
        <v>5000</v>
      </c>
      <c r="BP31" s="2">
        <f t="shared" ca="1" si="3"/>
        <v>5000</v>
      </c>
      <c r="BQ31" s="2">
        <f t="shared" ca="1" si="3"/>
        <v>5000</v>
      </c>
    </row>
    <row r="32" spans="1:69" outlineLevel="1">
      <c r="A32" s="36"/>
      <c r="B32" s="36"/>
      <c r="C32" s="65"/>
      <c r="D32" s="64"/>
      <c r="E32" s="21" t="s">
        <v>195</v>
      </c>
      <c r="F32" s="21"/>
      <c r="G32" s="21" t="s">
        <v>122</v>
      </c>
      <c r="H32" s="3">
        <f ca="1" xml:space="preserve"> SUM( J32:BQ32 )</f>
        <v>135000</v>
      </c>
      <c r="I32" s="21"/>
      <c r="J32" s="3">
        <f ca="1" xml:space="preserve">  IF( Time!J28 &lt; 1 + $F30, 0, OFFSET( J31, 0, - 1 * ( $F30 ) ) )</f>
        <v>0</v>
      </c>
      <c r="K32" s="3">
        <f ca="1" xml:space="preserve">  IF( Time!K28 &lt; 1 + $F30, 0, OFFSET( K31, 0, - 1 * ( $F30 ) ) )</f>
        <v>0</v>
      </c>
      <c r="L32" s="3">
        <f ca="1" xml:space="preserve">  IF( Time!L28 &lt; 1 + $F30, 0, OFFSET( L31, 0, - 1 * ( $F30 ) ) )</f>
        <v>0</v>
      </c>
      <c r="M32" s="3">
        <f ca="1" xml:space="preserve">  IF( Time!M28 &lt; 1 + $F30, 0, OFFSET( M31, 0, - 1 * ( $F30 ) ) )</f>
        <v>0</v>
      </c>
      <c r="N32" s="3">
        <f ca="1" xml:space="preserve">  IF( Time!N28 &lt; 1 + $F30, 0, OFFSET( N31, 0, - 1 * ( $F30 ) ) )</f>
        <v>0</v>
      </c>
      <c r="O32" s="3">
        <f ca="1" xml:space="preserve">  IF( Time!O28 &lt; 1 + $F30, 0, OFFSET( O31, 0, - 1 * ( $F30 ) ) )</f>
        <v>0</v>
      </c>
      <c r="P32" s="3">
        <f ca="1" xml:space="preserve">  IF( Time!P28 &lt; 1 + $F30, 0, OFFSET( P31, 0, - 1 * ( $F30 ) ) )</f>
        <v>5000</v>
      </c>
      <c r="Q32" s="3">
        <f ca="1" xml:space="preserve">  IF( Time!Q28 &lt; 1 + $F30, 0, OFFSET( Q31, 0, - 1 * ( $F30 ) ) )</f>
        <v>0</v>
      </c>
      <c r="R32" s="3">
        <f ca="1" xml:space="preserve">  IF( Time!R28 &lt; 1 + $F30, 0, OFFSET( R31, 0, - 1 * ( $F30 ) ) )</f>
        <v>0</v>
      </c>
      <c r="S32" s="3">
        <f ca="1" xml:space="preserve">  IF( Time!S28 &lt; 1 + $F30, 0, OFFSET( S31, 0, - 1 * ( $F30 ) ) )</f>
        <v>0</v>
      </c>
      <c r="T32" s="3">
        <f ca="1" xml:space="preserve">  IF( Time!T28 &lt; 1 + $F30, 0, OFFSET( T31, 0, - 1 * ( $F30 ) ) )</f>
        <v>0</v>
      </c>
      <c r="U32" s="3">
        <f ca="1" xml:space="preserve">  IF( Time!U28 &lt; 1 + $F30, 0, OFFSET( U31, 0, - 1 * ( $F30 ) ) )</f>
        <v>0</v>
      </c>
      <c r="V32" s="3">
        <f ca="1" xml:space="preserve">  IF( Time!V28 &lt; 1 + $F30, 0, OFFSET( V31, 0, - 1 * ( $F30 ) ) )</f>
        <v>5000</v>
      </c>
      <c r="W32" s="3">
        <f ca="1" xml:space="preserve">  IF( Time!W28 &lt; 1 + $F30, 0, OFFSET( W31, 0, - 1 * ( $F30 ) ) )</f>
        <v>0</v>
      </c>
      <c r="X32" s="3">
        <f ca="1" xml:space="preserve">  IF( Time!X28 &lt; 1 + $F30, 0, OFFSET( X31, 0, - 1 * ( $F30 ) ) )</f>
        <v>0</v>
      </c>
      <c r="Y32" s="3">
        <f ca="1" xml:space="preserve">  IF( Time!Y28 &lt; 1 + $F30, 0, OFFSET( Y31, 0, - 1 * ( $F30 ) ) )</f>
        <v>0</v>
      </c>
      <c r="Z32" s="3">
        <f ca="1" xml:space="preserve">  IF( Time!Z28 &lt; 1 + $F30, 0, OFFSET( Z31, 0, - 1 * ( $F30 ) ) )</f>
        <v>0</v>
      </c>
      <c r="AA32" s="3">
        <f ca="1" xml:space="preserve">  IF( Time!AA28 &lt; 1 + $F30, 0, OFFSET( AA31, 0, - 1 * ( $F30 ) ) )</f>
        <v>0</v>
      </c>
      <c r="AB32" s="3">
        <f ca="1" xml:space="preserve">  IF( Time!AB28 &lt; 1 + $F30, 0, OFFSET( AB31, 0, - 1 * ( $F30 ) ) )</f>
        <v>5000</v>
      </c>
      <c r="AC32" s="3">
        <f ca="1" xml:space="preserve">  IF( Time!AC28 &lt; 1 + $F30, 0, OFFSET( AC31, 0, - 1 * ( $F30 ) ) )</f>
        <v>0</v>
      </c>
      <c r="AD32" s="3">
        <f ca="1" xml:space="preserve">  IF( Time!AD28 &lt; 1 + $F30, 0, OFFSET( AD31, 0, - 1 * ( $F30 ) ) )</f>
        <v>0</v>
      </c>
      <c r="AE32" s="3">
        <f ca="1" xml:space="preserve">  IF( Time!AE28 &lt; 1 + $F30, 0, OFFSET( AE31, 0, - 1 * ( $F30 ) ) )</f>
        <v>0</v>
      </c>
      <c r="AF32" s="3">
        <f ca="1" xml:space="preserve">  IF( Time!AF28 &lt; 1 + $F30, 0, OFFSET( AF31, 0, - 1 * ( $F30 ) ) )</f>
        <v>5000</v>
      </c>
      <c r="AG32" s="3">
        <f ca="1" xml:space="preserve">  IF( Time!AG28 &lt; 1 + $F30, 0, OFFSET( AG31, 0, - 1 * ( $F30 ) ) )</f>
        <v>0</v>
      </c>
      <c r="AH32" s="3">
        <f ca="1" xml:space="preserve">  IF( Time!AH28 &lt; 1 + $F30, 0, OFFSET( AH31, 0, - 1 * ( $F30 ) ) )</f>
        <v>0</v>
      </c>
      <c r="AI32" s="3">
        <f ca="1" xml:space="preserve">  IF( Time!AI28 &lt; 1 + $F30, 0, OFFSET( AI31, 0, - 1 * ( $F30 ) ) )</f>
        <v>0</v>
      </c>
      <c r="AJ32" s="3">
        <f ca="1" xml:space="preserve">  IF( Time!AJ28 &lt; 1 + $F30, 0, OFFSET( AJ31, 0, - 1 * ( $F30 ) ) )</f>
        <v>5000</v>
      </c>
      <c r="AK32" s="3">
        <f ca="1" xml:space="preserve">  IF( Time!AK28 &lt; 1 + $F30, 0, OFFSET( AK31, 0, - 1 * ( $F30 ) ) )</f>
        <v>0</v>
      </c>
      <c r="AL32" s="3">
        <f ca="1" xml:space="preserve">  IF( Time!AL28 &lt; 1 + $F30, 0, OFFSET( AL31, 0, - 1 * ( $F30 ) ) )</f>
        <v>0</v>
      </c>
      <c r="AM32" s="3">
        <f ca="1" xml:space="preserve">  IF( Time!AM28 &lt; 1 + $F30, 0, OFFSET( AM31, 0, - 1 * ( $F30 ) ) )</f>
        <v>5000</v>
      </c>
      <c r="AN32" s="3">
        <f ca="1" xml:space="preserve">  IF( Time!AN28 &lt; 1 + $F30, 0, OFFSET( AN31, 0, - 1 * ( $F30 ) ) )</f>
        <v>0</v>
      </c>
      <c r="AO32" s="3">
        <f ca="1" xml:space="preserve">  IF( Time!AO28 &lt; 1 + $F30, 0, OFFSET( AO31, 0, - 1 * ( $F30 ) ) )</f>
        <v>5000</v>
      </c>
      <c r="AP32" s="3">
        <f ca="1" xml:space="preserve">  IF( Time!AP28 &lt; 1 + $F30, 0, OFFSET( AP31, 0, - 1 * ( $F30 ) ) )</f>
        <v>0</v>
      </c>
      <c r="AQ32" s="3">
        <f ca="1" xml:space="preserve">  IF( Time!AQ28 &lt; 1 + $F30, 0, OFFSET( AQ31, 0, - 1 * ( $F30 ) ) )</f>
        <v>0</v>
      </c>
      <c r="AR32" s="3">
        <f ca="1" xml:space="preserve">  IF( Time!AR28 &lt; 1 + $F30, 0, OFFSET( AR31, 0, - 1 * ( $F30 ) ) )</f>
        <v>5000</v>
      </c>
      <c r="AS32" s="3">
        <f ca="1" xml:space="preserve">  IF( Time!AS28 &lt; 1 + $F30, 0, OFFSET( AS31, 0, - 1 * ( $F30 ) ) )</f>
        <v>0</v>
      </c>
      <c r="AT32" s="3">
        <f ca="1" xml:space="preserve">  IF( Time!AT28 &lt; 1 + $F30, 0, OFFSET( AT31, 0, - 1 * ( $F30 ) ) )</f>
        <v>0</v>
      </c>
      <c r="AU32" s="3">
        <f ca="1" xml:space="preserve">  IF( Time!AU28 &lt; 1 + $F30, 0, OFFSET( AU31, 0, - 1 * ( $F30 ) ) )</f>
        <v>5000</v>
      </c>
      <c r="AV32" s="3">
        <f ca="1" xml:space="preserve">  IF( Time!AV28 &lt; 1 + $F30, 0, OFFSET( AV31, 0, - 1 * ( $F30 ) ) )</f>
        <v>0</v>
      </c>
      <c r="AW32" s="3">
        <f ca="1" xml:space="preserve">  IF( Time!AW28 &lt; 1 + $F30, 0, OFFSET( AW31, 0, - 1 * ( $F30 ) ) )</f>
        <v>5000</v>
      </c>
      <c r="AX32" s="3">
        <f ca="1" xml:space="preserve">  IF( Time!AX28 &lt; 1 + $F30, 0, OFFSET( AX31, 0, - 1 * ( $F30 ) ) )</f>
        <v>0</v>
      </c>
      <c r="AY32" s="3">
        <f ca="1" xml:space="preserve">  IF( Time!AY28 &lt; 1 + $F30, 0, OFFSET( AY31, 0, - 1 * ( $F30 ) ) )</f>
        <v>5000</v>
      </c>
      <c r="AZ32" s="3">
        <f ca="1" xml:space="preserve">  IF( Time!AZ28 &lt; 1 + $F30, 0, OFFSET( AZ31, 0, - 1 * ( $F30 ) ) )</f>
        <v>5000</v>
      </c>
      <c r="BA32" s="3">
        <f ca="1" xml:space="preserve">  IF( Time!BA28 &lt; 1 + $F30, 0, OFFSET( BA31, 0, - 1 * ( $F30 ) ) )</f>
        <v>0</v>
      </c>
      <c r="BB32" s="3">
        <f ca="1" xml:space="preserve">  IF( Time!BB28 &lt; 1 + $F30, 0, OFFSET( BB31, 0, - 1 * ( $F30 ) ) )</f>
        <v>5000</v>
      </c>
      <c r="BC32" s="3">
        <f ca="1" xml:space="preserve">  IF( Time!BC28 &lt; 1 + $F30, 0, OFFSET( BC31, 0, - 1 * ( $F30 ) ) )</f>
        <v>5000</v>
      </c>
      <c r="BD32" s="3">
        <f ca="1" xml:space="preserve">  IF( Time!BD28 &lt; 1 + $F30, 0, OFFSET( BD31, 0, - 1 * ( $F30 ) ) )</f>
        <v>0</v>
      </c>
      <c r="BE32" s="3">
        <f ca="1" xml:space="preserve">  IF( Time!BE28 &lt; 1 + $F30, 0, OFFSET( BE31, 0, - 1 * ( $F30 ) ) )</f>
        <v>5000</v>
      </c>
      <c r="BF32" s="3">
        <f ca="1" xml:space="preserve">  IF( Time!BF28 &lt; 1 + $F30, 0, OFFSET( BF31, 0, - 1 * ( $F30 ) ) )</f>
        <v>5000</v>
      </c>
      <c r="BG32" s="3">
        <f ca="1" xml:space="preserve">  IF( Time!BG28 &lt; 1 + $F30, 0, OFFSET( BG31, 0, - 1 * ( $F30 ) ) )</f>
        <v>5000</v>
      </c>
      <c r="BH32" s="3">
        <f ca="1" xml:space="preserve">  IF( Time!BH28 &lt; 1 + $F30, 0, OFFSET( BH31, 0, - 1 * ( $F30 ) ) )</f>
        <v>5000</v>
      </c>
      <c r="BI32" s="3">
        <f ca="1" xml:space="preserve">  IF( Time!BI28 &lt; 1 + $F30, 0, OFFSET( BI31, 0, - 1 * ( $F30 ) ) )</f>
        <v>5000</v>
      </c>
      <c r="BJ32" s="3">
        <f ca="1" xml:space="preserve">  IF( Time!BJ28 &lt; 1 + $F30, 0, OFFSET( BJ31, 0, - 1 * ( $F30 ) ) )</f>
        <v>5000</v>
      </c>
      <c r="BK32" s="3">
        <f ca="1" xml:space="preserve">  IF( Time!BK28 &lt; 1 + $F30, 0, OFFSET( BK31, 0, - 1 * ( $F30 ) ) )</f>
        <v>5000</v>
      </c>
      <c r="BL32" s="3">
        <f ca="1" xml:space="preserve">  IF( Time!BL28 &lt; 1 + $F30, 0, OFFSET( BL31, 0, - 1 * ( $F30 ) ) )</f>
        <v>5000</v>
      </c>
      <c r="BM32" s="3">
        <f ca="1" xml:space="preserve">  IF( Time!BM28 &lt; 1 + $F30, 0, OFFSET( BM31, 0, - 1 * ( $F30 ) ) )</f>
        <v>5000</v>
      </c>
      <c r="BN32" s="3">
        <f ca="1" xml:space="preserve">  IF( Time!BN28 &lt; 1 + $F30, 0, OFFSET( BN31, 0, - 1 * ( $F30 ) ) )</f>
        <v>5000</v>
      </c>
      <c r="BO32" s="3">
        <f ca="1" xml:space="preserve">  IF( Time!BO28 &lt; 1 + $F30, 0, OFFSET( BO31, 0, - 1 * ( $F30 ) ) )</f>
        <v>5000</v>
      </c>
      <c r="BP32" s="3">
        <f ca="1" xml:space="preserve">  IF( Time!BP28 &lt; 1 + $F30, 0, OFFSET( BP31, 0, - 1 * ( $F30 ) ) )</f>
        <v>5000</v>
      </c>
      <c r="BQ32" s="3">
        <f ca="1" xml:space="preserve">  IF( Time!BQ28 &lt; 1 + $F30, 0, OFFSET( BQ31, 0, - 1 * ( $F30 ) ) )</f>
        <v>5000</v>
      </c>
    </row>
    <row r="35" spans="1:69">
      <c r="B35" s="27" t="s">
        <v>171</v>
      </c>
    </row>
    <row r="36" spans="1:69" s="85" customFormat="1">
      <c r="A36" s="59"/>
      <c r="B36" s="59"/>
      <c r="C36" s="86"/>
      <c r="D36" s="84"/>
      <c r="E36" s="40" t="str">
        <f xml:space="preserve">  InpC!E$39</f>
        <v>Opening Units on order</v>
      </c>
      <c r="F36" s="40">
        <f xml:space="preserve">  InpC!F$39</f>
        <v>0</v>
      </c>
      <c r="G36" s="40" t="str">
        <f xml:space="preserve">  InpC!G$39</f>
        <v>Units</v>
      </c>
      <c r="M36" s="87"/>
    </row>
    <row r="37" spans="1:69">
      <c r="A37" s="18"/>
      <c r="B37" s="18"/>
      <c r="C37" s="30"/>
      <c r="D37" s="31"/>
      <c r="E37" s="10" t="str">
        <f xml:space="preserve">  Time!E$28</f>
        <v>Period number</v>
      </c>
      <c r="F37" s="10">
        <f xml:space="preserve">  Time!F$28</f>
        <v>0</v>
      </c>
      <c r="G37" s="10" t="str">
        <f xml:space="preserve">  Time!G$28</f>
        <v>Counter</v>
      </c>
      <c r="H37" s="10">
        <f xml:space="preserve">  Time!H$28</f>
        <v>0</v>
      </c>
      <c r="I37" s="10">
        <f xml:space="preserve">  Time!I$28</f>
        <v>0</v>
      </c>
      <c r="J37" s="10">
        <f xml:space="preserve">  Time!J$28</f>
        <v>1</v>
      </c>
      <c r="K37" s="10">
        <f xml:space="preserve">  Time!K$28</f>
        <v>2</v>
      </c>
      <c r="L37" s="10">
        <f xml:space="preserve">  Time!L$28</f>
        <v>3</v>
      </c>
      <c r="M37" s="10">
        <f xml:space="preserve">  Time!M$28</f>
        <v>4</v>
      </c>
      <c r="N37" s="10">
        <f xml:space="preserve">  Time!N$28</f>
        <v>5</v>
      </c>
      <c r="O37" s="10">
        <f xml:space="preserve">  Time!O$28</f>
        <v>6</v>
      </c>
      <c r="P37" s="10">
        <f xml:space="preserve">  Time!P$28</f>
        <v>7</v>
      </c>
      <c r="Q37" s="10">
        <f xml:space="preserve">  Time!Q$28</f>
        <v>8</v>
      </c>
      <c r="R37" s="10">
        <f xml:space="preserve">  Time!R$28</f>
        <v>9</v>
      </c>
      <c r="S37" s="10">
        <f xml:space="preserve">  Time!S$28</f>
        <v>10</v>
      </c>
      <c r="T37" s="10">
        <f xml:space="preserve">  Time!T$28</f>
        <v>11</v>
      </c>
      <c r="U37" s="10">
        <f xml:space="preserve">  Time!U$28</f>
        <v>12</v>
      </c>
      <c r="V37" s="10">
        <f xml:space="preserve">  Time!V$28</f>
        <v>13</v>
      </c>
      <c r="W37" s="10">
        <f xml:space="preserve">  Time!W$28</f>
        <v>14</v>
      </c>
      <c r="X37" s="10">
        <f xml:space="preserve">  Time!X$28</f>
        <v>15</v>
      </c>
      <c r="Y37" s="10">
        <f xml:space="preserve">  Time!Y$28</f>
        <v>16</v>
      </c>
      <c r="Z37" s="10">
        <f xml:space="preserve">  Time!Z$28</f>
        <v>17</v>
      </c>
      <c r="AA37" s="10">
        <f xml:space="preserve">  Time!AA$28</f>
        <v>18</v>
      </c>
      <c r="AB37" s="10">
        <f xml:space="preserve">  Time!AB$28</f>
        <v>19</v>
      </c>
      <c r="AC37" s="10">
        <f xml:space="preserve">  Time!AC$28</f>
        <v>20</v>
      </c>
      <c r="AD37" s="10">
        <f xml:space="preserve">  Time!AD$28</f>
        <v>21</v>
      </c>
      <c r="AE37" s="10">
        <f xml:space="preserve">  Time!AE$28</f>
        <v>22</v>
      </c>
      <c r="AF37" s="10">
        <f xml:space="preserve">  Time!AF$28</f>
        <v>23</v>
      </c>
      <c r="AG37" s="10">
        <f xml:space="preserve">  Time!AG$28</f>
        <v>24</v>
      </c>
      <c r="AH37" s="10">
        <f xml:space="preserve">  Time!AH$28</f>
        <v>25</v>
      </c>
      <c r="AI37" s="10">
        <f xml:space="preserve">  Time!AI$28</f>
        <v>26</v>
      </c>
      <c r="AJ37" s="10">
        <f xml:space="preserve">  Time!AJ$28</f>
        <v>27</v>
      </c>
      <c r="AK37" s="10">
        <f xml:space="preserve">  Time!AK$28</f>
        <v>28</v>
      </c>
      <c r="AL37" s="10">
        <f xml:space="preserve">  Time!AL$28</f>
        <v>29</v>
      </c>
      <c r="AM37" s="10">
        <f xml:space="preserve">  Time!AM$28</f>
        <v>30</v>
      </c>
      <c r="AN37" s="10">
        <f xml:space="preserve">  Time!AN$28</f>
        <v>31</v>
      </c>
      <c r="AO37" s="10">
        <f xml:space="preserve">  Time!AO$28</f>
        <v>32</v>
      </c>
      <c r="AP37" s="10">
        <f xml:space="preserve">  Time!AP$28</f>
        <v>33</v>
      </c>
      <c r="AQ37" s="10">
        <f xml:space="preserve">  Time!AQ$28</f>
        <v>34</v>
      </c>
      <c r="AR37" s="10">
        <f xml:space="preserve">  Time!AR$28</f>
        <v>35</v>
      </c>
      <c r="AS37" s="10">
        <f xml:space="preserve">  Time!AS$28</f>
        <v>36</v>
      </c>
      <c r="AT37" s="10">
        <f xml:space="preserve">  Time!AT$28</f>
        <v>37</v>
      </c>
      <c r="AU37" s="10">
        <f xml:space="preserve">  Time!AU$28</f>
        <v>38</v>
      </c>
      <c r="AV37" s="10">
        <f xml:space="preserve">  Time!AV$28</f>
        <v>39</v>
      </c>
      <c r="AW37" s="10">
        <f xml:space="preserve">  Time!AW$28</f>
        <v>40</v>
      </c>
      <c r="AX37" s="10">
        <f xml:space="preserve">  Time!AX$28</f>
        <v>41</v>
      </c>
      <c r="AY37" s="10">
        <f xml:space="preserve">  Time!AY$28</f>
        <v>42</v>
      </c>
      <c r="AZ37" s="10">
        <f xml:space="preserve">  Time!AZ$28</f>
        <v>43</v>
      </c>
      <c r="BA37" s="10">
        <f xml:space="preserve">  Time!BA$28</f>
        <v>44</v>
      </c>
      <c r="BB37" s="10">
        <f xml:space="preserve">  Time!BB$28</f>
        <v>45</v>
      </c>
      <c r="BC37" s="10">
        <f xml:space="preserve">  Time!BC$28</f>
        <v>46</v>
      </c>
      <c r="BD37" s="10">
        <f xml:space="preserve">  Time!BD$28</f>
        <v>47</v>
      </c>
      <c r="BE37" s="10">
        <f xml:space="preserve">  Time!BE$28</f>
        <v>48</v>
      </c>
      <c r="BF37" s="10">
        <f xml:space="preserve">  Time!BF$28</f>
        <v>49</v>
      </c>
      <c r="BG37" s="10">
        <f xml:space="preserve">  Time!BG$28</f>
        <v>50</v>
      </c>
      <c r="BH37" s="10">
        <f xml:space="preserve">  Time!BH$28</f>
        <v>51</v>
      </c>
      <c r="BI37" s="10">
        <f xml:space="preserve">  Time!BI$28</f>
        <v>52</v>
      </c>
      <c r="BJ37" s="10">
        <f xml:space="preserve">  Time!BJ$28</f>
        <v>53</v>
      </c>
      <c r="BK37" s="10">
        <f xml:space="preserve">  Time!BK$28</f>
        <v>54</v>
      </c>
      <c r="BL37" s="10">
        <f xml:space="preserve">  Time!BL$28</f>
        <v>55</v>
      </c>
      <c r="BM37" s="10">
        <f xml:space="preserve">  Time!BM$28</f>
        <v>56</v>
      </c>
      <c r="BN37" s="10">
        <f xml:space="preserve">  Time!BN$28</f>
        <v>57</v>
      </c>
      <c r="BO37" s="10">
        <f xml:space="preserve">  Time!BO$28</f>
        <v>58</v>
      </c>
      <c r="BP37" s="10">
        <f xml:space="preserve">  Time!BP$28</f>
        <v>59</v>
      </c>
      <c r="BQ37" s="10">
        <f xml:space="preserve">  Time!BQ$28</f>
        <v>60</v>
      </c>
    </row>
    <row r="38" spans="1:69">
      <c r="E38" s="46" t="s">
        <v>223</v>
      </c>
      <c r="G38" s="46" t="s">
        <v>122</v>
      </c>
      <c r="J38" s="2">
        <f t="shared" ref="J38:BQ38" si="4" xml:space="preserve">  I41</f>
        <v>0</v>
      </c>
      <c r="K38" s="2">
        <f t="shared" ca="1" si="4"/>
        <v>5000</v>
      </c>
      <c r="L38" s="2">
        <f t="shared" ca="1" si="4"/>
        <v>5000</v>
      </c>
      <c r="M38" s="2">
        <f t="shared" ca="1" si="4"/>
        <v>5000</v>
      </c>
      <c r="N38" s="2">
        <f t="shared" ca="1" si="4"/>
        <v>5000</v>
      </c>
      <c r="O38" s="2">
        <f t="shared" ca="1" si="4"/>
        <v>5000</v>
      </c>
      <c r="P38" s="2">
        <f t="shared" ca="1" si="4"/>
        <v>5000</v>
      </c>
      <c r="Q38" s="2">
        <f t="shared" ca="1" si="4"/>
        <v>5000</v>
      </c>
      <c r="R38" s="2">
        <f t="shared" ca="1" si="4"/>
        <v>5000</v>
      </c>
      <c r="S38" s="2">
        <f t="shared" ca="1" si="4"/>
        <v>5000</v>
      </c>
      <c r="T38" s="2">
        <f t="shared" ca="1" si="4"/>
        <v>5000</v>
      </c>
      <c r="U38" s="2">
        <f t="shared" ca="1" si="4"/>
        <v>5000</v>
      </c>
      <c r="V38" s="2">
        <f t="shared" ca="1" si="4"/>
        <v>5000</v>
      </c>
      <c r="W38" s="2">
        <f t="shared" ca="1" si="4"/>
        <v>5000</v>
      </c>
      <c r="X38" s="2">
        <f t="shared" ca="1" si="4"/>
        <v>5000</v>
      </c>
      <c r="Y38" s="2">
        <f t="shared" ca="1" si="4"/>
        <v>5000</v>
      </c>
      <c r="Z38" s="2">
        <f t="shared" ca="1" si="4"/>
        <v>5000</v>
      </c>
      <c r="AA38" s="2">
        <f t="shared" ca="1" si="4"/>
        <v>10000</v>
      </c>
      <c r="AB38" s="2">
        <f t="shared" ca="1" si="4"/>
        <v>10000</v>
      </c>
      <c r="AC38" s="2">
        <f t="shared" ca="1" si="4"/>
        <v>5000</v>
      </c>
      <c r="AD38" s="2">
        <f t="shared" ca="1" si="4"/>
        <v>5000</v>
      </c>
      <c r="AE38" s="2">
        <f t="shared" ca="1" si="4"/>
        <v>10000</v>
      </c>
      <c r="AF38" s="2">
        <f t="shared" ca="1" si="4"/>
        <v>10000</v>
      </c>
      <c r="AG38" s="2">
        <f t="shared" ca="1" si="4"/>
        <v>5000</v>
      </c>
      <c r="AH38" s="2">
        <f t="shared" ca="1" si="4"/>
        <v>10000</v>
      </c>
      <c r="AI38" s="2">
        <f t="shared" ca="1" si="4"/>
        <v>10000</v>
      </c>
      <c r="AJ38" s="2">
        <f t="shared" ca="1" si="4"/>
        <v>15000</v>
      </c>
      <c r="AK38" s="2">
        <f t="shared" ca="1" si="4"/>
        <v>10000</v>
      </c>
      <c r="AL38" s="2">
        <f t="shared" ca="1" si="4"/>
        <v>10000</v>
      </c>
      <c r="AM38" s="2">
        <f t="shared" ca="1" si="4"/>
        <v>15000</v>
      </c>
      <c r="AN38" s="2">
        <f t="shared" ca="1" si="4"/>
        <v>10000</v>
      </c>
      <c r="AO38" s="2">
        <f t="shared" ca="1" si="4"/>
        <v>10000</v>
      </c>
      <c r="AP38" s="2">
        <f t="shared" ca="1" si="4"/>
        <v>10000</v>
      </c>
      <c r="AQ38" s="2">
        <f t="shared" ca="1" si="4"/>
        <v>10000</v>
      </c>
      <c r="AR38" s="2">
        <f t="shared" ca="1" si="4"/>
        <v>15000</v>
      </c>
      <c r="AS38" s="2">
        <f t="shared" ca="1" si="4"/>
        <v>10000</v>
      </c>
      <c r="AT38" s="2">
        <f t="shared" ca="1" si="4"/>
        <v>15000</v>
      </c>
      <c r="AU38" s="2">
        <f t="shared" ca="1" si="4"/>
        <v>20000</v>
      </c>
      <c r="AV38" s="2">
        <f t="shared" ca="1" si="4"/>
        <v>15000</v>
      </c>
      <c r="AW38" s="2">
        <f t="shared" ca="1" si="4"/>
        <v>20000</v>
      </c>
      <c r="AX38" s="2">
        <f t="shared" ca="1" si="4"/>
        <v>20000</v>
      </c>
      <c r="AY38" s="2">
        <f t="shared" ca="1" si="4"/>
        <v>20000</v>
      </c>
      <c r="AZ38" s="2">
        <f t="shared" ca="1" si="4"/>
        <v>20000</v>
      </c>
      <c r="BA38" s="2">
        <f t="shared" ca="1" si="4"/>
        <v>20000</v>
      </c>
      <c r="BB38" s="2">
        <f t="shared" ca="1" si="4"/>
        <v>25000</v>
      </c>
      <c r="BC38" s="2">
        <f t="shared" ca="1" si="4"/>
        <v>25000</v>
      </c>
      <c r="BD38" s="2">
        <f t="shared" ca="1" si="4"/>
        <v>25000</v>
      </c>
      <c r="BE38" s="2">
        <f t="shared" ca="1" si="4"/>
        <v>30000</v>
      </c>
      <c r="BF38" s="2">
        <f t="shared" ca="1" si="4"/>
        <v>30000</v>
      </c>
      <c r="BG38" s="2">
        <f t="shared" ca="1" si="4"/>
        <v>30000</v>
      </c>
      <c r="BH38" s="2">
        <f t="shared" ca="1" si="4"/>
        <v>30000</v>
      </c>
      <c r="BI38" s="2">
        <f t="shared" ca="1" si="4"/>
        <v>30000</v>
      </c>
      <c r="BJ38" s="2">
        <f t="shared" ca="1" si="4"/>
        <v>30000</v>
      </c>
      <c r="BK38" s="2">
        <f t="shared" ca="1" si="4"/>
        <v>30000</v>
      </c>
      <c r="BL38" s="2">
        <f t="shared" ca="1" si="4"/>
        <v>30000</v>
      </c>
      <c r="BM38" s="2">
        <f t="shared" ca="1" si="4"/>
        <v>30000</v>
      </c>
      <c r="BN38" s="2">
        <f t="shared" ca="1" si="4"/>
        <v>30000</v>
      </c>
      <c r="BO38" s="2">
        <f t="shared" ca="1" si="4"/>
        <v>30000</v>
      </c>
      <c r="BP38" s="2">
        <f t="shared" ca="1" si="4"/>
        <v>30000</v>
      </c>
      <c r="BQ38" s="2">
        <f t="shared" ca="1" si="4"/>
        <v>30000</v>
      </c>
    </row>
    <row r="39" spans="1:69">
      <c r="D39" s="88" t="s">
        <v>216</v>
      </c>
      <c r="E39" s="2" t="str">
        <f t="shared" ref="E39:BQ39" si="5" xml:space="preserve">  E$26</f>
        <v>Units ordered</v>
      </c>
      <c r="F39" s="2">
        <f t="shared" si="5"/>
        <v>0</v>
      </c>
      <c r="G39" s="2" t="str">
        <f t="shared" si="5"/>
        <v>Units</v>
      </c>
      <c r="H39" s="2">
        <f t="shared" ca="1" si="5"/>
        <v>165000</v>
      </c>
      <c r="I39" s="2">
        <f t="shared" si="5"/>
        <v>0</v>
      </c>
      <c r="J39" s="2">
        <f t="shared" ca="1" si="5"/>
        <v>5000</v>
      </c>
      <c r="K39" s="2">
        <f t="shared" ca="1" si="5"/>
        <v>0</v>
      </c>
      <c r="L39" s="2">
        <f t="shared" ca="1" si="5"/>
        <v>0</v>
      </c>
      <c r="M39" s="2">
        <f t="shared" ca="1" si="5"/>
        <v>0</v>
      </c>
      <c r="N39" s="2">
        <f t="shared" ca="1" si="5"/>
        <v>0</v>
      </c>
      <c r="O39" s="2">
        <f t="shared" ca="1" si="5"/>
        <v>0</v>
      </c>
      <c r="P39" s="2">
        <f t="shared" ca="1" si="5"/>
        <v>5000</v>
      </c>
      <c r="Q39" s="2">
        <f t="shared" ca="1" si="5"/>
        <v>0</v>
      </c>
      <c r="R39" s="2">
        <f t="shared" ca="1" si="5"/>
        <v>0</v>
      </c>
      <c r="S39" s="2">
        <f t="shared" ca="1" si="5"/>
        <v>0</v>
      </c>
      <c r="T39" s="2">
        <f t="shared" ca="1" si="5"/>
        <v>0</v>
      </c>
      <c r="U39" s="2">
        <f t="shared" ca="1" si="5"/>
        <v>0</v>
      </c>
      <c r="V39" s="2">
        <f t="shared" ca="1" si="5"/>
        <v>5000</v>
      </c>
      <c r="W39" s="2">
        <f t="shared" ca="1" si="5"/>
        <v>0</v>
      </c>
      <c r="X39" s="2">
        <f t="shared" ca="1" si="5"/>
        <v>0</v>
      </c>
      <c r="Y39" s="2">
        <f t="shared" ca="1" si="5"/>
        <v>0</v>
      </c>
      <c r="Z39" s="2">
        <f t="shared" ca="1" si="5"/>
        <v>5000</v>
      </c>
      <c r="AA39" s="2">
        <f t="shared" ca="1" si="5"/>
        <v>0</v>
      </c>
      <c r="AB39" s="2">
        <f t="shared" ca="1" si="5"/>
        <v>0</v>
      </c>
      <c r="AC39" s="2">
        <f t="shared" ca="1" si="5"/>
        <v>0</v>
      </c>
      <c r="AD39" s="2">
        <f t="shared" ca="1" si="5"/>
        <v>5000</v>
      </c>
      <c r="AE39" s="2">
        <f t="shared" ca="1" si="5"/>
        <v>0</v>
      </c>
      <c r="AF39" s="2">
        <f t="shared" ca="1" si="5"/>
        <v>0</v>
      </c>
      <c r="AG39" s="2">
        <f t="shared" ca="1" si="5"/>
        <v>5000</v>
      </c>
      <c r="AH39" s="2">
        <f t="shared" ca="1" si="5"/>
        <v>0</v>
      </c>
      <c r="AI39" s="2">
        <f t="shared" ca="1" si="5"/>
        <v>5000</v>
      </c>
      <c r="AJ39" s="2">
        <f t="shared" ca="1" si="5"/>
        <v>0</v>
      </c>
      <c r="AK39" s="2">
        <f t="shared" ca="1" si="5"/>
        <v>0</v>
      </c>
      <c r="AL39" s="2">
        <f t="shared" ca="1" si="5"/>
        <v>5000</v>
      </c>
      <c r="AM39" s="2">
        <f t="shared" ca="1" si="5"/>
        <v>0</v>
      </c>
      <c r="AN39" s="2">
        <f t="shared" ca="1" si="5"/>
        <v>0</v>
      </c>
      <c r="AO39" s="2">
        <f t="shared" ca="1" si="5"/>
        <v>5000</v>
      </c>
      <c r="AP39" s="2">
        <f t="shared" ca="1" si="5"/>
        <v>0</v>
      </c>
      <c r="AQ39" s="2">
        <f t="shared" ca="1" si="5"/>
        <v>5000</v>
      </c>
      <c r="AR39" s="2">
        <f t="shared" ca="1" si="5"/>
        <v>0</v>
      </c>
      <c r="AS39" s="2">
        <f t="shared" ca="1" si="5"/>
        <v>5000</v>
      </c>
      <c r="AT39" s="2">
        <f t="shared" ca="1" si="5"/>
        <v>5000</v>
      </c>
      <c r="AU39" s="2">
        <f t="shared" ca="1" si="5"/>
        <v>0</v>
      </c>
      <c r="AV39" s="2">
        <f t="shared" ca="1" si="5"/>
        <v>5000</v>
      </c>
      <c r="AW39" s="2">
        <f t="shared" ca="1" si="5"/>
        <v>5000</v>
      </c>
      <c r="AX39" s="2">
        <f t="shared" ca="1" si="5"/>
        <v>0</v>
      </c>
      <c r="AY39" s="2">
        <f t="shared" ca="1" si="5"/>
        <v>5000</v>
      </c>
      <c r="AZ39" s="2">
        <f t="shared" ca="1" si="5"/>
        <v>5000</v>
      </c>
      <c r="BA39" s="2">
        <f t="shared" ca="1" si="5"/>
        <v>5000</v>
      </c>
      <c r="BB39" s="2">
        <f t="shared" ca="1" si="5"/>
        <v>5000</v>
      </c>
      <c r="BC39" s="2">
        <f t="shared" ca="1" si="5"/>
        <v>5000</v>
      </c>
      <c r="BD39" s="2">
        <f t="shared" ca="1" si="5"/>
        <v>5000</v>
      </c>
      <c r="BE39" s="2">
        <f t="shared" ca="1" si="5"/>
        <v>5000</v>
      </c>
      <c r="BF39" s="2">
        <f t="shared" ca="1" si="5"/>
        <v>5000</v>
      </c>
      <c r="BG39" s="2">
        <f t="shared" ca="1" si="5"/>
        <v>5000</v>
      </c>
      <c r="BH39" s="2">
        <f t="shared" ca="1" si="5"/>
        <v>5000</v>
      </c>
      <c r="BI39" s="2">
        <f t="shared" ca="1" si="5"/>
        <v>5000</v>
      </c>
      <c r="BJ39" s="2">
        <f t="shared" ca="1" si="5"/>
        <v>5000</v>
      </c>
      <c r="BK39" s="2">
        <f t="shared" ca="1" si="5"/>
        <v>5000</v>
      </c>
      <c r="BL39" s="2">
        <f t="shared" ca="1" si="5"/>
        <v>5000</v>
      </c>
      <c r="BM39" s="2">
        <f t="shared" ca="1" si="5"/>
        <v>5000</v>
      </c>
      <c r="BN39" s="2">
        <f t="shared" ca="1" si="5"/>
        <v>5000</v>
      </c>
      <c r="BO39" s="2">
        <f t="shared" ca="1" si="5"/>
        <v>5000</v>
      </c>
      <c r="BP39" s="2">
        <f t="shared" ca="1" si="5"/>
        <v>5000</v>
      </c>
      <c r="BQ39" s="2">
        <f t="shared" ca="1" si="5"/>
        <v>5000</v>
      </c>
    </row>
    <row r="40" spans="1:69">
      <c r="D40" s="88" t="s">
        <v>293</v>
      </c>
      <c r="E40" s="2" t="str">
        <f t="shared" ref="E40:BQ40" si="6" xml:space="preserve">  E$32</f>
        <v>Units delivered</v>
      </c>
      <c r="F40" s="2">
        <f t="shared" si="6"/>
        <v>0</v>
      </c>
      <c r="G40" s="2" t="str">
        <f t="shared" si="6"/>
        <v>Units</v>
      </c>
      <c r="H40" s="2">
        <f t="shared" ca="1" si="6"/>
        <v>135000</v>
      </c>
      <c r="I40" s="2">
        <f t="shared" si="6"/>
        <v>0</v>
      </c>
      <c r="J40" s="2">
        <f t="shared" ca="1" si="6"/>
        <v>0</v>
      </c>
      <c r="K40" s="2">
        <f t="shared" ca="1" si="6"/>
        <v>0</v>
      </c>
      <c r="L40" s="2">
        <f t="shared" ca="1" si="6"/>
        <v>0</v>
      </c>
      <c r="M40" s="2">
        <f t="shared" ca="1" si="6"/>
        <v>0</v>
      </c>
      <c r="N40" s="2">
        <f t="shared" ca="1" si="6"/>
        <v>0</v>
      </c>
      <c r="O40" s="2">
        <f t="shared" ca="1" si="6"/>
        <v>0</v>
      </c>
      <c r="P40" s="2">
        <f t="shared" ca="1" si="6"/>
        <v>5000</v>
      </c>
      <c r="Q40" s="2">
        <f t="shared" ca="1" si="6"/>
        <v>0</v>
      </c>
      <c r="R40" s="2">
        <f t="shared" ca="1" si="6"/>
        <v>0</v>
      </c>
      <c r="S40" s="2">
        <f t="shared" ca="1" si="6"/>
        <v>0</v>
      </c>
      <c r="T40" s="2">
        <f t="shared" ca="1" si="6"/>
        <v>0</v>
      </c>
      <c r="U40" s="2">
        <f t="shared" ca="1" si="6"/>
        <v>0</v>
      </c>
      <c r="V40" s="2">
        <f t="shared" ca="1" si="6"/>
        <v>5000</v>
      </c>
      <c r="W40" s="2">
        <f t="shared" ca="1" si="6"/>
        <v>0</v>
      </c>
      <c r="X40" s="2">
        <f t="shared" ca="1" si="6"/>
        <v>0</v>
      </c>
      <c r="Y40" s="2">
        <f t="shared" ca="1" si="6"/>
        <v>0</v>
      </c>
      <c r="Z40" s="2">
        <f t="shared" ca="1" si="6"/>
        <v>0</v>
      </c>
      <c r="AA40" s="2">
        <f t="shared" ca="1" si="6"/>
        <v>0</v>
      </c>
      <c r="AB40" s="2">
        <f t="shared" ca="1" si="6"/>
        <v>5000</v>
      </c>
      <c r="AC40" s="2">
        <f t="shared" ca="1" si="6"/>
        <v>0</v>
      </c>
      <c r="AD40" s="2">
        <f t="shared" ca="1" si="6"/>
        <v>0</v>
      </c>
      <c r="AE40" s="2">
        <f t="shared" ca="1" si="6"/>
        <v>0</v>
      </c>
      <c r="AF40" s="2">
        <f t="shared" ca="1" si="6"/>
        <v>5000</v>
      </c>
      <c r="AG40" s="2">
        <f t="shared" ca="1" si="6"/>
        <v>0</v>
      </c>
      <c r="AH40" s="2">
        <f t="shared" ca="1" si="6"/>
        <v>0</v>
      </c>
      <c r="AI40" s="2">
        <f t="shared" ca="1" si="6"/>
        <v>0</v>
      </c>
      <c r="AJ40" s="2">
        <f t="shared" ca="1" si="6"/>
        <v>5000</v>
      </c>
      <c r="AK40" s="2">
        <f t="shared" ca="1" si="6"/>
        <v>0</v>
      </c>
      <c r="AL40" s="2">
        <f t="shared" ca="1" si="6"/>
        <v>0</v>
      </c>
      <c r="AM40" s="2">
        <f t="shared" ca="1" si="6"/>
        <v>5000</v>
      </c>
      <c r="AN40" s="2">
        <f t="shared" ca="1" si="6"/>
        <v>0</v>
      </c>
      <c r="AO40" s="2">
        <f t="shared" ca="1" si="6"/>
        <v>5000</v>
      </c>
      <c r="AP40" s="2">
        <f t="shared" ca="1" si="6"/>
        <v>0</v>
      </c>
      <c r="AQ40" s="2">
        <f t="shared" ca="1" si="6"/>
        <v>0</v>
      </c>
      <c r="AR40" s="2">
        <f t="shared" ca="1" si="6"/>
        <v>5000</v>
      </c>
      <c r="AS40" s="2">
        <f t="shared" ca="1" si="6"/>
        <v>0</v>
      </c>
      <c r="AT40" s="2">
        <f t="shared" ca="1" si="6"/>
        <v>0</v>
      </c>
      <c r="AU40" s="2">
        <f t="shared" ca="1" si="6"/>
        <v>5000</v>
      </c>
      <c r="AV40" s="2">
        <f t="shared" ca="1" si="6"/>
        <v>0</v>
      </c>
      <c r="AW40" s="2">
        <f t="shared" ca="1" si="6"/>
        <v>5000</v>
      </c>
      <c r="AX40" s="2">
        <f t="shared" ca="1" si="6"/>
        <v>0</v>
      </c>
      <c r="AY40" s="2">
        <f t="shared" ca="1" si="6"/>
        <v>5000</v>
      </c>
      <c r="AZ40" s="2">
        <f t="shared" ca="1" si="6"/>
        <v>5000</v>
      </c>
      <c r="BA40" s="2">
        <f t="shared" ca="1" si="6"/>
        <v>0</v>
      </c>
      <c r="BB40" s="2">
        <f t="shared" ca="1" si="6"/>
        <v>5000</v>
      </c>
      <c r="BC40" s="2">
        <f t="shared" ca="1" si="6"/>
        <v>5000</v>
      </c>
      <c r="BD40" s="2">
        <f t="shared" ca="1" si="6"/>
        <v>0</v>
      </c>
      <c r="BE40" s="2">
        <f t="shared" ca="1" si="6"/>
        <v>5000</v>
      </c>
      <c r="BF40" s="2">
        <f t="shared" ca="1" si="6"/>
        <v>5000</v>
      </c>
      <c r="BG40" s="2">
        <f t="shared" ca="1" si="6"/>
        <v>5000</v>
      </c>
      <c r="BH40" s="2">
        <f t="shared" ca="1" si="6"/>
        <v>5000</v>
      </c>
      <c r="BI40" s="2">
        <f t="shared" ca="1" si="6"/>
        <v>5000</v>
      </c>
      <c r="BJ40" s="2">
        <f t="shared" ca="1" si="6"/>
        <v>5000</v>
      </c>
      <c r="BK40" s="2">
        <f t="shared" ca="1" si="6"/>
        <v>5000</v>
      </c>
      <c r="BL40" s="2">
        <f t="shared" ca="1" si="6"/>
        <v>5000</v>
      </c>
      <c r="BM40" s="2">
        <f t="shared" ca="1" si="6"/>
        <v>5000</v>
      </c>
      <c r="BN40" s="2">
        <f t="shared" ca="1" si="6"/>
        <v>5000</v>
      </c>
      <c r="BO40" s="2">
        <f t="shared" ca="1" si="6"/>
        <v>5000</v>
      </c>
      <c r="BP40" s="2">
        <f t="shared" ca="1" si="6"/>
        <v>5000</v>
      </c>
      <c r="BQ40" s="2">
        <f t="shared" ca="1" si="6"/>
        <v>5000</v>
      </c>
    </row>
    <row r="41" spans="1:69" s="83" customFormat="1">
      <c r="A41" s="62"/>
      <c r="B41" s="62"/>
      <c r="C41" s="90"/>
      <c r="D41" s="91"/>
      <c r="E41" s="35" t="s">
        <v>171</v>
      </c>
      <c r="F41" s="35"/>
      <c r="G41" s="35" t="s">
        <v>122</v>
      </c>
      <c r="H41" s="35"/>
      <c r="I41" s="11">
        <f t="shared" ref="I41:BQ41" si="7" xml:space="preserve">  IF( I37 = 0, $F36, I38 + I39 - I40 )</f>
        <v>0</v>
      </c>
      <c r="J41" s="11">
        <f t="shared" ca="1" si="7"/>
        <v>5000</v>
      </c>
      <c r="K41" s="11">
        <f t="shared" ca="1" si="7"/>
        <v>5000</v>
      </c>
      <c r="L41" s="11">
        <f t="shared" ca="1" si="7"/>
        <v>5000</v>
      </c>
      <c r="M41" s="11">
        <f t="shared" ca="1" si="7"/>
        <v>5000</v>
      </c>
      <c r="N41" s="11">
        <f t="shared" ca="1" si="7"/>
        <v>5000</v>
      </c>
      <c r="O41" s="11">
        <f t="shared" ca="1" si="7"/>
        <v>5000</v>
      </c>
      <c r="P41" s="11">
        <f t="shared" ca="1" si="7"/>
        <v>5000</v>
      </c>
      <c r="Q41" s="11">
        <f t="shared" ca="1" si="7"/>
        <v>5000</v>
      </c>
      <c r="R41" s="11">
        <f t="shared" ca="1" si="7"/>
        <v>5000</v>
      </c>
      <c r="S41" s="11">
        <f t="shared" ca="1" si="7"/>
        <v>5000</v>
      </c>
      <c r="T41" s="11">
        <f t="shared" ca="1" si="7"/>
        <v>5000</v>
      </c>
      <c r="U41" s="11">
        <f t="shared" ca="1" si="7"/>
        <v>5000</v>
      </c>
      <c r="V41" s="11">
        <f t="shared" ca="1" si="7"/>
        <v>5000</v>
      </c>
      <c r="W41" s="11">
        <f t="shared" ca="1" si="7"/>
        <v>5000</v>
      </c>
      <c r="X41" s="11">
        <f t="shared" ca="1" si="7"/>
        <v>5000</v>
      </c>
      <c r="Y41" s="11">
        <f t="shared" ca="1" si="7"/>
        <v>5000</v>
      </c>
      <c r="Z41" s="11">
        <f t="shared" ca="1" si="7"/>
        <v>10000</v>
      </c>
      <c r="AA41" s="11">
        <f t="shared" ca="1" si="7"/>
        <v>10000</v>
      </c>
      <c r="AB41" s="11">
        <f t="shared" ca="1" si="7"/>
        <v>5000</v>
      </c>
      <c r="AC41" s="11">
        <f t="shared" ca="1" si="7"/>
        <v>5000</v>
      </c>
      <c r="AD41" s="11">
        <f t="shared" ca="1" si="7"/>
        <v>10000</v>
      </c>
      <c r="AE41" s="11">
        <f t="shared" ca="1" si="7"/>
        <v>10000</v>
      </c>
      <c r="AF41" s="11">
        <f t="shared" ca="1" si="7"/>
        <v>5000</v>
      </c>
      <c r="AG41" s="11">
        <f t="shared" ca="1" si="7"/>
        <v>10000</v>
      </c>
      <c r="AH41" s="11">
        <f t="shared" ca="1" si="7"/>
        <v>10000</v>
      </c>
      <c r="AI41" s="11">
        <f t="shared" ca="1" si="7"/>
        <v>15000</v>
      </c>
      <c r="AJ41" s="11">
        <f t="shared" ca="1" si="7"/>
        <v>10000</v>
      </c>
      <c r="AK41" s="11">
        <f t="shared" ca="1" si="7"/>
        <v>10000</v>
      </c>
      <c r="AL41" s="11">
        <f t="shared" ca="1" si="7"/>
        <v>15000</v>
      </c>
      <c r="AM41" s="11">
        <f t="shared" ca="1" si="7"/>
        <v>10000</v>
      </c>
      <c r="AN41" s="11">
        <f t="shared" ca="1" si="7"/>
        <v>10000</v>
      </c>
      <c r="AO41" s="11">
        <f t="shared" ca="1" si="7"/>
        <v>10000</v>
      </c>
      <c r="AP41" s="11">
        <f t="shared" ca="1" si="7"/>
        <v>10000</v>
      </c>
      <c r="AQ41" s="11">
        <f t="shared" ca="1" si="7"/>
        <v>15000</v>
      </c>
      <c r="AR41" s="11">
        <f t="shared" ca="1" si="7"/>
        <v>10000</v>
      </c>
      <c r="AS41" s="11">
        <f t="shared" ca="1" si="7"/>
        <v>15000</v>
      </c>
      <c r="AT41" s="11">
        <f t="shared" ca="1" si="7"/>
        <v>20000</v>
      </c>
      <c r="AU41" s="11">
        <f t="shared" ca="1" si="7"/>
        <v>15000</v>
      </c>
      <c r="AV41" s="11">
        <f t="shared" ca="1" si="7"/>
        <v>20000</v>
      </c>
      <c r="AW41" s="11">
        <f t="shared" ca="1" si="7"/>
        <v>20000</v>
      </c>
      <c r="AX41" s="11">
        <f t="shared" ca="1" si="7"/>
        <v>20000</v>
      </c>
      <c r="AY41" s="11">
        <f t="shared" ca="1" si="7"/>
        <v>20000</v>
      </c>
      <c r="AZ41" s="11">
        <f t="shared" ca="1" si="7"/>
        <v>20000</v>
      </c>
      <c r="BA41" s="11">
        <f t="shared" ca="1" si="7"/>
        <v>25000</v>
      </c>
      <c r="BB41" s="11">
        <f t="shared" ca="1" si="7"/>
        <v>25000</v>
      </c>
      <c r="BC41" s="11">
        <f t="shared" ca="1" si="7"/>
        <v>25000</v>
      </c>
      <c r="BD41" s="11">
        <f t="shared" ca="1" si="7"/>
        <v>30000</v>
      </c>
      <c r="BE41" s="11">
        <f t="shared" ca="1" si="7"/>
        <v>30000</v>
      </c>
      <c r="BF41" s="11">
        <f t="shared" ca="1" si="7"/>
        <v>30000</v>
      </c>
      <c r="BG41" s="11">
        <f t="shared" ca="1" si="7"/>
        <v>30000</v>
      </c>
      <c r="BH41" s="11">
        <f t="shared" ca="1" si="7"/>
        <v>30000</v>
      </c>
      <c r="BI41" s="11">
        <f t="shared" ca="1" si="7"/>
        <v>30000</v>
      </c>
      <c r="BJ41" s="11">
        <f t="shared" ca="1" si="7"/>
        <v>30000</v>
      </c>
      <c r="BK41" s="11">
        <f t="shared" ca="1" si="7"/>
        <v>30000</v>
      </c>
      <c r="BL41" s="11">
        <f t="shared" ca="1" si="7"/>
        <v>30000</v>
      </c>
      <c r="BM41" s="11">
        <f t="shared" ca="1" si="7"/>
        <v>30000</v>
      </c>
      <c r="BN41" s="11">
        <f t="shared" ca="1" si="7"/>
        <v>30000</v>
      </c>
      <c r="BO41" s="11">
        <f t="shared" ca="1" si="7"/>
        <v>30000</v>
      </c>
      <c r="BP41" s="11">
        <f t="shared" ca="1" si="7"/>
        <v>30000</v>
      </c>
      <c r="BQ41" s="11">
        <f t="shared" ca="1" si="7"/>
        <v>30000</v>
      </c>
    </row>
    <row r="43" spans="1:69">
      <c r="B43" s="27" t="s">
        <v>240</v>
      </c>
    </row>
    <row r="44" spans="1:69" outlineLevel="1">
      <c r="A44" s="18"/>
      <c r="B44" s="18"/>
      <c r="C44" s="30"/>
      <c r="D44" s="31"/>
      <c r="E44" s="4" t="str">
        <f xml:space="preserve">  Customers!E$26</f>
        <v>Customer orders fullfilled</v>
      </c>
      <c r="F44" s="4">
        <f xml:space="preserve">  Customers!F$26</f>
        <v>0</v>
      </c>
      <c r="G44" s="4" t="str">
        <f xml:space="preserve">  Customers!G$26</f>
        <v>Units</v>
      </c>
      <c r="H44" s="4">
        <f ca="1" xml:space="preserve">  Customers!H$26</f>
        <v>253879.33897738747</v>
      </c>
      <c r="I44" s="4">
        <f xml:space="preserve">  Customers!I$26</f>
        <v>0</v>
      </c>
      <c r="J44" s="4">
        <f xml:space="preserve">  Customers!J$26</f>
        <v>0</v>
      </c>
      <c r="K44" s="4">
        <f ca="1" xml:space="preserve">  Customers!K$26</f>
        <v>0</v>
      </c>
      <c r="L44" s="4">
        <f ca="1" xml:space="preserve">  Customers!L$26</f>
        <v>0</v>
      </c>
      <c r="M44" s="4">
        <f ca="1" xml:space="preserve">  Customers!M$26</f>
        <v>0</v>
      </c>
      <c r="N44" s="4">
        <f ca="1" xml:space="preserve">  Customers!N$26</f>
        <v>0</v>
      </c>
      <c r="O44" s="4">
        <f ca="1" xml:space="preserve">  Customers!O$26</f>
        <v>0</v>
      </c>
      <c r="P44" s="4">
        <f ca="1" xml:space="preserve">  Customers!P$26</f>
        <v>0</v>
      </c>
      <c r="Q44" s="4">
        <f ca="1" xml:space="preserve">  Customers!Q$26</f>
        <v>4196.4427041678455</v>
      </c>
      <c r="R44" s="4">
        <f ca="1" xml:space="preserve">  Customers!R$26</f>
        <v>750.69634809527088</v>
      </c>
      <c r="S44" s="4">
        <f ca="1" xml:space="preserve">  Customers!S$26</f>
        <v>52.860947736883645</v>
      </c>
      <c r="T44" s="4">
        <f ca="1" xml:space="preserve">  Customers!T$26</f>
        <v>0</v>
      </c>
      <c r="U44" s="4">
        <f ca="1" xml:space="preserve">  Customers!U$26</f>
        <v>0</v>
      </c>
      <c r="V44" s="4">
        <f ca="1" xml:space="preserve">  Customers!V$26</f>
        <v>0</v>
      </c>
      <c r="W44" s="4">
        <f ca="1" xml:space="preserve">  Customers!W$26</f>
        <v>4423.5199996978354</v>
      </c>
      <c r="X44" s="4">
        <f ca="1" xml:space="preserve">  Customers!X$26</f>
        <v>576.48000030216463</v>
      </c>
      <c r="Y44" s="4">
        <f ca="1" xml:space="preserve">  Customers!Y$26</f>
        <v>0</v>
      </c>
      <c r="Z44" s="4">
        <f ca="1" xml:space="preserve">  Customers!Z$26</f>
        <v>0</v>
      </c>
      <c r="AA44" s="4">
        <f ca="1" xml:space="preserve">  Customers!AA$26</f>
        <v>0</v>
      </c>
      <c r="AB44" s="4">
        <f ca="1" xml:space="preserve">  Customers!AB$26</f>
        <v>0</v>
      </c>
      <c r="AC44" s="4">
        <f ca="1" xml:space="preserve">  Customers!AC$26</f>
        <v>5000</v>
      </c>
      <c r="AD44" s="4">
        <f ca="1" xml:space="preserve">  Customers!AD$26</f>
        <v>0</v>
      </c>
      <c r="AE44" s="4">
        <f ca="1" xml:space="preserve">  Customers!AE$26</f>
        <v>0</v>
      </c>
      <c r="AF44" s="4">
        <f ca="1" xml:space="preserve">  Customers!AF$26</f>
        <v>0</v>
      </c>
      <c r="AG44" s="4">
        <f ca="1" xml:space="preserve">  Customers!AG$26</f>
        <v>5000</v>
      </c>
      <c r="AH44" s="4">
        <f ca="1" xml:space="preserve">  Customers!AH$26</f>
        <v>0</v>
      </c>
      <c r="AI44" s="4">
        <f ca="1" xml:space="preserve">  Customers!AI$26</f>
        <v>1000</v>
      </c>
      <c r="AJ44" s="4">
        <f ca="1" xml:space="preserve">  Customers!AJ$26</f>
        <v>1060.637385528132</v>
      </c>
      <c r="AK44" s="4">
        <f ca="1" xml:space="preserve">  Customers!AK$26</f>
        <v>6122.817370018367</v>
      </c>
      <c r="AL44" s="4">
        <f ca="1" xml:space="preserve">  Customers!AL$26</f>
        <v>1190.9020797618532</v>
      </c>
      <c r="AM44" s="4">
        <f ca="1" xml:space="preserve">  Customers!AM$26</f>
        <v>1263.1152682986267</v>
      </c>
      <c r="AN44" s="4">
        <f ca="1" xml:space="preserve">  Customers!AN$26</f>
        <v>6337.1655411476058</v>
      </c>
      <c r="AO44" s="4">
        <f ca="1" xml:space="preserve">  Customers!AO$26</f>
        <v>1418.2477635811072</v>
      </c>
      <c r="AP44" s="4">
        <f ca="1" xml:space="preserve">  Customers!AP$26</f>
        <v>6501.3926961905418</v>
      </c>
      <c r="AQ44" s="4">
        <f ca="1" xml:space="preserve">  Customers!AQ$26</f>
        <v>1592.4332239385687</v>
      </c>
      <c r="AR44" s="4">
        <f ca="1" xml:space="preserve">  Customers!AR$26</f>
        <v>1688.9942112663377</v>
      </c>
      <c r="AS44" s="4">
        <f ca="1" xml:space="preserve">  Customers!AS$26</f>
        <v>6781.7974362806781</v>
      </c>
      <c r="AT44" s="4">
        <f ca="1" xml:space="preserve">  Customers!AT$26</f>
        <v>1889.5370233838521</v>
      </c>
      <c r="AU44" s="4">
        <f ca="1" xml:space="preserve">  Customers!AU$26</f>
        <v>2000</v>
      </c>
      <c r="AV44" s="4">
        <f ca="1" xml:space="preserve">  Customers!AV$26</f>
        <v>7123.1161664062074</v>
      </c>
      <c r="AW44" s="4">
        <f ca="1" xml:space="preserve">  Customers!AW$26</f>
        <v>2247.4089271664079</v>
      </c>
      <c r="AX44" s="4">
        <f ca="1" xml:space="preserve">  Customers!AX$26</f>
        <v>7383.4939697312529</v>
      </c>
      <c r="AY44" s="4">
        <f ca="1" xml:space="preserve">  Customers!AY$26</f>
        <v>2527.8192299912498</v>
      </c>
      <c r="AZ44" s="4">
        <f ca="1" xml:space="preserve">  Customers!AZ$26</f>
        <v>7675.8043641867862</v>
      </c>
      <c r="BA44" s="4">
        <f ca="1" xml:space="preserve">  Customers!BA$26</f>
        <v>7837.8295952846602</v>
      </c>
      <c r="BB44" s="4">
        <f ca="1" xml:space="preserve">  Customers!BB$26</f>
        <v>3003.9635452521661</v>
      </c>
      <c r="BC44" s="4">
        <f ca="1" xml:space="preserve">  Customers!BC$26</f>
        <v>8187.5439973292669</v>
      </c>
      <c r="BD44" s="4">
        <f ca="1" xml:space="preserve">  Customers!BD$26</f>
        <v>8380.6467402188136</v>
      </c>
      <c r="BE44" s="4">
        <f ca="1" xml:space="preserve">  Customers!BE$26</f>
        <v>3565.0976806730232</v>
      </c>
      <c r="BF44" s="4">
        <f ca="1" xml:space="preserve">  Customers!BF$26</f>
        <v>8781.0727829410807</v>
      </c>
      <c r="BG44" s="4">
        <f ca="1" xml:space="preserve">  Customers!BG$26</f>
        <v>9902.530534348698</v>
      </c>
      <c r="BH44" s="4">
        <f ca="1" xml:space="preserve">  Customers!BH$26</f>
        <v>10199.579148047453</v>
      </c>
      <c r="BI44" s="4">
        <f ca="1" xml:space="preserve">  Customers!BI$26</f>
        <v>10504.171463878069</v>
      </c>
      <c r="BJ44" s="4">
        <f ca="1" xml:space="preserve">  Customers!BJ$26</f>
        <v>10837.674032766308</v>
      </c>
      <c r="BK44" s="4">
        <f ca="1" xml:space="preserve">  Customers!BK$26</f>
        <v>11191.383817022494</v>
      </c>
      <c r="BL44" s="4">
        <f ca="1" xml:space="preserve">  Customers!BL$26</f>
        <v>11554.076243400472</v>
      </c>
      <c r="BM44" s="4">
        <f ca="1" xml:space="preserve">  Customers!BM$26</f>
        <v>11951.193471182105</v>
      </c>
      <c r="BN44" s="4">
        <f ca="1" xml:space="preserve">  Customers!BN$26</f>
        <v>12358.395695808518</v>
      </c>
      <c r="BO44" s="4">
        <f ca="1" xml:space="preserve">  Customers!BO$26</f>
        <v>12806.939616088344</v>
      </c>
      <c r="BP44" s="4">
        <f ca="1" xml:space="preserve">  Customers!BP$26</f>
        <v>13280.059629556923</v>
      </c>
      <c r="BQ44" s="4">
        <f ca="1" xml:space="preserve">  Customers!BQ$26</f>
        <v>13732.498326711473</v>
      </c>
    </row>
    <row r="45" spans="1:69" outlineLevel="1">
      <c r="A45" s="36"/>
      <c r="B45" s="36"/>
      <c r="C45" s="65"/>
      <c r="D45" s="64"/>
      <c r="E45" s="21" t="s">
        <v>240</v>
      </c>
      <c r="F45" s="21"/>
      <c r="G45" s="21" t="s">
        <v>122</v>
      </c>
      <c r="H45" s="3">
        <f ca="1" xml:space="preserve"> SUM( J45:BQ45 )</f>
        <v>253879.33897738747</v>
      </c>
      <c r="I45" s="21"/>
      <c r="J45" s="3">
        <f t="shared" ref="J45:BQ45" si="8" xml:space="preserve">  J44</f>
        <v>0</v>
      </c>
      <c r="K45" s="3">
        <f t="shared" ca="1" si="8"/>
        <v>0</v>
      </c>
      <c r="L45" s="3">
        <f t="shared" ca="1" si="8"/>
        <v>0</v>
      </c>
      <c r="M45" s="3">
        <f t="shared" ca="1" si="8"/>
        <v>0</v>
      </c>
      <c r="N45" s="3">
        <f t="shared" ca="1" si="8"/>
        <v>0</v>
      </c>
      <c r="O45" s="3">
        <f t="shared" ca="1" si="8"/>
        <v>0</v>
      </c>
      <c r="P45" s="3">
        <f t="shared" ca="1" si="8"/>
        <v>0</v>
      </c>
      <c r="Q45" s="3">
        <f t="shared" ca="1" si="8"/>
        <v>4196.4427041678455</v>
      </c>
      <c r="R45" s="3">
        <f t="shared" ca="1" si="8"/>
        <v>750.69634809527088</v>
      </c>
      <c r="S45" s="3">
        <f t="shared" ca="1" si="8"/>
        <v>52.860947736883645</v>
      </c>
      <c r="T45" s="3">
        <f t="shared" ca="1" si="8"/>
        <v>0</v>
      </c>
      <c r="U45" s="3">
        <f t="shared" ca="1" si="8"/>
        <v>0</v>
      </c>
      <c r="V45" s="3">
        <f t="shared" ca="1" si="8"/>
        <v>0</v>
      </c>
      <c r="W45" s="3">
        <f t="shared" ca="1" si="8"/>
        <v>4423.5199996978354</v>
      </c>
      <c r="X45" s="3">
        <f t="shared" ca="1" si="8"/>
        <v>576.48000030216463</v>
      </c>
      <c r="Y45" s="3">
        <f t="shared" ca="1" si="8"/>
        <v>0</v>
      </c>
      <c r="Z45" s="3">
        <f t="shared" ca="1" si="8"/>
        <v>0</v>
      </c>
      <c r="AA45" s="3">
        <f t="shared" ca="1" si="8"/>
        <v>0</v>
      </c>
      <c r="AB45" s="3">
        <f t="shared" ca="1" si="8"/>
        <v>0</v>
      </c>
      <c r="AC45" s="3">
        <f t="shared" ca="1" si="8"/>
        <v>5000</v>
      </c>
      <c r="AD45" s="3">
        <f t="shared" ca="1" si="8"/>
        <v>0</v>
      </c>
      <c r="AE45" s="3">
        <f t="shared" ca="1" si="8"/>
        <v>0</v>
      </c>
      <c r="AF45" s="3">
        <f t="shared" ca="1" si="8"/>
        <v>0</v>
      </c>
      <c r="AG45" s="3">
        <f t="shared" ca="1" si="8"/>
        <v>5000</v>
      </c>
      <c r="AH45" s="3">
        <f t="shared" ca="1" si="8"/>
        <v>0</v>
      </c>
      <c r="AI45" s="3">
        <f t="shared" ca="1" si="8"/>
        <v>1000</v>
      </c>
      <c r="AJ45" s="3">
        <f t="shared" ca="1" si="8"/>
        <v>1060.637385528132</v>
      </c>
      <c r="AK45" s="3">
        <f t="shared" ca="1" si="8"/>
        <v>6122.817370018367</v>
      </c>
      <c r="AL45" s="3">
        <f t="shared" ca="1" si="8"/>
        <v>1190.9020797618532</v>
      </c>
      <c r="AM45" s="3">
        <f t="shared" ca="1" si="8"/>
        <v>1263.1152682986267</v>
      </c>
      <c r="AN45" s="3">
        <f t="shared" ca="1" si="8"/>
        <v>6337.1655411476058</v>
      </c>
      <c r="AO45" s="3">
        <f t="shared" ca="1" si="8"/>
        <v>1418.2477635811072</v>
      </c>
      <c r="AP45" s="3">
        <f t="shared" ca="1" si="8"/>
        <v>6501.3926961905418</v>
      </c>
      <c r="AQ45" s="3">
        <f t="shared" ca="1" si="8"/>
        <v>1592.4332239385687</v>
      </c>
      <c r="AR45" s="3">
        <f t="shared" ca="1" si="8"/>
        <v>1688.9942112663377</v>
      </c>
      <c r="AS45" s="3">
        <f t="shared" ca="1" si="8"/>
        <v>6781.7974362806781</v>
      </c>
      <c r="AT45" s="3">
        <f t="shared" ca="1" si="8"/>
        <v>1889.5370233838521</v>
      </c>
      <c r="AU45" s="3">
        <f t="shared" ca="1" si="8"/>
        <v>2000</v>
      </c>
      <c r="AV45" s="3">
        <f t="shared" ca="1" si="8"/>
        <v>7123.1161664062074</v>
      </c>
      <c r="AW45" s="3">
        <f t="shared" ca="1" si="8"/>
        <v>2247.4089271664079</v>
      </c>
      <c r="AX45" s="3">
        <f t="shared" ca="1" si="8"/>
        <v>7383.4939697312529</v>
      </c>
      <c r="AY45" s="3">
        <f t="shared" ca="1" si="8"/>
        <v>2527.8192299912498</v>
      </c>
      <c r="AZ45" s="3">
        <f t="shared" ca="1" si="8"/>
        <v>7675.8043641867862</v>
      </c>
      <c r="BA45" s="3">
        <f t="shared" ca="1" si="8"/>
        <v>7837.8295952846602</v>
      </c>
      <c r="BB45" s="3">
        <f t="shared" ca="1" si="8"/>
        <v>3003.9635452521661</v>
      </c>
      <c r="BC45" s="3">
        <f t="shared" ca="1" si="8"/>
        <v>8187.5439973292669</v>
      </c>
      <c r="BD45" s="3">
        <f t="shared" ca="1" si="8"/>
        <v>8380.6467402188136</v>
      </c>
      <c r="BE45" s="3">
        <f t="shared" ca="1" si="8"/>
        <v>3565.0976806730232</v>
      </c>
      <c r="BF45" s="3">
        <f t="shared" ca="1" si="8"/>
        <v>8781.0727829410807</v>
      </c>
      <c r="BG45" s="3">
        <f t="shared" ca="1" si="8"/>
        <v>9902.530534348698</v>
      </c>
      <c r="BH45" s="3">
        <f t="shared" ca="1" si="8"/>
        <v>10199.579148047453</v>
      </c>
      <c r="BI45" s="3">
        <f t="shared" ca="1" si="8"/>
        <v>10504.171463878069</v>
      </c>
      <c r="BJ45" s="3">
        <f t="shared" ca="1" si="8"/>
        <v>10837.674032766308</v>
      </c>
      <c r="BK45" s="3">
        <f t="shared" ca="1" si="8"/>
        <v>11191.383817022494</v>
      </c>
      <c r="BL45" s="3">
        <f t="shared" ca="1" si="8"/>
        <v>11554.076243400472</v>
      </c>
      <c r="BM45" s="3">
        <f t="shared" ca="1" si="8"/>
        <v>11951.193471182105</v>
      </c>
      <c r="BN45" s="3">
        <f t="shared" ca="1" si="8"/>
        <v>12358.395695808518</v>
      </c>
      <c r="BO45" s="3">
        <f t="shared" ca="1" si="8"/>
        <v>12806.939616088344</v>
      </c>
      <c r="BP45" s="3">
        <f t="shared" ca="1" si="8"/>
        <v>13280.059629556923</v>
      </c>
      <c r="BQ45" s="3">
        <f t="shared" ca="1" si="8"/>
        <v>13732.498326711473</v>
      </c>
    </row>
    <row r="48" spans="1:69">
      <c r="B48" s="27" t="s">
        <v>130</v>
      </c>
    </row>
    <row r="49" spans="1:69" s="85" customFormat="1">
      <c r="A49" s="59"/>
      <c r="B49" s="59"/>
      <c r="C49" s="86"/>
      <c r="D49" s="84"/>
      <c r="E49" s="40" t="str">
        <f xml:space="preserve">  InpC!E$40</f>
        <v>Opening Units in stock</v>
      </c>
      <c r="F49" s="40">
        <f xml:space="preserve">  InpC!F$40</f>
        <v>0</v>
      </c>
      <c r="G49" s="40" t="str">
        <f xml:space="preserve">  InpC!G$40</f>
        <v>Units</v>
      </c>
      <c r="M49" s="87"/>
    </row>
    <row r="50" spans="1:69">
      <c r="A50" s="18"/>
      <c r="B50" s="18"/>
      <c r="C50" s="30"/>
      <c r="D50" s="31"/>
      <c r="E50" s="10" t="str">
        <f xml:space="preserve">  Time!E$28</f>
        <v>Period number</v>
      </c>
      <c r="F50" s="10">
        <f xml:space="preserve">  Time!F$28</f>
        <v>0</v>
      </c>
      <c r="G50" s="10" t="str">
        <f xml:space="preserve">  Time!G$28</f>
        <v>Counter</v>
      </c>
      <c r="H50" s="10">
        <f xml:space="preserve">  Time!H$28</f>
        <v>0</v>
      </c>
      <c r="I50" s="10">
        <f xml:space="preserve">  Time!I$28</f>
        <v>0</v>
      </c>
      <c r="J50" s="10">
        <f xml:space="preserve">  Time!J$28</f>
        <v>1</v>
      </c>
      <c r="K50" s="10">
        <f xml:space="preserve">  Time!K$28</f>
        <v>2</v>
      </c>
      <c r="L50" s="10">
        <f xml:space="preserve">  Time!L$28</f>
        <v>3</v>
      </c>
      <c r="M50" s="10">
        <f xml:space="preserve">  Time!M$28</f>
        <v>4</v>
      </c>
      <c r="N50" s="10">
        <f xml:space="preserve">  Time!N$28</f>
        <v>5</v>
      </c>
      <c r="O50" s="10">
        <f xml:space="preserve">  Time!O$28</f>
        <v>6</v>
      </c>
      <c r="P50" s="10">
        <f xml:space="preserve">  Time!P$28</f>
        <v>7</v>
      </c>
      <c r="Q50" s="10">
        <f xml:space="preserve">  Time!Q$28</f>
        <v>8</v>
      </c>
      <c r="R50" s="10">
        <f xml:space="preserve">  Time!R$28</f>
        <v>9</v>
      </c>
      <c r="S50" s="10">
        <f xml:space="preserve">  Time!S$28</f>
        <v>10</v>
      </c>
      <c r="T50" s="10">
        <f xml:space="preserve">  Time!T$28</f>
        <v>11</v>
      </c>
      <c r="U50" s="10">
        <f xml:space="preserve">  Time!U$28</f>
        <v>12</v>
      </c>
      <c r="V50" s="10">
        <f xml:space="preserve">  Time!V$28</f>
        <v>13</v>
      </c>
      <c r="W50" s="10">
        <f xml:space="preserve">  Time!W$28</f>
        <v>14</v>
      </c>
      <c r="X50" s="10">
        <f xml:space="preserve">  Time!X$28</f>
        <v>15</v>
      </c>
      <c r="Y50" s="10">
        <f xml:space="preserve">  Time!Y$28</f>
        <v>16</v>
      </c>
      <c r="Z50" s="10">
        <f xml:space="preserve">  Time!Z$28</f>
        <v>17</v>
      </c>
      <c r="AA50" s="10">
        <f xml:space="preserve">  Time!AA$28</f>
        <v>18</v>
      </c>
      <c r="AB50" s="10">
        <f xml:space="preserve">  Time!AB$28</f>
        <v>19</v>
      </c>
      <c r="AC50" s="10">
        <f xml:space="preserve">  Time!AC$28</f>
        <v>20</v>
      </c>
      <c r="AD50" s="10">
        <f xml:space="preserve">  Time!AD$28</f>
        <v>21</v>
      </c>
      <c r="AE50" s="10">
        <f xml:space="preserve">  Time!AE$28</f>
        <v>22</v>
      </c>
      <c r="AF50" s="10">
        <f xml:space="preserve">  Time!AF$28</f>
        <v>23</v>
      </c>
      <c r="AG50" s="10">
        <f xml:space="preserve">  Time!AG$28</f>
        <v>24</v>
      </c>
      <c r="AH50" s="10">
        <f xml:space="preserve">  Time!AH$28</f>
        <v>25</v>
      </c>
      <c r="AI50" s="10">
        <f xml:space="preserve">  Time!AI$28</f>
        <v>26</v>
      </c>
      <c r="AJ50" s="10">
        <f xml:space="preserve">  Time!AJ$28</f>
        <v>27</v>
      </c>
      <c r="AK50" s="10">
        <f xml:space="preserve">  Time!AK$28</f>
        <v>28</v>
      </c>
      <c r="AL50" s="10">
        <f xml:space="preserve">  Time!AL$28</f>
        <v>29</v>
      </c>
      <c r="AM50" s="10">
        <f xml:space="preserve">  Time!AM$28</f>
        <v>30</v>
      </c>
      <c r="AN50" s="10">
        <f xml:space="preserve">  Time!AN$28</f>
        <v>31</v>
      </c>
      <c r="AO50" s="10">
        <f xml:space="preserve">  Time!AO$28</f>
        <v>32</v>
      </c>
      <c r="AP50" s="10">
        <f xml:space="preserve">  Time!AP$28</f>
        <v>33</v>
      </c>
      <c r="AQ50" s="10">
        <f xml:space="preserve">  Time!AQ$28</f>
        <v>34</v>
      </c>
      <c r="AR50" s="10">
        <f xml:space="preserve">  Time!AR$28</f>
        <v>35</v>
      </c>
      <c r="AS50" s="10">
        <f xml:space="preserve">  Time!AS$28</f>
        <v>36</v>
      </c>
      <c r="AT50" s="10">
        <f xml:space="preserve">  Time!AT$28</f>
        <v>37</v>
      </c>
      <c r="AU50" s="10">
        <f xml:space="preserve">  Time!AU$28</f>
        <v>38</v>
      </c>
      <c r="AV50" s="10">
        <f xml:space="preserve">  Time!AV$28</f>
        <v>39</v>
      </c>
      <c r="AW50" s="10">
        <f xml:space="preserve">  Time!AW$28</f>
        <v>40</v>
      </c>
      <c r="AX50" s="10">
        <f xml:space="preserve">  Time!AX$28</f>
        <v>41</v>
      </c>
      <c r="AY50" s="10">
        <f xml:space="preserve">  Time!AY$28</f>
        <v>42</v>
      </c>
      <c r="AZ50" s="10">
        <f xml:space="preserve">  Time!AZ$28</f>
        <v>43</v>
      </c>
      <c r="BA50" s="10">
        <f xml:space="preserve">  Time!BA$28</f>
        <v>44</v>
      </c>
      <c r="BB50" s="10">
        <f xml:space="preserve">  Time!BB$28</f>
        <v>45</v>
      </c>
      <c r="BC50" s="10">
        <f xml:space="preserve">  Time!BC$28</f>
        <v>46</v>
      </c>
      <c r="BD50" s="10">
        <f xml:space="preserve">  Time!BD$28</f>
        <v>47</v>
      </c>
      <c r="BE50" s="10">
        <f xml:space="preserve">  Time!BE$28</f>
        <v>48</v>
      </c>
      <c r="BF50" s="10">
        <f xml:space="preserve">  Time!BF$28</f>
        <v>49</v>
      </c>
      <c r="BG50" s="10">
        <f xml:space="preserve">  Time!BG$28</f>
        <v>50</v>
      </c>
      <c r="BH50" s="10">
        <f xml:space="preserve">  Time!BH$28</f>
        <v>51</v>
      </c>
      <c r="BI50" s="10">
        <f xml:space="preserve">  Time!BI$28</f>
        <v>52</v>
      </c>
      <c r="BJ50" s="10">
        <f xml:space="preserve">  Time!BJ$28</f>
        <v>53</v>
      </c>
      <c r="BK50" s="10">
        <f xml:space="preserve">  Time!BK$28</f>
        <v>54</v>
      </c>
      <c r="BL50" s="10">
        <f xml:space="preserve">  Time!BL$28</f>
        <v>55</v>
      </c>
      <c r="BM50" s="10">
        <f xml:space="preserve">  Time!BM$28</f>
        <v>56</v>
      </c>
      <c r="BN50" s="10">
        <f xml:space="preserve">  Time!BN$28</f>
        <v>57</v>
      </c>
      <c r="BO50" s="10">
        <f xml:space="preserve">  Time!BO$28</f>
        <v>58</v>
      </c>
      <c r="BP50" s="10">
        <f xml:space="preserve">  Time!BP$28</f>
        <v>59</v>
      </c>
      <c r="BQ50" s="10">
        <f xml:space="preserve">  Time!BQ$28</f>
        <v>60</v>
      </c>
    </row>
    <row r="51" spans="1:69">
      <c r="A51" s="36"/>
      <c r="B51" s="36"/>
      <c r="C51" s="65"/>
      <c r="D51" s="64"/>
      <c r="E51" s="21" t="s">
        <v>138</v>
      </c>
      <c r="F51" s="21"/>
      <c r="G51" s="21" t="s">
        <v>122</v>
      </c>
      <c r="H51" s="21"/>
      <c r="I51" s="21"/>
      <c r="J51" s="3">
        <f t="shared" ref="J51:BQ51" si="9" xml:space="preserve">  I56</f>
        <v>0</v>
      </c>
      <c r="K51" s="3">
        <f t="shared" ca="1" si="9"/>
        <v>0</v>
      </c>
      <c r="L51" s="3">
        <f t="shared" ca="1" si="9"/>
        <v>0</v>
      </c>
      <c r="M51" s="3">
        <f t="shared" ca="1" si="9"/>
        <v>0</v>
      </c>
      <c r="N51" s="3">
        <f t="shared" ca="1" si="9"/>
        <v>0</v>
      </c>
      <c r="O51" s="3">
        <f t="shared" ca="1" si="9"/>
        <v>0</v>
      </c>
      <c r="P51" s="3">
        <f t="shared" ca="1" si="9"/>
        <v>0</v>
      </c>
      <c r="Q51" s="3">
        <f t="shared" ca="1" si="9"/>
        <v>5000</v>
      </c>
      <c r="R51" s="3">
        <f t="shared" ca="1" si="9"/>
        <v>803.55729583215452</v>
      </c>
      <c r="S51" s="3">
        <f t="shared" ca="1" si="9"/>
        <v>52.860947736883645</v>
      </c>
      <c r="T51" s="3">
        <f t="shared" ca="1" si="9"/>
        <v>0</v>
      </c>
      <c r="U51" s="3">
        <f t="shared" ca="1" si="9"/>
        <v>0</v>
      </c>
      <c r="V51" s="3">
        <f t="shared" ca="1" si="9"/>
        <v>0</v>
      </c>
      <c r="W51" s="3">
        <f t="shared" ca="1" si="9"/>
        <v>5000</v>
      </c>
      <c r="X51" s="3">
        <f t="shared" ca="1" si="9"/>
        <v>576.48000030216463</v>
      </c>
      <c r="Y51" s="3">
        <f t="shared" ca="1" si="9"/>
        <v>0</v>
      </c>
      <c r="Z51" s="3">
        <f t="shared" ca="1" si="9"/>
        <v>0</v>
      </c>
      <c r="AA51" s="3">
        <f t="shared" ca="1" si="9"/>
        <v>0</v>
      </c>
      <c r="AB51" s="3">
        <f t="shared" ca="1" si="9"/>
        <v>0</v>
      </c>
      <c r="AC51" s="3">
        <f t="shared" ca="1" si="9"/>
        <v>5000</v>
      </c>
      <c r="AD51" s="3">
        <f t="shared" ca="1" si="9"/>
        <v>0</v>
      </c>
      <c r="AE51" s="3">
        <f t="shared" ca="1" si="9"/>
        <v>0</v>
      </c>
      <c r="AF51" s="3">
        <f t="shared" ca="1" si="9"/>
        <v>0</v>
      </c>
      <c r="AG51" s="3">
        <f t="shared" ca="1" si="9"/>
        <v>5000</v>
      </c>
      <c r="AH51" s="3">
        <f t="shared" ca="1" si="9"/>
        <v>0</v>
      </c>
      <c r="AI51" s="3">
        <f t="shared" ca="1" si="9"/>
        <v>1000</v>
      </c>
      <c r="AJ51" s="3">
        <f t="shared" ca="1" si="9"/>
        <v>1060.637385528132</v>
      </c>
      <c r="AK51" s="3">
        <f t="shared" ca="1" si="9"/>
        <v>6122.817370018367</v>
      </c>
      <c r="AL51" s="3">
        <f t="shared" ca="1" si="9"/>
        <v>1190.9020797618532</v>
      </c>
      <c r="AM51" s="3">
        <f t="shared" ca="1" si="9"/>
        <v>1263.1152682986267</v>
      </c>
      <c r="AN51" s="3">
        <f t="shared" ca="1" si="9"/>
        <v>6337.1655411476058</v>
      </c>
      <c r="AO51" s="3">
        <f t="shared" ca="1" si="9"/>
        <v>1418.2477635811072</v>
      </c>
      <c r="AP51" s="3">
        <f t="shared" ca="1" si="9"/>
        <v>6501.3926961905418</v>
      </c>
      <c r="AQ51" s="3">
        <f t="shared" ca="1" si="9"/>
        <v>1592.4332239385687</v>
      </c>
      <c r="AR51" s="3">
        <f t="shared" ca="1" si="9"/>
        <v>1688.9942112663377</v>
      </c>
      <c r="AS51" s="3">
        <f t="shared" ca="1" si="9"/>
        <v>6781.7974362806781</v>
      </c>
      <c r="AT51" s="3">
        <f t="shared" ca="1" si="9"/>
        <v>1889.5370233838521</v>
      </c>
      <c r="AU51" s="3">
        <f t="shared" ca="1" si="9"/>
        <v>2000</v>
      </c>
      <c r="AV51" s="3">
        <f t="shared" ca="1" si="9"/>
        <v>7123.1161664062074</v>
      </c>
      <c r="AW51" s="3">
        <f t="shared" ca="1" si="9"/>
        <v>2247.4089271664079</v>
      </c>
      <c r="AX51" s="3">
        <f t="shared" ca="1" si="9"/>
        <v>7383.4939697312529</v>
      </c>
      <c r="AY51" s="3">
        <f t="shared" ca="1" si="9"/>
        <v>2527.8192299912498</v>
      </c>
      <c r="AZ51" s="3">
        <f t="shared" ca="1" si="9"/>
        <v>7675.8043641867862</v>
      </c>
      <c r="BA51" s="3">
        <f t="shared" ca="1" si="9"/>
        <v>7837.8295952846602</v>
      </c>
      <c r="BB51" s="3">
        <f t="shared" ca="1" si="9"/>
        <v>3003.9635452521661</v>
      </c>
      <c r="BC51" s="3">
        <f t="shared" ca="1" si="9"/>
        <v>8187.5439973292669</v>
      </c>
      <c r="BD51" s="3">
        <f t="shared" ca="1" si="9"/>
        <v>8380.6467402188136</v>
      </c>
      <c r="BE51" s="3">
        <f t="shared" ca="1" si="9"/>
        <v>3565.0976806730232</v>
      </c>
      <c r="BF51" s="3">
        <f t="shared" ca="1" si="9"/>
        <v>8781.0727829410807</v>
      </c>
      <c r="BG51" s="3">
        <f t="shared" ca="1" si="9"/>
        <v>9902.530534348698</v>
      </c>
      <c r="BH51" s="3">
        <f t="shared" ca="1" si="9"/>
        <v>10199.579148047453</v>
      </c>
      <c r="BI51" s="3">
        <f t="shared" ca="1" si="9"/>
        <v>10504.171463878069</v>
      </c>
      <c r="BJ51" s="3">
        <f t="shared" ca="1" si="9"/>
        <v>10837.674032766308</v>
      </c>
      <c r="BK51" s="3">
        <f t="shared" ca="1" si="9"/>
        <v>11191.383817022494</v>
      </c>
      <c r="BL51" s="3">
        <f t="shared" ca="1" si="9"/>
        <v>11554.076243400472</v>
      </c>
      <c r="BM51" s="3">
        <f t="shared" ca="1" si="9"/>
        <v>11951.193471182105</v>
      </c>
      <c r="BN51" s="3">
        <f t="shared" ca="1" si="9"/>
        <v>12358.395695808518</v>
      </c>
      <c r="BO51" s="3">
        <f t="shared" ca="1" si="9"/>
        <v>12806.939616088344</v>
      </c>
      <c r="BP51" s="3">
        <f t="shared" ca="1" si="9"/>
        <v>13280.059629556923</v>
      </c>
      <c r="BQ51" s="3">
        <f t="shared" ca="1" si="9"/>
        <v>13732.498326711473</v>
      </c>
    </row>
    <row r="52" spans="1:69">
      <c r="D52" s="88" t="s">
        <v>216</v>
      </c>
      <c r="E52" s="2" t="str">
        <f t="shared" ref="E52:BQ52" si="10" xml:space="preserve">  E$32</f>
        <v>Units delivered</v>
      </c>
      <c r="F52" s="2">
        <f t="shared" si="10"/>
        <v>0</v>
      </c>
      <c r="G52" s="2" t="str">
        <f t="shared" si="10"/>
        <v>Units</v>
      </c>
      <c r="H52" s="2">
        <f t="shared" ca="1" si="10"/>
        <v>135000</v>
      </c>
      <c r="I52" s="2">
        <f t="shared" si="10"/>
        <v>0</v>
      </c>
      <c r="J52" s="2">
        <f t="shared" ca="1" si="10"/>
        <v>0</v>
      </c>
      <c r="K52" s="2">
        <f t="shared" ca="1" si="10"/>
        <v>0</v>
      </c>
      <c r="L52" s="2">
        <f t="shared" ca="1" si="10"/>
        <v>0</v>
      </c>
      <c r="M52" s="2">
        <f t="shared" ca="1" si="10"/>
        <v>0</v>
      </c>
      <c r="N52" s="2">
        <f t="shared" ca="1" si="10"/>
        <v>0</v>
      </c>
      <c r="O52" s="2">
        <f t="shared" ca="1" si="10"/>
        <v>0</v>
      </c>
      <c r="P52" s="2">
        <f t="shared" ca="1" si="10"/>
        <v>5000</v>
      </c>
      <c r="Q52" s="2">
        <f t="shared" ca="1" si="10"/>
        <v>0</v>
      </c>
      <c r="R52" s="2">
        <f t="shared" ca="1" si="10"/>
        <v>0</v>
      </c>
      <c r="S52" s="2">
        <f t="shared" ca="1" si="10"/>
        <v>0</v>
      </c>
      <c r="T52" s="2">
        <f t="shared" ca="1" si="10"/>
        <v>0</v>
      </c>
      <c r="U52" s="2">
        <f t="shared" ca="1" si="10"/>
        <v>0</v>
      </c>
      <c r="V52" s="2">
        <f t="shared" ca="1" si="10"/>
        <v>5000</v>
      </c>
      <c r="W52" s="2">
        <f t="shared" ca="1" si="10"/>
        <v>0</v>
      </c>
      <c r="X52" s="2">
        <f t="shared" ca="1" si="10"/>
        <v>0</v>
      </c>
      <c r="Y52" s="2">
        <f t="shared" ca="1" si="10"/>
        <v>0</v>
      </c>
      <c r="Z52" s="2">
        <f t="shared" ca="1" si="10"/>
        <v>0</v>
      </c>
      <c r="AA52" s="2">
        <f t="shared" ca="1" si="10"/>
        <v>0</v>
      </c>
      <c r="AB52" s="2">
        <f t="shared" ca="1" si="10"/>
        <v>5000</v>
      </c>
      <c r="AC52" s="2">
        <f t="shared" ca="1" si="10"/>
        <v>0</v>
      </c>
      <c r="AD52" s="2">
        <f t="shared" ca="1" si="10"/>
        <v>0</v>
      </c>
      <c r="AE52" s="2">
        <f t="shared" ca="1" si="10"/>
        <v>0</v>
      </c>
      <c r="AF52" s="2">
        <f t="shared" ca="1" si="10"/>
        <v>5000</v>
      </c>
      <c r="AG52" s="2">
        <f t="shared" ca="1" si="10"/>
        <v>0</v>
      </c>
      <c r="AH52" s="2">
        <f t="shared" ca="1" si="10"/>
        <v>0</v>
      </c>
      <c r="AI52" s="2">
        <f t="shared" ca="1" si="10"/>
        <v>0</v>
      </c>
      <c r="AJ52" s="2">
        <f t="shared" ca="1" si="10"/>
        <v>5000</v>
      </c>
      <c r="AK52" s="2">
        <f t="shared" ca="1" si="10"/>
        <v>0</v>
      </c>
      <c r="AL52" s="2">
        <f t="shared" ca="1" si="10"/>
        <v>0</v>
      </c>
      <c r="AM52" s="2">
        <f t="shared" ca="1" si="10"/>
        <v>5000</v>
      </c>
      <c r="AN52" s="2">
        <f t="shared" ca="1" si="10"/>
        <v>0</v>
      </c>
      <c r="AO52" s="2">
        <f t="shared" ca="1" si="10"/>
        <v>5000</v>
      </c>
      <c r="AP52" s="2">
        <f t="shared" ca="1" si="10"/>
        <v>0</v>
      </c>
      <c r="AQ52" s="2">
        <f t="shared" ca="1" si="10"/>
        <v>0</v>
      </c>
      <c r="AR52" s="2">
        <f t="shared" ca="1" si="10"/>
        <v>5000</v>
      </c>
      <c r="AS52" s="2">
        <f t="shared" ca="1" si="10"/>
        <v>0</v>
      </c>
      <c r="AT52" s="2">
        <f t="shared" ca="1" si="10"/>
        <v>0</v>
      </c>
      <c r="AU52" s="2">
        <f t="shared" ca="1" si="10"/>
        <v>5000</v>
      </c>
      <c r="AV52" s="2">
        <f t="shared" ca="1" si="10"/>
        <v>0</v>
      </c>
      <c r="AW52" s="2">
        <f t="shared" ca="1" si="10"/>
        <v>5000</v>
      </c>
      <c r="AX52" s="2">
        <f t="shared" ca="1" si="10"/>
        <v>0</v>
      </c>
      <c r="AY52" s="2">
        <f t="shared" ca="1" si="10"/>
        <v>5000</v>
      </c>
      <c r="AZ52" s="2">
        <f t="shared" ca="1" si="10"/>
        <v>5000</v>
      </c>
      <c r="BA52" s="2">
        <f t="shared" ca="1" si="10"/>
        <v>0</v>
      </c>
      <c r="BB52" s="2">
        <f t="shared" ca="1" si="10"/>
        <v>5000</v>
      </c>
      <c r="BC52" s="2">
        <f t="shared" ca="1" si="10"/>
        <v>5000</v>
      </c>
      <c r="BD52" s="2">
        <f t="shared" ca="1" si="10"/>
        <v>0</v>
      </c>
      <c r="BE52" s="2">
        <f t="shared" ca="1" si="10"/>
        <v>5000</v>
      </c>
      <c r="BF52" s="2">
        <f t="shared" ca="1" si="10"/>
        <v>5000</v>
      </c>
      <c r="BG52" s="2">
        <f t="shared" ca="1" si="10"/>
        <v>5000</v>
      </c>
      <c r="BH52" s="2">
        <f t="shared" ca="1" si="10"/>
        <v>5000</v>
      </c>
      <c r="BI52" s="2">
        <f t="shared" ca="1" si="10"/>
        <v>5000</v>
      </c>
      <c r="BJ52" s="2">
        <f t="shared" ca="1" si="10"/>
        <v>5000</v>
      </c>
      <c r="BK52" s="2">
        <f t="shared" ca="1" si="10"/>
        <v>5000</v>
      </c>
      <c r="BL52" s="2">
        <f t="shared" ca="1" si="10"/>
        <v>5000</v>
      </c>
      <c r="BM52" s="2">
        <f t="shared" ca="1" si="10"/>
        <v>5000</v>
      </c>
      <c r="BN52" s="2">
        <f t="shared" ca="1" si="10"/>
        <v>5000</v>
      </c>
      <c r="BO52" s="2">
        <f t="shared" ca="1" si="10"/>
        <v>5000</v>
      </c>
      <c r="BP52" s="2">
        <f t="shared" ca="1" si="10"/>
        <v>5000</v>
      </c>
      <c r="BQ52" s="2">
        <f t="shared" ca="1" si="10"/>
        <v>5000</v>
      </c>
    </row>
    <row r="53" spans="1:69">
      <c r="D53" s="88" t="s">
        <v>293</v>
      </c>
      <c r="E53" s="2" t="str">
        <f t="shared" ref="E53:BQ53" si="11" xml:space="preserve">  E$45</f>
        <v>Units deployed</v>
      </c>
      <c r="F53" s="2">
        <f t="shared" si="11"/>
        <v>0</v>
      </c>
      <c r="G53" s="2" t="str">
        <f t="shared" si="11"/>
        <v>Units</v>
      </c>
      <c r="H53" s="2">
        <f t="shared" ca="1" si="11"/>
        <v>253879.33897738747</v>
      </c>
      <c r="I53" s="2">
        <f t="shared" si="11"/>
        <v>0</v>
      </c>
      <c r="J53" s="2">
        <f t="shared" si="11"/>
        <v>0</v>
      </c>
      <c r="K53" s="2">
        <f t="shared" ca="1" si="11"/>
        <v>0</v>
      </c>
      <c r="L53" s="2">
        <f t="shared" ca="1" si="11"/>
        <v>0</v>
      </c>
      <c r="M53" s="2">
        <f t="shared" ca="1" si="11"/>
        <v>0</v>
      </c>
      <c r="N53" s="2">
        <f t="shared" ca="1" si="11"/>
        <v>0</v>
      </c>
      <c r="O53" s="2">
        <f t="shared" ca="1" si="11"/>
        <v>0</v>
      </c>
      <c r="P53" s="2">
        <f t="shared" ca="1" si="11"/>
        <v>0</v>
      </c>
      <c r="Q53" s="2">
        <f t="shared" ca="1" si="11"/>
        <v>4196.4427041678455</v>
      </c>
      <c r="R53" s="2">
        <f t="shared" ca="1" si="11"/>
        <v>750.69634809527088</v>
      </c>
      <c r="S53" s="2">
        <f t="shared" ca="1" si="11"/>
        <v>52.860947736883645</v>
      </c>
      <c r="T53" s="2">
        <f t="shared" ca="1" si="11"/>
        <v>0</v>
      </c>
      <c r="U53" s="2">
        <f t="shared" ca="1" si="11"/>
        <v>0</v>
      </c>
      <c r="V53" s="2">
        <f t="shared" ca="1" si="11"/>
        <v>0</v>
      </c>
      <c r="W53" s="2">
        <f t="shared" ca="1" si="11"/>
        <v>4423.5199996978354</v>
      </c>
      <c r="X53" s="2">
        <f t="shared" ca="1" si="11"/>
        <v>576.48000030216463</v>
      </c>
      <c r="Y53" s="2">
        <f t="shared" ca="1" si="11"/>
        <v>0</v>
      </c>
      <c r="Z53" s="2">
        <f t="shared" ca="1" si="11"/>
        <v>0</v>
      </c>
      <c r="AA53" s="2">
        <f t="shared" ca="1" si="11"/>
        <v>0</v>
      </c>
      <c r="AB53" s="2">
        <f t="shared" ca="1" si="11"/>
        <v>0</v>
      </c>
      <c r="AC53" s="2">
        <f t="shared" ca="1" si="11"/>
        <v>5000</v>
      </c>
      <c r="AD53" s="2">
        <f t="shared" ca="1" si="11"/>
        <v>0</v>
      </c>
      <c r="AE53" s="2">
        <f t="shared" ca="1" si="11"/>
        <v>0</v>
      </c>
      <c r="AF53" s="2">
        <f t="shared" ca="1" si="11"/>
        <v>0</v>
      </c>
      <c r="AG53" s="2">
        <f t="shared" ca="1" si="11"/>
        <v>5000</v>
      </c>
      <c r="AH53" s="2">
        <f t="shared" ca="1" si="11"/>
        <v>0</v>
      </c>
      <c r="AI53" s="2">
        <f t="shared" ca="1" si="11"/>
        <v>1000</v>
      </c>
      <c r="AJ53" s="2">
        <f t="shared" ca="1" si="11"/>
        <v>1060.637385528132</v>
      </c>
      <c r="AK53" s="2">
        <f t="shared" ca="1" si="11"/>
        <v>6122.817370018367</v>
      </c>
      <c r="AL53" s="2">
        <f t="shared" ca="1" si="11"/>
        <v>1190.9020797618532</v>
      </c>
      <c r="AM53" s="2">
        <f t="shared" ca="1" si="11"/>
        <v>1263.1152682986267</v>
      </c>
      <c r="AN53" s="2">
        <f t="shared" ca="1" si="11"/>
        <v>6337.1655411476058</v>
      </c>
      <c r="AO53" s="2">
        <f t="shared" ca="1" si="11"/>
        <v>1418.2477635811072</v>
      </c>
      <c r="AP53" s="2">
        <f t="shared" ca="1" si="11"/>
        <v>6501.3926961905418</v>
      </c>
      <c r="AQ53" s="2">
        <f t="shared" ca="1" si="11"/>
        <v>1592.4332239385687</v>
      </c>
      <c r="AR53" s="2">
        <f t="shared" ca="1" si="11"/>
        <v>1688.9942112663377</v>
      </c>
      <c r="AS53" s="2">
        <f t="shared" ca="1" si="11"/>
        <v>6781.7974362806781</v>
      </c>
      <c r="AT53" s="2">
        <f t="shared" ca="1" si="11"/>
        <v>1889.5370233838521</v>
      </c>
      <c r="AU53" s="2">
        <f t="shared" ca="1" si="11"/>
        <v>2000</v>
      </c>
      <c r="AV53" s="2">
        <f t="shared" ca="1" si="11"/>
        <v>7123.1161664062074</v>
      </c>
      <c r="AW53" s="2">
        <f t="shared" ca="1" si="11"/>
        <v>2247.4089271664079</v>
      </c>
      <c r="AX53" s="2">
        <f t="shared" ca="1" si="11"/>
        <v>7383.4939697312529</v>
      </c>
      <c r="AY53" s="2">
        <f t="shared" ca="1" si="11"/>
        <v>2527.8192299912498</v>
      </c>
      <c r="AZ53" s="2">
        <f t="shared" ca="1" si="11"/>
        <v>7675.8043641867862</v>
      </c>
      <c r="BA53" s="2">
        <f t="shared" ca="1" si="11"/>
        <v>7837.8295952846602</v>
      </c>
      <c r="BB53" s="2">
        <f t="shared" ca="1" si="11"/>
        <v>3003.9635452521661</v>
      </c>
      <c r="BC53" s="2">
        <f t="shared" ca="1" si="11"/>
        <v>8187.5439973292669</v>
      </c>
      <c r="BD53" s="2">
        <f t="shared" ca="1" si="11"/>
        <v>8380.6467402188136</v>
      </c>
      <c r="BE53" s="2">
        <f t="shared" ca="1" si="11"/>
        <v>3565.0976806730232</v>
      </c>
      <c r="BF53" s="2">
        <f t="shared" ca="1" si="11"/>
        <v>8781.0727829410807</v>
      </c>
      <c r="BG53" s="2">
        <f t="shared" ca="1" si="11"/>
        <v>9902.530534348698</v>
      </c>
      <c r="BH53" s="2">
        <f t="shared" ca="1" si="11"/>
        <v>10199.579148047453</v>
      </c>
      <c r="BI53" s="2">
        <f t="shared" ca="1" si="11"/>
        <v>10504.171463878069</v>
      </c>
      <c r="BJ53" s="2">
        <f t="shared" ca="1" si="11"/>
        <v>10837.674032766308</v>
      </c>
      <c r="BK53" s="2">
        <f t="shared" ca="1" si="11"/>
        <v>11191.383817022494</v>
      </c>
      <c r="BL53" s="2">
        <f t="shared" ca="1" si="11"/>
        <v>11554.076243400472</v>
      </c>
      <c r="BM53" s="2">
        <f t="shared" ca="1" si="11"/>
        <v>11951.193471182105</v>
      </c>
      <c r="BN53" s="2">
        <f t="shared" ca="1" si="11"/>
        <v>12358.395695808518</v>
      </c>
      <c r="BO53" s="2">
        <f t="shared" ca="1" si="11"/>
        <v>12806.939616088344</v>
      </c>
      <c r="BP53" s="2">
        <f t="shared" ca="1" si="11"/>
        <v>13280.059629556923</v>
      </c>
      <c r="BQ53" s="2">
        <f t="shared" ca="1" si="11"/>
        <v>13732.498326711473</v>
      </c>
    </row>
    <row r="54" spans="1:69">
      <c r="D54" s="88" t="s">
        <v>293</v>
      </c>
      <c r="E54" s="2" t="str">
        <f t="shared" ref="E54:BQ54" si="12" xml:space="preserve">  E$18</f>
        <v>Deployed units returned</v>
      </c>
      <c r="F54" s="2">
        <f t="shared" si="12"/>
        <v>0</v>
      </c>
      <c r="G54" s="2" t="str">
        <f t="shared" si="12"/>
        <v>Units</v>
      </c>
      <c r="H54" s="2">
        <f t="shared" ca="1" si="12"/>
        <v>66570.387475079086</v>
      </c>
      <c r="I54" s="2">
        <f t="shared" si="12"/>
        <v>0</v>
      </c>
      <c r="J54" s="2">
        <f t="shared" ca="1" si="12"/>
        <v>0</v>
      </c>
      <c r="K54" s="2">
        <f t="shared" ca="1" si="12"/>
        <v>0</v>
      </c>
      <c r="L54" s="2">
        <f t="shared" ca="1" si="12"/>
        <v>0</v>
      </c>
      <c r="M54" s="2">
        <f t="shared" ca="1" si="12"/>
        <v>0</v>
      </c>
      <c r="N54" s="2">
        <f t="shared" ca="1" si="12"/>
        <v>0</v>
      </c>
      <c r="O54" s="2">
        <f t="shared" ca="1" si="12"/>
        <v>0</v>
      </c>
      <c r="P54" s="2">
        <f t="shared" ca="1" si="12"/>
        <v>0</v>
      </c>
      <c r="Q54" s="2">
        <f t="shared" ca="1" si="12"/>
        <v>0</v>
      </c>
      <c r="R54" s="2">
        <f t="shared" ca="1" si="12"/>
        <v>0</v>
      </c>
      <c r="S54" s="2">
        <f t="shared" ca="1" si="12"/>
        <v>0</v>
      </c>
      <c r="T54" s="2">
        <f t="shared" ca="1" si="12"/>
        <v>0</v>
      </c>
      <c r="U54" s="2">
        <f t="shared" ca="1" si="12"/>
        <v>0</v>
      </c>
      <c r="V54" s="2">
        <f t="shared" ca="1" si="12"/>
        <v>0</v>
      </c>
      <c r="W54" s="2">
        <f t="shared" ca="1" si="12"/>
        <v>0</v>
      </c>
      <c r="X54" s="2">
        <f t="shared" ca="1" si="12"/>
        <v>0</v>
      </c>
      <c r="Y54" s="2">
        <f t="shared" ca="1" si="12"/>
        <v>0</v>
      </c>
      <c r="Z54" s="2">
        <f t="shared" ca="1" si="12"/>
        <v>0</v>
      </c>
      <c r="AA54" s="2">
        <f t="shared" ca="1" si="12"/>
        <v>0</v>
      </c>
      <c r="AB54" s="2">
        <f t="shared" ca="1" si="12"/>
        <v>0</v>
      </c>
      <c r="AC54" s="2">
        <f t="shared" ca="1" si="12"/>
        <v>0</v>
      </c>
      <c r="AD54" s="2">
        <f t="shared" ca="1" si="12"/>
        <v>0</v>
      </c>
      <c r="AE54" s="2">
        <f t="shared" ca="1" si="12"/>
        <v>0</v>
      </c>
      <c r="AF54" s="2">
        <f t="shared" ca="1" si="12"/>
        <v>0</v>
      </c>
      <c r="AG54" s="2">
        <f t="shared" ca="1" si="12"/>
        <v>0</v>
      </c>
      <c r="AH54" s="2">
        <f t="shared" ca="1" si="12"/>
        <v>500</v>
      </c>
      <c r="AI54" s="2">
        <f t="shared" ca="1" si="12"/>
        <v>530.31869276406599</v>
      </c>
      <c r="AJ54" s="2">
        <f t="shared" ca="1" si="12"/>
        <v>561.40868500918316</v>
      </c>
      <c r="AK54" s="2">
        <f t="shared" ca="1" si="12"/>
        <v>595.4510398809266</v>
      </c>
      <c r="AL54" s="2">
        <f t="shared" ca="1" si="12"/>
        <v>631.55763414931334</v>
      </c>
      <c r="AM54" s="2">
        <f t="shared" ca="1" si="12"/>
        <v>668.58277057380337</v>
      </c>
      <c r="AN54" s="2">
        <f t="shared" ca="1" si="12"/>
        <v>709.12388179055358</v>
      </c>
      <c r="AO54" s="2">
        <f t="shared" ca="1" si="12"/>
        <v>750.69634809527076</v>
      </c>
      <c r="AP54" s="2">
        <f t="shared" ca="1" si="12"/>
        <v>796.21661196928437</v>
      </c>
      <c r="AQ54" s="2">
        <f t="shared" ca="1" si="12"/>
        <v>844.49710563316887</v>
      </c>
      <c r="AR54" s="2">
        <f t="shared" ca="1" si="12"/>
        <v>890.89871814033927</v>
      </c>
      <c r="AS54" s="2">
        <f t="shared" ca="1" si="12"/>
        <v>944.76851169192605</v>
      </c>
      <c r="AT54" s="2">
        <f t="shared" ca="1" si="12"/>
        <v>1000</v>
      </c>
      <c r="AU54" s="2">
        <f t="shared" ca="1" si="12"/>
        <v>1061.5580832031035</v>
      </c>
      <c r="AV54" s="2">
        <f t="shared" ca="1" si="12"/>
        <v>1123.704463583204</v>
      </c>
      <c r="AW54" s="2">
        <f t="shared" ca="1" si="12"/>
        <v>1191.7469848656265</v>
      </c>
      <c r="AX54" s="2">
        <f t="shared" ca="1" si="12"/>
        <v>1263.9096149956249</v>
      </c>
      <c r="AY54" s="2">
        <f t="shared" ca="1" si="12"/>
        <v>1337.9021820933933</v>
      </c>
      <c r="AZ54" s="2">
        <f t="shared" ca="1" si="12"/>
        <v>1418.9147976423296</v>
      </c>
      <c r="BA54" s="2">
        <f t="shared" ca="1" si="12"/>
        <v>1501.9817726260831</v>
      </c>
      <c r="BB54" s="2">
        <f t="shared" ca="1" si="12"/>
        <v>1593.7719986646332</v>
      </c>
      <c r="BC54" s="2">
        <f t="shared" ca="1" si="12"/>
        <v>1690.3233701094071</v>
      </c>
      <c r="BD54" s="2">
        <f t="shared" ca="1" si="12"/>
        <v>1782.5488403365116</v>
      </c>
      <c r="BE54" s="2">
        <f t="shared" ca="1" si="12"/>
        <v>1890.5363914705406</v>
      </c>
      <c r="BF54" s="2">
        <f t="shared" ca="1" si="12"/>
        <v>2451.2652671743485</v>
      </c>
      <c r="BG54" s="2">
        <f t="shared" ca="1" si="12"/>
        <v>2599.7895740237263</v>
      </c>
      <c r="BH54" s="2">
        <f t="shared" ca="1" si="12"/>
        <v>2752.0857319390348</v>
      </c>
      <c r="BI54" s="2">
        <f t="shared" ca="1" si="12"/>
        <v>2918.8370163831542</v>
      </c>
      <c r="BJ54" s="2">
        <f t="shared" ca="1" si="12"/>
        <v>3095.6919085112468</v>
      </c>
      <c r="BK54" s="2">
        <f t="shared" ca="1" si="12"/>
        <v>3277.0381217002355</v>
      </c>
      <c r="BL54" s="2">
        <f t="shared" ca="1" si="12"/>
        <v>3475.596735591052</v>
      </c>
      <c r="BM54" s="2">
        <f t="shared" ca="1" si="12"/>
        <v>3679.1978479042591</v>
      </c>
      <c r="BN54" s="2">
        <f t="shared" ca="1" si="12"/>
        <v>3903.4698080441717</v>
      </c>
      <c r="BO54" s="2">
        <f t="shared" ca="1" si="12"/>
        <v>4140.0298147784615</v>
      </c>
      <c r="BP54" s="2">
        <f t="shared" ca="1" si="12"/>
        <v>4366.2491633557374</v>
      </c>
      <c r="BQ54" s="2">
        <f t="shared" ca="1" si="12"/>
        <v>4630.7179863853571</v>
      </c>
    </row>
    <row r="55" spans="1:69">
      <c r="D55" s="88" t="s">
        <v>293</v>
      </c>
      <c r="E55" s="2" t="str">
        <f t="shared" ref="E55:BQ55" si="13" xml:space="preserve">  E$68</f>
        <v>Units retired</v>
      </c>
      <c r="F55" s="2">
        <f t="shared" si="13"/>
        <v>0</v>
      </c>
      <c r="G55" s="2" t="str">
        <f t="shared" si="13"/>
        <v>Units</v>
      </c>
      <c r="H55" s="2">
        <f t="shared" ca="1" si="13"/>
        <v>66570.387475079086</v>
      </c>
      <c r="I55" s="2">
        <f t="shared" si="13"/>
        <v>0</v>
      </c>
      <c r="J55" s="2">
        <f t="shared" ca="1" si="13"/>
        <v>0</v>
      </c>
      <c r="K55" s="2">
        <f t="shared" ca="1" si="13"/>
        <v>0</v>
      </c>
      <c r="L55" s="2">
        <f t="shared" ca="1" si="13"/>
        <v>0</v>
      </c>
      <c r="M55" s="2">
        <f t="shared" ca="1" si="13"/>
        <v>0</v>
      </c>
      <c r="N55" s="2">
        <f t="shared" ca="1" si="13"/>
        <v>0</v>
      </c>
      <c r="O55" s="2">
        <f t="shared" ca="1" si="13"/>
        <v>0</v>
      </c>
      <c r="P55" s="2">
        <f t="shared" ca="1" si="13"/>
        <v>0</v>
      </c>
      <c r="Q55" s="2">
        <f t="shared" ca="1" si="13"/>
        <v>0</v>
      </c>
      <c r="R55" s="2">
        <f t="shared" ca="1" si="13"/>
        <v>0</v>
      </c>
      <c r="S55" s="2">
        <f t="shared" ca="1" si="13"/>
        <v>0</v>
      </c>
      <c r="T55" s="2">
        <f t="shared" ca="1" si="13"/>
        <v>0</v>
      </c>
      <c r="U55" s="2">
        <f t="shared" ca="1" si="13"/>
        <v>0</v>
      </c>
      <c r="V55" s="2">
        <f t="shared" ca="1" si="13"/>
        <v>0</v>
      </c>
      <c r="W55" s="2">
        <f t="shared" ca="1" si="13"/>
        <v>0</v>
      </c>
      <c r="X55" s="2">
        <f t="shared" ca="1" si="13"/>
        <v>0</v>
      </c>
      <c r="Y55" s="2">
        <f t="shared" ca="1" si="13"/>
        <v>0</v>
      </c>
      <c r="Z55" s="2">
        <f t="shared" ca="1" si="13"/>
        <v>0</v>
      </c>
      <c r="AA55" s="2">
        <f t="shared" ca="1" si="13"/>
        <v>0</v>
      </c>
      <c r="AB55" s="2">
        <f t="shared" ca="1" si="13"/>
        <v>0</v>
      </c>
      <c r="AC55" s="2">
        <f t="shared" ca="1" si="13"/>
        <v>0</v>
      </c>
      <c r="AD55" s="2">
        <f t="shared" ca="1" si="13"/>
        <v>0</v>
      </c>
      <c r="AE55" s="2">
        <f t="shared" ca="1" si="13"/>
        <v>0</v>
      </c>
      <c r="AF55" s="2">
        <f t="shared" ca="1" si="13"/>
        <v>0</v>
      </c>
      <c r="AG55" s="2">
        <f t="shared" ca="1" si="13"/>
        <v>0</v>
      </c>
      <c r="AH55" s="2">
        <f t="shared" ca="1" si="13"/>
        <v>500</v>
      </c>
      <c r="AI55" s="2">
        <f t="shared" ca="1" si="13"/>
        <v>530.31869276406599</v>
      </c>
      <c r="AJ55" s="2">
        <f t="shared" ca="1" si="13"/>
        <v>561.40868500918316</v>
      </c>
      <c r="AK55" s="2">
        <f t="shared" ca="1" si="13"/>
        <v>595.4510398809266</v>
      </c>
      <c r="AL55" s="2">
        <f t="shared" ca="1" si="13"/>
        <v>631.55763414931334</v>
      </c>
      <c r="AM55" s="2">
        <f t="shared" ca="1" si="13"/>
        <v>668.58277057380337</v>
      </c>
      <c r="AN55" s="2">
        <f t="shared" ca="1" si="13"/>
        <v>709.12388179055358</v>
      </c>
      <c r="AO55" s="2">
        <f t="shared" ca="1" si="13"/>
        <v>750.69634809527076</v>
      </c>
      <c r="AP55" s="2">
        <f t="shared" ca="1" si="13"/>
        <v>796.21661196928437</v>
      </c>
      <c r="AQ55" s="2">
        <f t="shared" ca="1" si="13"/>
        <v>844.49710563316887</v>
      </c>
      <c r="AR55" s="2">
        <f t="shared" ca="1" si="13"/>
        <v>890.89871814033927</v>
      </c>
      <c r="AS55" s="2">
        <f t="shared" ca="1" si="13"/>
        <v>944.76851169192605</v>
      </c>
      <c r="AT55" s="2">
        <f t="shared" ca="1" si="13"/>
        <v>1000</v>
      </c>
      <c r="AU55" s="2">
        <f t="shared" ca="1" si="13"/>
        <v>1061.5580832031035</v>
      </c>
      <c r="AV55" s="2">
        <f t="shared" ca="1" si="13"/>
        <v>1123.704463583204</v>
      </c>
      <c r="AW55" s="2">
        <f t="shared" ca="1" si="13"/>
        <v>1191.7469848656265</v>
      </c>
      <c r="AX55" s="2">
        <f t="shared" ca="1" si="13"/>
        <v>1263.9096149956249</v>
      </c>
      <c r="AY55" s="2">
        <f t="shared" ca="1" si="13"/>
        <v>1337.9021820933933</v>
      </c>
      <c r="AZ55" s="2">
        <f t="shared" ca="1" si="13"/>
        <v>1418.9147976423296</v>
      </c>
      <c r="BA55" s="2">
        <f t="shared" ca="1" si="13"/>
        <v>1501.9817726260831</v>
      </c>
      <c r="BB55" s="2">
        <f t="shared" ca="1" si="13"/>
        <v>1593.7719986646332</v>
      </c>
      <c r="BC55" s="2">
        <f t="shared" ca="1" si="13"/>
        <v>1690.3233701094071</v>
      </c>
      <c r="BD55" s="2">
        <f t="shared" ca="1" si="13"/>
        <v>1782.5488403365116</v>
      </c>
      <c r="BE55" s="2">
        <f t="shared" ca="1" si="13"/>
        <v>1890.5363914705406</v>
      </c>
      <c r="BF55" s="2">
        <f t="shared" ca="1" si="13"/>
        <v>2451.2652671743485</v>
      </c>
      <c r="BG55" s="2">
        <f t="shared" ca="1" si="13"/>
        <v>2599.7895740237263</v>
      </c>
      <c r="BH55" s="2">
        <f t="shared" ca="1" si="13"/>
        <v>2752.0857319390348</v>
      </c>
      <c r="BI55" s="2">
        <f t="shared" ca="1" si="13"/>
        <v>2918.8370163831542</v>
      </c>
      <c r="BJ55" s="2">
        <f t="shared" ca="1" si="13"/>
        <v>3095.6919085112468</v>
      </c>
      <c r="BK55" s="2">
        <f t="shared" ca="1" si="13"/>
        <v>3277.0381217002355</v>
      </c>
      <c r="BL55" s="2">
        <f t="shared" ca="1" si="13"/>
        <v>3475.596735591052</v>
      </c>
      <c r="BM55" s="2">
        <f t="shared" ca="1" si="13"/>
        <v>3679.1978479042591</v>
      </c>
      <c r="BN55" s="2">
        <f t="shared" ca="1" si="13"/>
        <v>3903.4698080441717</v>
      </c>
      <c r="BO55" s="2">
        <f t="shared" ca="1" si="13"/>
        <v>4140.0298147784615</v>
      </c>
      <c r="BP55" s="2">
        <f t="shared" ca="1" si="13"/>
        <v>4366.2491633557374</v>
      </c>
      <c r="BQ55" s="2">
        <f t="shared" ca="1" si="13"/>
        <v>4630.7179863853571</v>
      </c>
    </row>
    <row r="56" spans="1:69" s="83" customFormat="1">
      <c r="A56" s="62"/>
      <c r="B56" s="62"/>
      <c r="C56" s="90"/>
      <c r="D56" s="91"/>
      <c r="E56" s="35" t="s">
        <v>130</v>
      </c>
      <c r="F56" s="35"/>
      <c r="G56" s="35" t="s">
        <v>122</v>
      </c>
      <c r="H56" s="35"/>
      <c r="I56" s="11">
        <f t="shared" ref="I56:BQ56" si="14" xml:space="preserve">  IF( I50 = 0, $F49, I51 + I52 - I53 + I54 + I55 )</f>
        <v>0</v>
      </c>
      <c r="J56" s="11">
        <f t="shared" ca="1" si="14"/>
        <v>0</v>
      </c>
      <c r="K56" s="11">
        <f t="shared" ca="1" si="14"/>
        <v>0</v>
      </c>
      <c r="L56" s="11">
        <f t="shared" ca="1" si="14"/>
        <v>0</v>
      </c>
      <c r="M56" s="11">
        <f t="shared" ca="1" si="14"/>
        <v>0</v>
      </c>
      <c r="N56" s="11">
        <f t="shared" ca="1" si="14"/>
        <v>0</v>
      </c>
      <c r="O56" s="11">
        <f t="shared" ca="1" si="14"/>
        <v>0</v>
      </c>
      <c r="P56" s="11">
        <f t="shared" ca="1" si="14"/>
        <v>5000</v>
      </c>
      <c r="Q56" s="11">
        <f t="shared" ca="1" si="14"/>
        <v>803.55729583215452</v>
      </c>
      <c r="R56" s="11">
        <f t="shared" ca="1" si="14"/>
        <v>52.860947736883645</v>
      </c>
      <c r="S56" s="11">
        <f t="shared" ca="1" si="14"/>
        <v>0</v>
      </c>
      <c r="T56" s="11">
        <f t="shared" ca="1" si="14"/>
        <v>0</v>
      </c>
      <c r="U56" s="11">
        <f t="shared" ca="1" si="14"/>
        <v>0</v>
      </c>
      <c r="V56" s="11">
        <f t="shared" ca="1" si="14"/>
        <v>5000</v>
      </c>
      <c r="W56" s="11">
        <f t="shared" ca="1" si="14"/>
        <v>576.48000030216463</v>
      </c>
      <c r="X56" s="11">
        <f t="shared" ca="1" si="14"/>
        <v>0</v>
      </c>
      <c r="Y56" s="11">
        <f t="shared" ca="1" si="14"/>
        <v>0</v>
      </c>
      <c r="Z56" s="11">
        <f t="shared" ca="1" si="14"/>
        <v>0</v>
      </c>
      <c r="AA56" s="11">
        <f t="shared" ca="1" si="14"/>
        <v>0</v>
      </c>
      <c r="AB56" s="11">
        <f t="shared" ca="1" si="14"/>
        <v>5000</v>
      </c>
      <c r="AC56" s="11">
        <f t="shared" ca="1" si="14"/>
        <v>0</v>
      </c>
      <c r="AD56" s="11">
        <f t="shared" ca="1" si="14"/>
        <v>0</v>
      </c>
      <c r="AE56" s="11">
        <f t="shared" ca="1" si="14"/>
        <v>0</v>
      </c>
      <c r="AF56" s="11">
        <f t="shared" ca="1" si="14"/>
        <v>5000</v>
      </c>
      <c r="AG56" s="11">
        <f t="shared" ca="1" si="14"/>
        <v>0</v>
      </c>
      <c r="AH56" s="11">
        <f t="shared" ca="1" si="14"/>
        <v>1000</v>
      </c>
      <c r="AI56" s="11">
        <f t="shared" ca="1" si="14"/>
        <v>1060.637385528132</v>
      </c>
      <c r="AJ56" s="11">
        <f t="shared" ca="1" si="14"/>
        <v>6122.817370018367</v>
      </c>
      <c r="AK56" s="11">
        <f t="shared" ca="1" si="14"/>
        <v>1190.9020797618532</v>
      </c>
      <c r="AL56" s="11">
        <f t="shared" ca="1" si="14"/>
        <v>1263.1152682986267</v>
      </c>
      <c r="AM56" s="11">
        <f t="shared" ca="1" si="14"/>
        <v>6337.1655411476058</v>
      </c>
      <c r="AN56" s="11">
        <f t="shared" ca="1" si="14"/>
        <v>1418.2477635811072</v>
      </c>
      <c r="AO56" s="11">
        <f t="shared" ca="1" si="14"/>
        <v>6501.3926961905418</v>
      </c>
      <c r="AP56" s="11">
        <f t="shared" ca="1" si="14"/>
        <v>1592.4332239385687</v>
      </c>
      <c r="AQ56" s="11">
        <f t="shared" ca="1" si="14"/>
        <v>1688.9942112663377</v>
      </c>
      <c r="AR56" s="11">
        <f t="shared" ca="1" si="14"/>
        <v>6781.7974362806781</v>
      </c>
      <c r="AS56" s="11">
        <f t="shared" ca="1" si="14"/>
        <v>1889.5370233838521</v>
      </c>
      <c r="AT56" s="11">
        <f t="shared" ca="1" si="14"/>
        <v>2000</v>
      </c>
      <c r="AU56" s="11">
        <f t="shared" ca="1" si="14"/>
        <v>7123.1161664062074</v>
      </c>
      <c r="AV56" s="11">
        <f t="shared" ca="1" si="14"/>
        <v>2247.4089271664079</v>
      </c>
      <c r="AW56" s="11">
        <f t="shared" ca="1" si="14"/>
        <v>7383.4939697312529</v>
      </c>
      <c r="AX56" s="11">
        <f t="shared" ca="1" si="14"/>
        <v>2527.8192299912498</v>
      </c>
      <c r="AY56" s="11">
        <f t="shared" ca="1" si="14"/>
        <v>7675.8043641867862</v>
      </c>
      <c r="AZ56" s="11">
        <f t="shared" ca="1" si="14"/>
        <v>7837.8295952846602</v>
      </c>
      <c r="BA56" s="11">
        <f t="shared" ca="1" si="14"/>
        <v>3003.9635452521661</v>
      </c>
      <c r="BB56" s="11">
        <f t="shared" ca="1" si="14"/>
        <v>8187.5439973292669</v>
      </c>
      <c r="BC56" s="11">
        <f t="shared" ca="1" si="14"/>
        <v>8380.6467402188136</v>
      </c>
      <c r="BD56" s="11">
        <f t="shared" ca="1" si="14"/>
        <v>3565.0976806730232</v>
      </c>
      <c r="BE56" s="11">
        <f t="shared" ca="1" si="14"/>
        <v>8781.0727829410807</v>
      </c>
      <c r="BF56" s="11">
        <f t="shared" ca="1" si="14"/>
        <v>9902.530534348698</v>
      </c>
      <c r="BG56" s="11">
        <f t="shared" ca="1" si="14"/>
        <v>10199.579148047453</v>
      </c>
      <c r="BH56" s="11">
        <f t="shared" ca="1" si="14"/>
        <v>10504.171463878069</v>
      </c>
      <c r="BI56" s="11">
        <f t="shared" ca="1" si="14"/>
        <v>10837.674032766308</v>
      </c>
      <c r="BJ56" s="11">
        <f t="shared" ca="1" si="14"/>
        <v>11191.383817022494</v>
      </c>
      <c r="BK56" s="11">
        <f t="shared" ca="1" si="14"/>
        <v>11554.076243400472</v>
      </c>
      <c r="BL56" s="11">
        <f t="shared" ca="1" si="14"/>
        <v>11951.193471182105</v>
      </c>
      <c r="BM56" s="11">
        <f t="shared" ca="1" si="14"/>
        <v>12358.395695808518</v>
      </c>
      <c r="BN56" s="11">
        <f t="shared" ca="1" si="14"/>
        <v>12806.939616088344</v>
      </c>
      <c r="BO56" s="11">
        <f t="shared" ca="1" si="14"/>
        <v>13280.059629556923</v>
      </c>
      <c r="BP56" s="11">
        <f t="shared" ca="1" si="14"/>
        <v>13732.498326711473</v>
      </c>
      <c r="BQ56" s="11">
        <f t="shared" ca="1" si="14"/>
        <v>14261.435972770712</v>
      </c>
    </row>
    <row r="58" spans="1:69">
      <c r="B58" s="27" t="s">
        <v>218</v>
      </c>
    </row>
    <row r="59" spans="1:69" s="85" customFormat="1">
      <c r="A59" s="59"/>
      <c r="B59" s="59"/>
      <c r="C59" s="86"/>
      <c r="D59" s="84"/>
      <c r="E59" s="40" t="str">
        <f xml:space="preserve">  InpC!E$41</f>
        <v>Opening Units in use</v>
      </c>
      <c r="F59" s="40">
        <f xml:space="preserve">  InpC!F$41</f>
        <v>0</v>
      </c>
      <c r="G59" s="40" t="str">
        <f xml:space="preserve">  InpC!G$41</f>
        <v>Units</v>
      </c>
      <c r="M59" s="87"/>
    </row>
    <row r="60" spans="1:69">
      <c r="A60" s="18"/>
      <c r="B60" s="18"/>
      <c r="C60" s="30"/>
      <c r="D60" s="31"/>
      <c r="E60" s="10" t="str">
        <f xml:space="preserve">  Time!E$28</f>
        <v>Period number</v>
      </c>
      <c r="F60" s="10">
        <f xml:space="preserve">  Time!F$28</f>
        <v>0</v>
      </c>
      <c r="G60" s="10" t="str">
        <f xml:space="preserve">  Time!G$28</f>
        <v>Counter</v>
      </c>
      <c r="H60" s="10">
        <f xml:space="preserve">  Time!H$28</f>
        <v>0</v>
      </c>
      <c r="I60" s="10">
        <f xml:space="preserve">  Time!I$28</f>
        <v>0</v>
      </c>
      <c r="J60" s="10">
        <f xml:space="preserve">  Time!J$28</f>
        <v>1</v>
      </c>
      <c r="K60" s="10">
        <f xml:space="preserve">  Time!K$28</f>
        <v>2</v>
      </c>
      <c r="L60" s="10">
        <f xml:space="preserve">  Time!L$28</f>
        <v>3</v>
      </c>
      <c r="M60" s="10">
        <f xml:space="preserve">  Time!M$28</f>
        <v>4</v>
      </c>
      <c r="N60" s="10">
        <f xml:space="preserve">  Time!N$28</f>
        <v>5</v>
      </c>
      <c r="O60" s="10">
        <f xml:space="preserve">  Time!O$28</f>
        <v>6</v>
      </c>
      <c r="P60" s="10">
        <f xml:space="preserve">  Time!P$28</f>
        <v>7</v>
      </c>
      <c r="Q60" s="10">
        <f xml:space="preserve">  Time!Q$28</f>
        <v>8</v>
      </c>
      <c r="R60" s="10">
        <f xml:space="preserve">  Time!R$28</f>
        <v>9</v>
      </c>
      <c r="S60" s="10">
        <f xml:space="preserve">  Time!S$28</f>
        <v>10</v>
      </c>
      <c r="T60" s="10">
        <f xml:space="preserve">  Time!T$28</f>
        <v>11</v>
      </c>
      <c r="U60" s="10">
        <f xml:space="preserve">  Time!U$28</f>
        <v>12</v>
      </c>
      <c r="V60" s="10">
        <f xml:space="preserve">  Time!V$28</f>
        <v>13</v>
      </c>
      <c r="W60" s="10">
        <f xml:space="preserve">  Time!W$28</f>
        <v>14</v>
      </c>
      <c r="X60" s="10">
        <f xml:space="preserve">  Time!X$28</f>
        <v>15</v>
      </c>
      <c r="Y60" s="10">
        <f xml:space="preserve">  Time!Y$28</f>
        <v>16</v>
      </c>
      <c r="Z60" s="10">
        <f xml:space="preserve">  Time!Z$28</f>
        <v>17</v>
      </c>
      <c r="AA60" s="10">
        <f xml:space="preserve">  Time!AA$28</f>
        <v>18</v>
      </c>
      <c r="AB60" s="10">
        <f xml:space="preserve">  Time!AB$28</f>
        <v>19</v>
      </c>
      <c r="AC60" s="10">
        <f xml:space="preserve">  Time!AC$28</f>
        <v>20</v>
      </c>
      <c r="AD60" s="10">
        <f xml:space="preserve">  Time!AD$28</f>
        <v>21</v>
      </c>
      <c r="AE60" s="10">
        <f xml:space="preserve">  Time!AE$28</f>
        <v>22</v>
      </c>
      <c r="AF60" s="10">
        <f xml:space="preserve">  Time!AF$28</f>
        <v>23</v>
      </c>
      <c r="AG60" s="10">
        <f xml:space="preserve">  Time!AG$28</f>
        <v>24</v>
      </c>
      <c r="AH60" s="10">
        <f xml:space="preserve">  Time!AH$28</f>
        <v>25</v>
      </c>
      <c r="AI60" s="10">
        <f xml:space="preserve">  Time!AI$28</f>
        <v>26</v>
      </c>
      <c r="AJ60" s="10">
        <f xml:space="preserve">  Time!AJ$28</f>
        <v>27</v>
      </c>
      <c r="AK60" s="10">
        <f xml:space="preserve">  Time!AK$28</f>
        <v>28</v>
      </c>
      <c r="AL60" s="10">
        <f xml:space="preserve">  Time!AL$28</f>
        <v>29</v>
      </c>
      <c r="AM60" s="10">
        <f xml:space="preserve">  Time!AM$28</f>
        <v>30</v>
      </c>
      <c r="AN60" s="10">
        <f xml:space="preserve">  Time!AN$28</f>
        <v>31</v>
      </c>
      <c r="AO60" s="10">
        <f xml:space="preserve">  Time!AO$28</f>
        <v>32</v>
      </c>
      <c r="AP60" s="10">
        <f xml:space="preserve">  Time!AP$28</f>
        <v>33</v>
      </c>
      <c r="AQ60" s="10">
        <f xml:space="preserve">  Time!AQ$28</f>
        <v>34</v>
      </c>
      <c r="AR60" s="10">
        <f xml:space="preserve">  Time!AR$28</f>
        <v>35</v>
      </c>
      <c r="AS60" s="10">
        <f xml:space="preserve">  Time!AS$28</f>
        <v>36</v>
      </c>
      <c r="AT60" s="10">
        <f xml:space="preserve">  Time!AT$28</f>
        <v>37</v>
      </c>
      <c r="AU60" s="10">
        <f xml:space="preserve">  Time!AU$28</f>
        <v>38</v>
      </c>
      <c r="AV60" s="10">
        <f xml:space="preserve">  Time!AV$28</f>
        <v>39</v>
      </c>
      <c r="AW60" s="10">
        <f xml:space="preserve">  Time!AW$28</f>
        <v>40</v>
      </c>
      <c r="AX60" s="10">
        <f xml:space="preserve">  Time!AX$28</f>
        <v>41</v>
      </c>
      <c r="AY60" s="10">
        <f xml:space="preserve">  Time!AY$28</f>
        <v>42</v>
      </c>
      <c r="AZ60" s="10">
        <f xml:space="preserve">  Time!AZ$28</f>
        <v>43</v>
      </c>
      <c r="BA60" s="10">
        <f xml:space="preserve">  Time!BA$28</f>
        <v>44</v>
      </c>
      <c r="BB60" s="10">
        <f xml:space="preserve">  Time!BB$28</f>
        <v>45</v>
      </c>
      <c r="BC60" s="10">
        <f xml:space="preserve">  Time!BC$28</f>
        <v>46</v>
      </c>
      <c r="BD60" s="10">
        <f xml:space="preserve">  Time!BD$28</f>
        <v>47</v>
      </c>
      <c r="BE60" s="10">
        <f xml:space="preserve">  Time!BE$28</f>
        <v>48</v>
      </c>
      <c r="BF60" s="10">
        <f xml:space="preserve">  Time!BF$28</f>
        <v>49</v>
      </c>
      <c r="BG60" s="10">
        <f xml:space="preserve">  Time!BG$28</f>
        <v>50</v>
      </c>
      <c r="BH60" s="10">
        <f xml:space="preserve">  Time!BH$28</f>
        <v>51</v>
      </c>
      <c r="BI60" s="10">
        <f xml:space="preserve">  Time!BI$28</f>
        <v>52</v>
      </c>
      <c r="BJ60" s="10">
        <f xml:space="preserve">  Time!BJ$28</f>
        <v>53</v>
      </c>
      <c r="BK60" s="10">
        <f xml:space="preserve">  Time!BK$28</f>
        <v>54</v>
      </c>
      <c r="BL60" s="10">
        <f xml:space="preserve">  Time!BL$28</f>
        <v>55</v>
      </c>
      <c r="BM60" s="10">
        <f xml:space="preserve">  Time!BM$28</f>
        <v>56</v>
      </c>
      <c r="BN60" s="10">
        <f xml:space="preserve">  Time!BN$28</f>
        <v>57</v>
      </c>
      <c r="BO60" s="10">
        <f xml:space="preserve">  Time!BO$28</f>
        <v>58</v>
      </c>
      <c r="BP60" s="10">
        <f xml:space="preserve">  Time!BP$28</f>
        <v>59</v>
      </c>
      <c r="BQ60" s="10">
        <f xml:space="preserve">  Time!BQ$28</f>
        <v>60</v>
      </c>
    </row>
    <row r="61" spans="1:69">
      <c r="E61" s="46" t="s">
        <v>339</v>
      </c>
      <c r="G61" s="46" t="s">
        <v>122</v>
      </c>
      <c r="J61" s="2">
        <f t="shared" ref="J61:BQ61" si="15" xml:space="preserve">  I64</f>
        <v>0</v>
      </c>
      <c r="K61" s="2">
        <f t="shared" ca="1" si="15"/>
        <v>0</v>
      </c>
      <c r="L61" s="2">
        <f t="shared" ca="1" si="15"/>
        <v>0</v>
      </c>
      <c r="M61" s="2">
        <f t="shared" ca="1" si="15"/>
        <v>0</v>
      </c>
      <c r="N61" s="2">
        <f t="shared" ca="1" si="15"/>
        <v>0</v>
      </c>
      <c r="O61" s="2">
        <f t="shared" ca="1" si="15"/>
        <v>0</v>
      </c>
      <c r="P61" s="2">
        <f t="shared" ca="1" si="15"/>
        <v>0</v>
      </c>
      <c r="Q61" s="2">
        <f t="shared" ca="1" si="15"/>
        <v>0</v>
      </c>
      <c r="R61" s="2">
        <f t="shared" ca="1" si="15"/>
        <v>4196.4427041678455</v>
      </c>
      <c r="S61" s="2">
        <f t="shared" ca="1" si="15"/>
        <v>4947.1390522631164</v>
      </c>
      <c r="T61" s="2">
        <f t="shared" ca="1" si="15"/>
        <v>5000</v>
      </c>
      <c r="U61" s="2">
        <f t="shared" ca="1" si="15"/>
        <v>5000</v>
      </c>
      <c r="V61" s="2">
        <f t="shared" ca="1" si="15"/>
        <v>5000</v>
      </c>
      <c r="W61" s="2">
        <f t="shared" ca="1" si="15"/>
        <v>5000</v>
      </c>
      <c r="X61" s="2">
        <f t="shared" ca="1" si="15"/>
        <v>9423.5199996978354</v>
      </c>
      <c r="Y61" s="2">
        <f t="shared" ca="1" si="15"/>
        <v>10000</v>
      </c>
      <c r="Z61" s="2">
        <f t="shared" ca="1" si="15"/>
        <v>10000</v>
      </c>
      <c r="AA61" s="2">
        <f t="shared" ca="1" si="15"/>
        <v>10000</v>
      </c>
      <c r="AB61" s="2">
        <f t="shared" ca="1" si="15"/>
        <v>10000</v>
      </c>
      <c r="AC61" s="2">
        <f t="shared" ca="1" si="15"/>
        <v>10000</v>
      </c>
      <c r="AD61" s="2">
        <f t="shared" ca="1" si="15"/>
        <v>15000</v>
      </c>
      <c r="AE61" s="2">
        <f t="shared" ca="1" si="15"/>
        <v>15000</v>
      </c>
      <c r="AF61" s="2">
        <f t="shared" ca="1" si="15"/>
        <v>15000</v>
      </c>
      <c r="AG61" s="2">
        <f t="shared" ca="1" si="15"/>
        <v>15000</v>
      </c>
      <c r="AH61" s="2">
        <f t="shared" ca="1" si="15"/>
        <v>20000</v>
      </c>
      <c r="AI61" s="2">
        <f t="shared" ca="1" si="15"/>
        <v>19500</v>
      </c>
      <c r="AJ61" s="2">
        <f t="shared" ca="1" si="15"/>
        <v>19969.681307235933</v>
      </c>
      <c r="AK61" s="2">
        <f t="shared" ca="1" si="15"/>
        <v>20468.910007754879</v>
      </c>
      <c r="AL61" s="2">
        <f t="shared" ca="1" si="15"/>
        <v>25996.276337892323</v>
      </c>
      <c r="AM61" s="2">
        <f t="shared" ca="1" si="15"/>
        <v>26555.620783504863</v>
      </c>
      <c r="AN61" s="2">
        <f t="shared" ca="1" si="15"/>
        <v>27150.153281229686</v>
      </c>
      <c r="AO61" s="2">
        <f t="shared" ca="1" si="15"/>
        <v>32778.194940586734</v>
      </c>
      <c r="AP61" s="2">
        <f t="shared" ca="1" si="15"/>
        <v>33445.746356072574</v>
      </c>
      <c r="AQ61" s="2">
        <f t="shared" ca="1" si="15"/>
        <v>39150.922440293827</v>
      </c>
      <c r="AR61" s="2">
        <f t="shared" ca="1" si="15"/>
        <v>39898.858558599226</v>
      </c>
      <c r="AS61" s="2">
        <f t="shared" ca="1" si="15"/>
        <v>40696.954051725224</v>
      </c>
      <c r="AT61" s="2">
        <f t="shared" ca="1" si="15"/>
        <v>46533.982976313979</v>
      </c>
      <c r="AU61" s="2">
        <f t="shared" ca="1" si="15"/>
        <v>47423.519999697834</v>
      </c>
      <c r="AV61" s="2">
        <f t="shared" ca="1" si="15"/>
        <v>48361.961916494729</v>
      </c>
      <c r="AW61" s="2">
        <f t="shared" ca="1" si="15"/>
        <v>54361.373619317732</v>
      </c>
      <c r="AX61" s="2">
        <f t="shared" ca="1" si="15"/>
        <v>55417.035561618512</v>
      </c>
      <c r="AY61" s="2">
        <f t="shared" ca="1" si="15"/>
        <v>61536.619916354139</v>
      </c>
      <c r="AZ61" s="2">
        <f t="shared" ca="1" si="15"/>
        <v>62726.536964251995</v>
      </c>
      <c r="BA61" s="2">
        <f t="shared" ca="1" si="15"/>
        <v>68983.426530796452</v>
      </c>
      <c r="BB61" s="2">
        <f t="shared" ca="1" si="15"/>
        <v>75319.274353455025</v>
      </c>
      <c r="BC61" s="2">
        <f t="shared" ca="1" si="15"/>
        <v>76729.46590004256</v>
      </c>
      <c r="BD61" s="2">
        <f t="shared" ca="1" si="15"/>
        <v>83226.686527262413</v>
      </c>
      <c r="BE61" s="2">
        <f t="shared" ca="1" si="15"/>
        <v>89824.78442714471</v>
      </c>
      <c r="BF61" s="2">
        <f t="shared" ca="1" si="15"/>
        <v>91499.34571634719</v>
      </c>
      <c r="BG61" s="2">
        <f t="shared" ca="1" si="15"/>
        <v>97829.153232113924</v>
      </c>
      <c r="BH61" s="2">
        <f t="shared" ca="1" si="15"/>
        <v>105131.89419243889</v>
      </c>
      <c r="BI61" s="2">
        <f t="shared" ca="1" si="15"/>
        <v>112579.38760854732</v>
      </c>
      <c r="BJ61" s="2">
        <f t="shared" ca="1" si="15"/>
        <v>120164.72205604223</v>
      </c>
      <c r="BK61" s="2">
        <f t="shared" ca="1" si="15"/>
        <v>127906.7041802973</v>
      </c>
      <c r="BL61" s="2">
        <f t="shared" ca="1" si="15"/>
        <v>135821.04987561956</v>
      </c>
      <c r="BM61" s="2">
        <f t="shared" ca="1" si="15"/>
        <v>143899.52938342901</v>
      </c>
      <c r="BN61" s="2">
        <f t="shared" ca="1" si="15"/>
        <v>152171.52500670686</v>
      </c>
      <c r="BO61" s="2">
        <f t="shared" ca="1" si="15"/>
        <v>160626.4508944712</v>
      </c>
      <c r="BP61" s="2">
        <f t="shared" ca="1" si="15"/>
        <v>169293.3606957811</v>
      </c>
      <c r="BQ61" s="2">
        <f t="shared" ca="1" si="15"/>
        <v>178207.17116198229</v>
      </c>
    </row>
    <row r="62" spans="1:69">
      <c r="D62" s="88" t="s">
        <v>216</v>
      </c>
      <c r="E62" s="2" t="str">
        <f t="shared" ref="E62:BQ62" si="16" xml:space="preserve">  E$45</f>
        <v>Units deployed</v>
      </c>
      <c r="F62" s="2">
        <f t="shared" si="16"/>
        <v>0</v>
      </c>
      <c r="G62" s="2" t="str">
        <f t="shared" si="16"/>
        <v>Units</v>
      </c>
      <c r="H62" s="2">
        <f t="shared" ca="1" si="16"/>
        <v>253879.33897738747</v>
      </c>
      <c r="I62" s="2">
        <f t="shared" si="16"/>
        <v>0</v>
      </c>
      <c r="J62" s="2">
        <f t="shared" si="16"/>
        <v>0</v>
      </c>
      <c r="K62" s="2">
        <f t="shared" ca="1" si="16"/>
        <v>0</v>
      </c>
      <c r="L62" s="2">
        <f t="shared" ca="1" si="16"/>
        <v>0</v>
      </c>
      <c r="M62" s="2">
        <f t="shared" ca="1" si="16"/>
        <v>0</v>
      </c>
      <c r="N62" s="2">
        <f t="shared" ca="1" si="16"/>
        <v>0</v>
      </c>
      <c r="O62" s="2">
        <f t="shared" ca="1" si="16"/>
        <v>0</v>
      </c>
      <c r="P62" s="2">
        <f t="shared" ca="1" si="16"/>
        <v>0</v>
      </c>
      <c r="Q62" s="2">
        <f t="shared" ca="1" si="16"/>
        <v>4196.4427041678455</v>
      </c>
      <c r="R62" s="2">
        <f t="shared" ca="1" si="16"/>
        <v>750.69634809527088</v>
      </c>
      <c r="S62" s="2">
        <f t="shared" ca="1" si="16"/>
        <v>52.860947736883645</v>
      </c>
      <c r="T62" s="2">
        <f t="shared" ca="1" si="16"/>
        <v>0</v>
      </c>
      <c r="U62" s="2">
        <f t="shared" ca="1" si="16"/>
        <v>0</v>
      </c>
      <c r="V62" s="2">
        <f t="shared" ca="1" si="16"/>
        <v>0</v>
      </c>
      <c r="W62" s="2">
        <f t="shared" ca="1" si="16"/>
        <v>4423.5199996978354</v>
      </c>
      <c r="X62" s="2">
        <f t="shared" ca="1" si="16"/>
        <v>576.48000030216463</v>
      </c>
      <c r="Y62" s="2">
        <f t="shared" ca="1" si="16"/>
        <v>0</v>
      </c>
      <c r="Z62" s="2">
        <f t="shared" ca="1" si="16"/>
        <v>0</v>
      </c>
      <c r="AA62" s="2">
        <f t="shared" ca="1" si="16"/>
        <v>0</v>
      </c>
      <c r="AB62" s="2">
        <f t="shared" ca="1" si="16"/>
        <v>0</v>
      </c>
      <c r="AC62" s="2">
        <f t="shared" ca="1" si="16"/>
        <v>5000</v>
      </c>
      <c r="AD62" s="2">
        <f t="shared" ca="1" si="16"/>
        <v>0</v>
      </c>
      <c r="AE62" s="2">
        <f t="shared" ca="1" si="16"/>
        <v>0</v>
      </c>
      <c r="AF62" s="2">
        <f t="shared" ca="1" si="16"/>
        <v>0</v>
      </c>
      <c r="AG62" s="2">
        <f t="shared" ca="1" si="16"/>
        <v>5000</v>
      </c>
      <c r="AH62" s="2">
        <f t="shared" ca="1" si="16"/>
        <v>0</v>
      </c>
      <c r="AI62" s="2">
        <f t="shared" ca="1" si="16"/>
        <v>1000</v>
      </c>
      <c r="AJ62" s="2">
        <f t="shared" ca="1" si="16"/>
        <v>1060.637385528132</v>
      </c>
      <c r="AK62" s="2">
        <f t="shared" ca="1" si="16"/>
        <v>6122.817370018367</v>
      </c>
      <c r="AL62" s="2">
        <f t="shared" ca="1" si="16"/>
        <v>1190.9020797618532</v>
      </c>
      <c r="AM62" s="2">
        <f t="shared" ca="1" si="16"/>
        <v>1263.1152682986267</v>
      </c>
      <c r="AN62" s="2">
        <f t="shared" ca="1" si="16"/>
        <v>6337.1655411476058</v>
      </c>
      <c r="AO62" s="2">
        <f t="shared" ca="1" si="16"/>
        <v>1418.2477635811072</v>
      </c>
      <c r="AP62" s="2">
        <f t="shared" ca="1" si="16"/>
        <v>6501.3926961905418</v>
      </c>
      <c r="AQ62" s="2">
        <f t="shared" ca="1" si="16"/>
        <v>1592.4332239385687</v>
      </c>
      <c r="AR62" s="2">
        <f t="shared" ca="1" si="16"/>
        <v>1688.9942112663377</v>
      </c>
      <c r="AS62" s="2">
        <f t="shared" ca="1" si="16"/>
        <v>6781.7974362806781</v>
      </c>
      <c r="AT62" s="2">
        <f t="shared" ca="1" si="16"/>
        <v>1889.5370233838521</v>
      </c>
      <c r="AU62" s="2">
        <f t="shared" ca="1" si="16"/>
        <v>2000</v>
      </c>
      <c r="AV62" s="2">
        <f t="shared" ca="1" si="16"/>
        <v>7123.1161664062074</v>
      </c>
      <c r="AW62" s="2">
        <f t="shared" ca="1" si="16"/>
        <v>2247.4089271664079</v>
      </c>
      <c r="AX62" s="2">
        <f t="shared" ca="1" si="16"/>
        <v>7383.4939697312529</v>
      </c>
      <c r="AY62" s="2">
        <f t="shared" ca="1" si="16"/>
        <v>2527.8192299912498</v>
      </c>
      <c r="AZ62" s="2">
        <f t="shared" ca="1" si="16"/>
        <v>7675.8043641867862</v>
      </c>
      <c r="BA62" s="2">
        <f t="shared" ca="1" si="16"/>
        <v>7837.8295952846602</v>
      </c>
      <c r="BB62" s="2">
        <f t="shared" ca="1" si="16"/>
        <v>3003.9635452521661</v>
      </c>
      <c r="BC62" s="2">
        <f t="shared" ca="1" si="16"/>
        <v>8187.5439973292669</v>
      </c>
      <c r="BD62" s="2">
        <f t="shared" ca="1" si="16"/>
        <v>8380.6467402188136</v>
      </c>
      <c r="BE62" s="2">
        <f t="shared" ca="1" si="16"/>
        <v>3565.0976806730232</v>
      </c>
      <c r="BF62" s="2">
        <f t="shared" ca="1" si="16"/>
        <v>8781.0727829410807</v>
      </c>
      <c r="BG62" s="2">
        <f t="shared" ca="1" si="16"/>
        <v>9902.530534348698</v>
      </c>
      <c r="BH62" s="2">
        <f t="shared" ca="1" si="16"/>
        <v>10199.579148047453</v>
      </c>
      <c r="BI62" s="2">
        <f t="shared" ca="1" si="16"/>
        <v>10504.171463878069</v>
      </c>
      <c r="BJ62" s="2">
        <f t="shared" ca="1" si="16"/>
        <v>10837.674032766308</v>
      </c>
      <c r="BK62" s="2">
        <f t="shared" ca="1" si="16"/>
        <v>11191.383817022494</v>
      </c>
      <c r="BL62" s="2">
        <f t="shared" ca="1" si="16"/>
        <v>11554.076243400472</v>
      </c>
      <c r="BM62" s="2">
        <f t="shared" ca="1" si="16"/>
        <v>11951.193471182105</v>
      </c>
      <c r="BN62" s="2">
        <f t="shared" ca="1" si="16"/>
        <v>12358.395695808518</v>
      </c>
      <c r="BO62" s="2">
        <f t="shared" ca="1" si="16"/>
        <v>12806.939616088344</v>
      </c>
      <c r="BP62" s="2">
        <f t="shared" ca="1" si="16"/>
        <v>13280.059629556923</v>
      </c>
      <c r="BQ62" s="2">
        <f t="shared" ca="1" si="16"/>
        <v>13732.498326711473</v>
      </c>
    </row>
    <row r="63" spans="1:69">
      <c r="D63" s="88" t="s">
        <v>293</v>
      </c>
      <c r="E63" s="2" t="str">
        <f t="shared" ref="E63:BQ63" si="17" xml:space="preserve">  E$18</f>
        <v>Deployed units returned</v>
      </c>
      <c r="F63" s="2">
        <f t="shared" si="17"/>
        <v>0</v>
      </c>
      <c r="G63" s="2" t="str">
        <f t="shared" si="17"/>
        <v>Units</v>
      </c>
      <c r="H63" s="2">
        <f t="shared" ca="1" si="17"/>
        <v>66570.387475079086</v>
      </c>
      <c r="I63" s="2">
        <f t="shared" si="17"/>
        <v>0</v>
      </c>
      <c r="J63" s="2">
        <f t="shared" ca="1" si="17"/>
        <v>0</v>
      </c>
      <c r="K63" s="2">
        <f t="shared" ca="1" si="17"/>
        <v>0</v>
      </c>
      <c r="L63" s="2">
        <f t="shared" ca="1" si="17"/>
        <v>0</v>
      </c>
      <c r="M63" s="2">
        <f t="shared" ca="1" si="17"/>
        <v>0</v>
      </c>
      <c r="N63" s="2">
        <f t="shared" ca="1" si="17"/>
        <v>0</v>
      </c>
      <c r="O63" s="2">
        <f t="shared" ca="1" si="17"/>
        <v>0</v>
      </c>
      <c r="P63" s="2">
        <f t="shared" ca="1" si="17"/>
        <v>0</v>
      </c>
      <c r="Q63" s="2">
        <f t="shared" ca="1" si="17"/>
        <v>0</v>
      </c>
      <c r="R63" s="2">
        <f t="shared" ca="1" si="17"/>
        <v>0</v>
      </c>
      <c r="S63" s="2">
        <f t="shared" ca="1" si="17"/>
        <v>0</v>
      </c>
      <c r="T63" s="2">
        <f t="shared" ca="1" si="17"/>
        <v>0</v>
      </c>
      <c r="U63" s="2">
        <f t="shared" ca="1" si="17"/>
        <v>0</v>
      </c>
      <c r="V63" s="2">
        <f t="shared" ca="1" si="17"/>
        <v>0</v>
      </c>
      <c r="W63" s="2">
        <f t="shared" ca="1" si="17"/>
        <v>0</v>
      </c>
      <c r="X63" s="2">
        <f t="shared" ca="1" si="17"/>
        <v>0</v>
      </c>
      <c r="Y63" s="2">
        <f t="shared" ca="1" si="17"/>
        <v>0</v>
      </c>
      <c r="Z63" s="2">
        <f t="shared" ca="1" si="17"/>
        <v>0</v>
      </c>
      <c r="AA63" s="2">
        <f t="shared" ca="1" si="17"/>
        <v>0</v>
      </c>
      <c r="AB63" s="2">
        <f t="shared" ca="1" si="17"/>
        <v>0</v>
      </c>
      <c r="AC63" s="2">
        <f t="shared" ca="1" si="17"/>
        <v>0</v>
      </c>
      <c r="AD63" s="2">
        <f t="shared" ca="1" si="17"/>
        <v>0</v>
      </c>
      <c r="AE63" s="2">
        <f t="shared" ca="1" si="17"/>
        <v>0</v>
      </c>
      <c r="AF63" s="2">
        <f t="shared" ca="1" si="17"/>
        <v>0</v>
      </c>
      <c r="AG63" s="2">
        <f t="shared" ca="1" si="17"/>
        <v>0</v>
      </c>
      <c r="AH63" s="2">
        <f t="shared" ca="1" si="17"/>
        <v>500</v>
      </c>
      <c r="AI63" s="2">
        <f t="shared" ca="1" si="17"/>
        <v>530.31869276406599</v>
      </c>
      <c r="AJ63" s="2">
        <f t="shared" ca="1" si="17"/>
        <v>561.40868500918316</v>
      </c>
      <c r="AK63" s="2">
        <f t="shared" ca="1" si="17"/>
        <v>595.4510398809266</v>
      </c>
      <c r="AL63" s="2">
        <f t="shared" ca="1" si="17"/>
        <v>631.55763414931334</v>
      </c>
      <c r="AM63" s="2">
        <f t="shared" ca="1" si="17"/>
        <v>668.58277057380337</v>
      </c>
      <c r="AN63" s="2">
        <f t="shared" ca="1" si="17"/>
        <v>709.12388179055358</v>
      </c>
      <c r="AO63" s="2">
        <f t="shared" ca="1" si="17"/>
        <v>750.69634809527076</v>
      </c>
      <c r="AP63" s="2">
        <f t="shared" ca="1" si="17"/>
        <v>796.21661196928437</v>
      </c>
      <c r="AQ63" s="2">
        <f t="shared" ca="1" si="17"/>
        <v>844.49710563316887</v>
      </c>
      <c r="AR63" s="2">
        <f t="shared" ca="1" si="17"/>
        <v>890.89871814033927</v>
      </c>
      <c r="AS63" s="2">
        <f t="shared" ca="1" si="17"/>
        <v>944.76851169192605</v>
      </c>
      <c r="AT63" s="2">
        <f t="shared" ca="1" si="17"/>
        <v>1000</v>
      </c>
      <c r="AU63" s="2">
        <f t="shared" ca="1" si="17"/>
        <v>1061.5580832031035</v>
      </c>
      <c r="AV63" s="2">
        <f t="shared" ca="1" si="17"/>
        <v>1123.704463583204</v>
      </c>
      <c r="AW63" s="2">
        <f t="shared" ca="1" si="17"/>
        <v>1191.7469848656265</v>
      </c>
      <c r="AX63" s="2">
        <f t="shared" ca="1" si="17"/>
        <v>1263.9096149956249</v>
      </c>
      <c r="AY63" s="2">
        <f t="shared" ca="1" si="17"/>
        <v>1337.9021820933933</v>
      </c>
      <c r="AZ63" s="2">
        <f t="shared" ca="1" si="17"/>
        <v>1418.9147976423296</v>
      </c>
      <c r="BA63" s="2">
        <f t="shared" ca="1" si="17"/>
        <v>1501.9817726260831</v>
      </c>
      <c r="BB63" s="2">
        <f t="shared" ca="1" si="17"/>
        <v>1593.7719986646332</v>
      </c>
      <c r="BC63" s="2">
        <f t="shared" ca="1" si="17"/>
        <v>1690.3233701094071</v>
      </c>
      <c r="BD63" s="2">
        <f t="shared" ca="1" si="17"/>
        <v>1782.5488403365116</v>
      </c>
      <c r="BE63" s="2">
        <f t="shared" ca="1" si="17"/>
        <v>1890.5363914705406</v>
      </c>
      <c r="BF63" s="2">
        <f t="shared" ca="1" si="17"/>
        <v>2451.2652671743485</v>
      </c>
      <c r="BG63" s="2">
        <f t="shared" ca="1" si="17"/>
        <v>2599.7895740237263</v>
      </c>
      <c r="BH63" s="2">
        <f t="shared" ca="1" si="17"/>
        <v>2752.0857319390348</v>
      </c>
      <c r="BI63" s="2">
        <f t="shared" ca="1" si="17"/>
        <v>2918.8370163831542</v>
      </c>
      <c r="BJ63" s="2">
        <f t="shared" ca="1" si="17"/>
        <v>3095.6919085112468</v>
      </c>
      <c r="BK63" s="2">
        <f t="shared" ca="1" si="17"/>
        <v>3277.0381217002355</v>
      </c>
      <c r="BL63" s="2">
        <f t="shared" ca="1" si="17"/>
        <v>3475.596735591052</v>
      </c>
      <c r="BM63" s="2">
        <f t="shared" ca="1" si="17"/>
        <v>3679.1978479042591</v>
      </c>
      <c r="BN63" s="2">
        <f t="shared" ca="1" si="17"/>
        <v>3903.4698080441717</v>
      </c>
      <c r="BO63" s="2">
        <f t="shared" ca="1" si="17"/>
        <v>4140.0298147784615</v>
      </c>
      <c r="BP63" s="2">
        <f t="shared" ca="1" si="17"/>
        <v>4366.2491633557374</v>
      </c>
      <c r="BQ63" s="2">
        <f t="shared" ca="1" si="17"/>
        <v>4630.7179863853571</v>
      </c>
    </row>
    <row r="64" spans="1:69" s="83" customFormat="1">
      <c r="A64" s="62"/>
      <c r="B64" s="62"/>
      <c r="C64" s="90"/>
      <c r="D64" s="91"/>
      <c r="E64" s="35" t="s">
        <v>218</v>
      </c>
      <c r="F64" s="35"/>
      <c r="G64" s="35" t="s">
        <v>122</v>
      </c>
      <c r="H64" s="35"/>
      <c r="I64" s="11">
        <f t="shared" ref="I64:BQ64" si="18" xml:space="preserve">  IF( I60 = 0, $F59, I61 + I62 - I63 )</f>
        <v>0</v>
      </c>
      <c r="J64" s="11">
        <f t="shared" ca="1" si="18"/>
        <v>0</v>
      </c>
      <c r="K64" s="11">
        <f t="shared" ca="1" si="18"/>
        <v>0</v>
      </c>
      <c r="L64" s="11">
        <f t="shared" ca="1" si="18"/>
        <v>0</v>
      </c>
      <c r="M64" s="11">
        <f t="shared" ca="1" si="18"/>
        <v>0</v>
      </c>
      <c r="N64" s="11">
        <f t="shared" ca="1" si="18"/>
        <v>0</v>
      </c>
      <c r="O64" s="11">
        <f t="shared" ca="1" si="18"/>
        <v>0</v>
      </c>
      <c r="P64" s="11">
        <f t="shared" ca="1" si="18"/>
        <v>0</v>
      </c>
      <c r="Q64" s="11">
        <f t="shared" ca="1" si="18"/>
        <v>4196.4427041678455</v>
      </c>
      <c r="R64" s="11">
        <f t="shared" ca="1" si="18"/>
        <v>4947.1390522631164</v>
      </c>
      <c r="S64" s="11">
        <f t="shared" ca="1" si="18"/>
        <v>5000</v>
      </c>
      <c r="T64" s="11">
        <f t="shared" ca="1" si="18"/>
        <v>5000</v>
      </c>
      <c r="U64" s="11">
        <f t="shared" ca="1" si="18"/>
        <v>5000</v>
      </c>
      <c r="V64" s="11">
        <f t="shared" ca="1" si="18"/>
        <v>5000</v>
      </c>
      <c r="W64" s="11">
        <f t="shared" ca="1" si="18"/>
        <v>9423.5199996978354</v>
      </c>
      <c r="X64" s="11">
        <f t="shared" ca="1" si="18"/>
        <v>10000</v>
      </c>
      <c r="Y64" s="11">
        <f t="shared" ca="1" si="18"/>
        <v>10000</v>
      </c>
      <c r="Z64" s="11">
        <f t="shared" ca="1" si="18"/>
        <v>10000</v>
      </c>
      <c r="AA64" s="11">
        <f t="shared" ca="1" si="18"/>
        <v>10000</v>
      </c>
      <c r="AB64" s="11">
        <f t="shared" ca="1" si="18"/>
        <v>10000</v>
      </c>
      <c r="AC64" s="11">
        <f t="shared" ca="1" si="18"/>
        <v>15000</v>
      </c>
      <c r="AD64" s="11">
        <f t="shared" ca="1" si="18"/>
        <v>15000</v>
      </c>
      <c r="AE64" s="11">
        <f t="shared" ca="1" si="18"/>
        <v>15000</v>
      </c>
      <c r="AF64" s="11">
        <f t="shared" ca="1" si="18"/>
        <v>15000</v>
      </c>
      <c r="AG64" s="11">
        <f t="shared" ca="1" si="18"/>
        <v>20000</v>
      </c>
      <c r="AH64" s="11">
        <f t="shared" ca="1" si="18"/>
        <v>19500</v>
      </c>
      <c r="AI64" s="11">
        <f t="shared" ca="1" si="18"/>
        <v>19969.681307235933</v>
      </c>
      <c r="AJ64" s="11">
        <f t="shared" ca="1" si="18"/>
        <v>20468.910007754879</v>
      </c>
      <c r="AK64" s="11">
        <f t="shared" ca="1" si="18"/>
        <v>25996.276337892323</v>
      </c>
      <c r="AL64" s="11">
        <f t="shared" ca="1" si="18"/>
        <v>26555.620783504863</v>
      </c>
      <c r="AM64" s="11">
        <f t="shared" ca="1" si="18"/>
        <v>27150.153281229686</v>
      </c>
      <c r="AN64" s="11">
        <f t="shared" ca="1" si="18"/>
        <v>32778.194940586734</v>
      </c>
      <c r="AO64" s="11">
        <f t="shared" ca="1" si="18"/>
        <v>33445.746356072574</v>
      </c>
      <c r="AP64" s="11">
        <f t="shared" ca="1" si="18"/>
        <v>39150.922440293827</v>
      </c>
      <c r="AQ64" s="11">
        <f t="shared" ca="1" si="18"/>
        <v>39898.858558599226</v>
      </c>
      <c r="AR64" s="11">
        <f t="shared" ca="1" si="18"/>
        <v>40696.954051725224</v>
      </c>
      <c r="AS64" s="11">
        <f t="shared" ca="1" si="18"/>
        <v>46533.982976313979</v>
      </c>
      <c r="AT64" s="11">
        <f t="shared" ca="1" si="18"/>
        <v>47423.519999697834</v>
      </c>
      <c r="AU64" s="11">
        <f t="shared" ca="1" si="18"/>
        <v>48361.961916494729</v>
      </c>
      <c r="AV64" s="11">
        <f t="shared" ca="1" si="18"/>
        <v>54361.373619317732</v>
      </c>
      <c r="AW64" s="11">
        <f t="shared" ca="1" si="18"/>
        <v>55417.035561618512</v>
      </c>
      <c r="AX64" s="11">
        <f t="shared" ca="1" si="18"/>
        <v>61536.619916354139</v>
      </c>
      <c r="AY64" s="11">
        <f t="shared" ca="1" si="18"/>
        <v>62726.536964251995</v>
      </c>
      <c r="AZ64" s="11">
        <f t="shared" ca="1" si="18"/>
        <v>68983.426530796452</v>
      </c>
      <c r="BA64" s="11">
        <f t="shared" ca="1" si="18"/>
        <v>75319.274353455025</v>
      </c>
      <c r="BB64" s="11">
        <f t="shared" ca="1" si="18"/>
        <v>76729.46590004256</v>
      </c>
      <c r="BC64" s="11">
        <f t="shared" ca="1" si="18"/>
        <v>83226.686527262413</v>
      </c>
      <c r="BD64" s="11">
        <f t="shared" ca="1" si="18"/>
        <v>89824.78442714471</v>
      </c>
      <c r="BE64" s="11">
        <f t="shared" ca="1" si="18"/>
        <v>91499.34571634719</v>
      </c>
      <c r="BF64" s="11">
        <f t="shared" ca="1" si="18"/>
        <v>97829.153232113924</v>
      </c>
      <c r="BG64" s="11">
        <f t="shared" ca="1" si="18"/>
        <v>105131.89419243889</v>
      </c>
      <c r="BH64" s="11">
        <f t="shared" ca="1" si="18"/>
        <v>112579.38760854732</v>
      </c>
      <c r="BI64" s="11">
        <f t="shared" ca="1" si="18"/>
        <v>120164.72205604223</v>
      </c>
      <c r="BJ64" s="11">
        <f t="shared" ca="1" si="18"/>
        <v>127906.7041802973</v>
      </c>
      <c r="BK64" s="11">
        <f t="shared" ca="1" si="18"/>
        <v>135821.04987561956</v>
      </c>
      <c r="BL64" s="11">
        <f t="shared" ca="1" si="18"/>
        <v>143899.52938342901</v>
      </c>
      <c r="BM64" s="11">
        <f t="shared" ca="1" si="18"/>
        <v>152171.52500670686</v>
      </c>
      <c r="BN64" s="11">
        <f t="shared" ca="1" si="18"/>
        <v>160626.4508944712</v>
      </c>
      <c r="BO64" s="11">
        <f t="shared" ca="1" si="18"/>
        <v>169293.3606957811</v>
      </c>
      <c r="BP64" s="11">
        <f t="shared" ca="1" si="18"/>
        <v>178207.17116198229</v>
      </c>
      <c r="BQ64" s="11">
        <f t="shared" ca="1" si="18"/>
        <v>187308.95150230839</v>
      </c>
    </row>
    <row r="66" spans="1:69">
      <c r="B66" s="27" t="s">
        <v>294</v>
      </c>
    </row>
    <row r="67" spans="1:69" outlineLevel="1">
      <c r="E67" s="2" t="str">
        <f t="shared" ref="E67:BQ67" si="19" xml:space="preserve">  E$18</f>
        <v>Deployed units returned</v>
      </c>
      <c r="F67" s="2">
        <f t="shared" si="19"/>
        <v>0</v>
      </c>
      <c r="G67" s="2" t="str">
        <f t="shared" si="19"/>
        <v>Units</v>
      </c>
      <c r="H67" s="2">
        <f t="shared" ca="1" si="19"/>
        <v>66570.387475079086</v>
      </c>
      <c r="I67" s="2">
        <f t="shared" si="19"/>
        <v>0</v>
      </c>
      <c r="J67" s="2">
        <f t="shared" ca="1" si="19"/>
        <v>0</v>
      </c>
      <c r="K67" s="2">
        <f t="shared" ca="1" si="19"/>
        <v>0</v>
      </c>
      <c r="L67" s="2">
        <f t="shared" ca="1" si="19"/>
        <v>0</v>
      </c>
      <c r="M67" s="2">
        <f t="shared" ca="1" si="19"/>
        <v>0</v>
      </c>
      <c r="N67" s="2">
        <f t="shared" ca="1" si="19"/>
        <v>0</v>
      </c>
      <c r="O67" s="2">
        <f t="shared" ca="1" si="19"/>
        <v>0</v>
      </c>
      <c r="P67" s="2">
        <f t="shared" ca="1" si="19"/>
        <v>0</v>
      </c>
      <c r="Q67" s="2">
        <f t="shared" ca="1" si="19"/>
        <v>0</v>
      </c>
      <c r="R67" s="2">
        <f t="shared" ca="1" si="19"/>
        <v>0</v>
      </c>
      <c r="S67" s="2">
        <f t="shared" ca="1" si="19"/>
        <v>0</v>
      </c>
      <c r="T67" s="2">
        <f t="shared" ca="1" si="19"/>
        <v>0</v>
      </c>
      <c r="U67" s="2">
        <f t="shared" ca="1" si="19"/>
        <v>0</v>
      </c>
      <c r="V67" s="2">
        <f t="shared" ca="1" si="19"/>
        <v>0</v>
      </c>
      <c r="W67" s="2">
        <f t="shared" ca="1" si="19"/>
        <v>0</v>
      </c>
      <c r="X67" s="2">
        <f t="shared" ca="1" si="19"/>
        <v>0</v>
      </c>
      <c r="Y67" s="2">
        <f t="shared" ca="1" si="19"/>
        <v>0</v>
      </c>
      <c r="Z67" s="2">
        <f t="shared" ca="1" si="19"/>
        <v>0</v>
      </c>
      <c r="AA67" s="2">
        <f t="shared" ca="1" si="19"/>
        <v>0</v>
      </c>
      <c r="AB67" s="2">
        <f t="shared" ca="1" si="19"/>
        <v>0</v>
      </c>
      <c r="AC67" s="2">
        <f t="shared" ca="1" si="19"/>
        <v>0</v>
      </c>
      <c r="AD67" s="2">
        <f t="shared" ca="1" si="19"/>
        <v>0</v>
      </c>
      <c r="AE67" s="2">
        <f t="shared" ca="1" si="19"/>
        <v>0</v>
      </c>
      <c r="AF67" s="2">
        <f t="shared" ca="1" si="19"/>
        <v>0</v>
      </c>
      <c r="AG67" s="2">
        <f t="shared" ca="1" si="19"/>
        <v>0</v>
      </c>
      <c r="AH67" s="2">
        <f t="shared" ca="1" si="19"/>
        <v>500</v>
      </c>
      <c r="AI67" s="2">
        <f t="shared" ca="1" si="19"/>
        <v>530.31869276406599</v>
      </c>
      <c r="AJ67" s="2">
        <f t="shared" ca="1" si="19"/>
        <v>561.40868500918316</v>
      </c>
      <c r="AK67" s="2">
        <f t="shared" ca="1" si="19"/>
        <v>595.4510398809266</v>
      </c>
      <c r="AL67" s="2">
        <f t="shared" ca="1" si="19"/>
        <v>631.55763414931334</v>
      </c>
      <c r="AM67" s="2">
        <f t="shared" ca="1" si="19"/>
        <v>668.58277057380337</v>
      </c>
      <c r="AN67" s="2">
        <f t="shared" ca="1" si="19"/>
        <v>709.12388179055358</v>
      </c>
      <c r="AO67" s="2">
        <f t="shared" ca="1" si="19"/>
        <v>750.69634809527076</v>
      </c>
      <c r="AP67" s="2">
        <f t="shared" ca="1" si="19"/>
        <v>796.21661196928437</v>
      </c>
      <c r="AQ67" s="2">
        <f t="shared" ca="1" si="19"/>
        <v>844.49710563316887</v>
      </c>
      <c r="AR67" s="2">
        <f t="shared" ca="1" si="19"/>
        <v>890.89871814033927</v>
      </c>
      <c r="AS67" s="2">
        <f t="shared" ca="1" si="19"/>
        <v>944.76851169192605</v>
      </c>
      <c r="AT67" s="2">
        <f t="shared" ca="1" si="19"/>
        <v>1000</v>
      </c>
      <c r="AU67" s="2">
        <f t="shared" ca="1" si="19"/>
        <v>1061.5580832031035</v>
      </c>
      <c r="AV67" s="2">
        <f t="shared" ca="1" si="19"/>
        <v>1123.704463583204</v>
      </c>
      <c r="AW67" s="2">
        <f t="shared" ca="1" si="19"/>
        <v>1191.7469848656265</v>
      </c>
      <c r="AX67" s="2">
        <f t="shared" ca="1" si="19"/>
        <v>1263.9096149956249</v>
      </c>
      <c r="AY67" s="2">
        <f t="shared" ca="1" si="19"/>
        <v>1337.9021820933933</v>
      </c>
      <c r="AZ67" s="2">
        <f t="shared" ca="1" si="19"/>
        <v>1418.9147976423296</v>
      </c>
      <c r="BA67" s="2">
        <f t="shared" ca="1" si="19"/>
        <v>1501.9817726260831</v>
      </c>
      <c r="BB67" s="2">
        <f t="shared" ca="1" si="19"/>
        <v>1593.7719986646332</v>
      </c>
      <c r="BC67" s="2">
        <f t="shared" ca="1" si="19"/>
        <v>1690.3233701094071</v>
      </c>
      <c r="BD67" s="2">
        <f t="shared" ca="1" si="19"/>
        <v>1782.5488403365116</v>
      </c>
      <c r="BE67" s="2">
        <f t="shared" ca="1" si="19"/>
        <v>1890.5363914705406</v>
      </c>
      <c r="BF67" s="2">
        <f t="shared" ca="1" si="19"/>
        <v>2451.2652671743485</v>
      </c>
      <c r="BG67" s="2">
        <f t="shared" ca="1" si="19"/>
        <v>2599.7895740237263</v>
      </c>
      <c r="BH67" s="2">
        <f t="shared" ca="1" si="19"/>
        <v>2752.0857319390348</v>
      </c>
      <c r="BI67" s="2">
        <f t="shared" ca="1" si="19"/>
        <v>2918.8370163831542</v>
      </c>
      <c r="BJ67" s="2">
        <f t="shared" ca="1" si="19"/>
        <v>3095.6919085112468</v>
      </c>
      <c r="BK67" s="2">
        <f t="shared" ca="1" si="19"/>
        <v>3277.0381217002355</v>
      </c>
      <c r="BL67" s="2">
        <f t="shared" ca="1" si="19"/>
        <v>3475.596735591052</v>
      </c>
      <c r="BM67" s="2">
        <f t="shared" ca="1" si="19"/>
        <v>3679.1978479042591</v>
      </c>
      <c r="BN67" s="2">
        <f t="shared" ca="1" si="19"/>
        <v>3903.4698080441717</v>
      </c>
      <c r="BO67" s="2">
        <f t="shared" ca="1" si="19"/>
        <v>4140.0298147784615</v>
      </c>
      <c r="BP67" s="2">
        <f t="shared" ca="1" si="19"/>
        <v>4366.2491633557374</v>
      </c>
      <c r="BQ67" s="2">
        <f t="shared" ca="1" si="19"/>
        <v>4630.7179863853571</v>
      </c>
    </row>
    <row r="68" spans="1:69" outlineLevel="1">
      <c r="A68" s="36"/>
      <c r="B68" s="36"/>
      <c r="C68" s="65"/>
      <c r="D68" s="64"/>
      <c r="E68" s="21" t="s">
        <v>294</v>
      </c>
      <c r="F68" s="21"/>
      <c r="G68" s="21" t="s">
        <v>122</v>
      </c>
      <c r="H68" s="3">
        <f ca="1" xml:space="preserve"> SUM( J68:BQ68 )</f>
        <v>66570.387475079086</v>
      </c>
      <c r="I68" s="21"/>
      <c r="J68" s="3">
        <f t="shared" ref="J68:BQ68" ca="1" si="20" xml:space="preserve">  J67</f>
        <v>0</v>
      </c>
      <c r="K68" s="3">
        <f t="shared" ca="1" si="20"/>
        <v>0</v>
      </c>
      <c r="L68" s="3">
        <f t="shared" ca="1" si="20"/>
        <v>0</v>
      </c>
      <c r="M68" s="3">
        <f t="shared" ca="1" si="20"/>
        <v>0</v>
      </c>
      <c r="N68" s="3">
        <f t="shared" ca="1" si="20"/>
        <v>0</v>
      </c>
      <c r="O68" s="3">
        <f t="shared" ca="1" si="20"/>
        <v>0</v>
      </c>
      <c r="P68" s="3">
        <f t="shared" ca="1" si="20"/>
        <v>0</v>
      </c>
      <c r="Q68" s="3">
        <f t="shared" ca="1" si="20"/>
        <v>0</v>
      </c>
      <c r="R68" s="3">
        <f t="shared" ca="1" si="20"/>
        <v>0</v>
      </c>
      <c r="S68" s="3">
        <f t="shared" ca="1" si="20"/>
        <v>0</v>
      </c>
      <c r="T68" s="3">
        <f t="shared" ca="1" si="20"/>
        <v>0</v>
      </c>
      <c r="U68" s="3">
        <f t="shared" ca="1" si="20"/>
        <v>0</v>
      </c>
      <c r="V68" s="3">
        <f t="shared" ca="1" si="20"/>
        <v>0</v>
      </c>
      <c r="W68" s="3">
        <f t="shared" ca="1" si="20"/>
        <v>0</v>
      </c>
      <c r="X68" s="3">
        <f t="shared" ca="1" si="20"/>
        <v>0</v>
      </c>
      <c r="Y68" s="3">
        <f t="shared" ca="1" si="20"/>
        <v>0</v>
      </c>
      <c r="Z68" s="3">
        <f t="shared" ca="1" si="20"/>
        <v>0</v>
      </c>
      <c r="AA68" s="3">
        <f t="shared" ca="1" si="20"/>
        <v>0</v>
      </c>
      <c r="AB68" s="3">
        <f t="shared" ca="1" si="20"/>
        <v>0</v>
      </c>
      <c r="AC68" s="3">
        <f t="shared" ca="1" si="20"/>
        <v>0</v>
      </c>
      <c r="AD68" s="3">
        <f t="shared" ca="1" si="20"/>
        <v>0</v>
      </c>
      <c r="AE68" s="3">
        <f t="shared" ca="1" si="20"/>
        <v>0</v>
      </c>
      <c r="AF68" s="3">
        <f t="shared" ca="1" si="20"/>
        <v>0</v>
      </c>
      <c r="AG68" s="3">
        <f t="shared" ca="1" si="20"/>
        <v>0</v>
      </c>
      <c r="AH68" s="3">
        <f t="shared" ca="1" si="20"/>
        <v>500</v>
      </c>
      <c r="AI68" s="3">
        <f t="shared" ca="1" si="20"/>
        <v>530.31869276406599</v>
      </c>
      <c r="AJ68" s="3">
        <f t="shared" ca="1" si="20"/>
        <v>561.40868500918316</v>
      </c>
      <c r="AK68" s="3">
        <f t="shared" ca="1" si="20"/>
        <v>595.4510398809266</v>
      </c>
      <c r="AL68" s="3">
        <f t="shared" ca="1" si="20"/>
        <v>631.55763414931334</v>
      </c>
      <c r="AM68" s="3">
        <f t="shared" ca="1" si="20"/>
        <v>668.58277057380337</v>
      </c>
      <c r="AN68" s="3">
        <f t="shared" ca="1" si="20"/>
        <v>709.12388179055358</v>
      </c>
      <c r="AO68" s="3">
        <f t="shared" ca="1" si="20"/>
        <v>750.69634809527076</v>
      </c>
      <c r="AP68" s="3">
        <f t="shared" ca="1" si="20"/>
        <v>796.21661196928437</v>
      </c>
      <c r="AQ68" s="3">
        <f t="shared" ca="1" si="20"/>
        <v>844.49710563316887</v>
      </c>
      <c r="AR68" s="3">
        <f t="shared" ca="1" si="20"/>
        <v>890.89871814033927</v>
      </c>
      <c r="AS68" s="3">
        <f t="shared" ca="1" si="20"/>
        <v>944.76851169192605</v>
      </c>
      <c r="AT68" s="3">
        <f t="shared" ca="1" si="20"/>
        <v>1000</v>
      </c>
      <c r="AU68" s="3">
        <f t="shared" ca="1" si="20"/>
        <v>1061.5580832031035</v>
      </c>
      <c r="AV68" s="3">
        <f t="shared" ca="1" si="20"/>
        <v>1123.704463583204</v>
      </c>
      <c r="AW68" s="3">
        <f t="shared" ca="1" si="20"/>
        <v>1191.7469848656265</v>
      </c>
      <c r="AX68" s="3">
        <f t="shared" ca="1" si="20"/>
        <v>1263.9096149956249</v>
      </c>
      <c r="AY68" s="3">
        <f t="shared" ca="1" si="20"/>
        <v>1337.9021820933933</v>
      </c>
      <c r="AZ68" s="3">
        <f t="shared" ca="1" si="20"/>
        <v>1418.9147976423296</v>
      </c>
      <c r="BA68" s="3">
        <f t="shared" ca="1" si="20"/>
        <v>1501.9817726260831</v>
      </c>
      <c r="BB68" s="3">
        <f t="shared" ca="1" si="20"/>
        <v>1593.7719986646332</v>
      </c>
      <c r="BC68" s="3">
        <f t="shared" ca="1" si="20"/>
        <v>1690.3233701094071</v>
      </c>
      <c r="BD68" s="3">
        <f t="shared" ca="1" si="20"/>
        <v>1782.5488403365116</v>
      </c>
      <c r="BE68" s="3">
        <f t="shared" ca="1" si="20"/>
        <v>1890.5363914705406</v>
      </c>
      <c r="BF68" s="3">
        <f t="shared" ca="1" si="20"/>
        <v>2451.2652671743485</v>
      </c>
      <c r="BG68" s="3">
        <f t="shared" ca="1" si="20"/>
        <v>2599.7895740237263</v>
      </c>
      <c r="BH68" s="3">
        <f t="shared" ca="1" si="20"/>
        <v>2752.0857319390348</v>
      </c>
      <c r="BI68" s="3">
        <f t="shared" ca="1" si="20"/>
        <v>2918.8370163831542</v>
      </c>
      <c r="BJ68" s="3">
        <f t="shared" ca="1" si="20"/>
        <v>3095.6919085112468</v>
      </c>
      <c r="BK68" s="3">
        <f t="shared" ca="1" si="20"/>
        <v>3277.0381217002355</v>
      </c>
      <c r="BL68" s="3">
        <f t="shared" ca="1" si="20"/>
        <v>3475.596735591052</v>
      </c>
      <c r="BM68" s="3">
        <f t="shared" ca="1" si="20"/>
        <v>3679.1978479042591</v>
      </c>
      <c r="BN68" s="3">
        <f t="shared" ca="1" si="20"/>
        <v>3903.4698080441717</v>
      </c>
      <c r="BO68" s="3">
        <f t="shared" ca="1" si="20"/>
        <v>4140.0298147784615</v>
      </c>
      <c r="BP68" s="3">
        <f t="shared" ca="1" si="20"/>
        <v>4366.2491633557374</v>
      </c>
      <c r="BQ68" s="3">
        <f t="shared" ca="1" si="20"/>
        <v>4630.7179863853571</v>
      </c>
    </row>
    <row r="71" spans="1:69">
      <c r="B71" s="27" t="s">
        <v>265</v>
      </c>
    </row>
  </sheetData>
  <conditionalFormatting sqref="F2:F3">
    <cfRule type="cellIs" dxfId="224" priority="1" stopIfTrue="1" operator="notEqual">
      <formula>0</formula>
    </cfRule>
    <cfRule type="cellIs" dxfId="223" priority="2" stopIfTrue="1" operator="equal">
      <formula>""</formula>
    </cfRule>
  </conditionalFormatting>
  <conditionalFormatting sqref="J3:BQ3">
    <cfRule type="cellIs" dxfId="222" priority="8" operator="equal">
      <formula>"PPA ext."</formula>
    </cfRule>
    <cfRule type="cellIs" dxfId="221" priority="9" operator="equal">
      <formula>"Delay"</formula>
    </cfRule>
    <cfRule type="cellIs" dxfId="220" priority="10" operator="equal">
      <formula>"Fin Close"</formula>
    </cfRule>
    <cfRule type="cellIs" dxfId="219" priority="11" stopIfTrue="1" operator="equal">
      <formula>"Construction"</formula>
    </cfRule>
    <cfRule type="cellIs" dxfId="21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Q33"/>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31.54296875" style="46" bestFit="1" customWidth="1"/>
    <col min="6" max="6" width="20.54296875" style="46" bestFit="1" customWidth="1"/>
    <col min="7" max="7" width="13.1796875" style="46" bestFit="1" customWidth="1"/>
    <col min="8" max="8" width="12.453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8164062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69" width="12.4531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Assets</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172</v>
      </c>
    </row>
    <row r="9" spans="1:69" outlineLevel="1">
      <c r="A9" s="18"/>
      <c r="B9" s="18"/>
      <c r="C9" s="30"/>
      <c r="D9" s="31"/>
      <c r="E9" s="4" t="str">
        <f xml:space="preserve">  InpC!E$38</f>
        <v>Depreciation Term</v>
      </c>
      <c r="F9" s="4">
        <f xml:space="preserve">  InpC!F$38</f>
        <v>24</v>
      </c>
      <c r="G9" s="4" t="str">
        <f xml:space="preserve">  InpC!G$38</f>
        <v>Months</v>
      </c>
      <c r="M9" s="2"/>
    </row>
    <row r="10" spans="1:69" outlineLevel="1">
      <c r="E10" s="2" t="str">
        <f t="shared" ref="E10:BQ10" si="0" xml:space="preserve">  E$18</f>
        <v>Inventory BEG</v>
      </c>
      <c r="F10" s="2">
        <f t="shared" si="0"/>
        <v>0</v>
      </c>
      <c r="G10" s="2" t="str">
        <f t="shared" si="0"/>
        <v>GBP</v>
      </c>
      <c r="H10" s="2">
        <f t="shared" si="0"/>
        <v>0</v>
      </c>
      <c r="I10" s="2">
        <f t="shared" si="0"/>
        <v>0</v>
      </c>
      <c r="J10" s="2">
        <f t="shared" si="0"/>
        <v>0</v>
      </c>
      <c r="K10" s="2">
        <f t="shared" ca="1" si="0"/>
        <v>175000</v>
      </c>
      <c r="L10" s="2">
        <f t="shared" ca="1" si="0"/>
        <v>175000</v>
      </c>
      <c r="M10" s="2">
        <f t="shared" ca="1" si="0"/>
        <v>175000</v>
      </c>
      <c r="N10" s="2">
        <f t="shared" ca="1" si="0"/>
        <v>175000</v>
      </c>
      <c r="O10" s="2">
        <f t="shared" ca="1" si="0"/>
        <v>175000</v>
      </c>
      <c r="P10" s="2">
        <f t="shared" ca="1" si="0"/>
        <v>175000</v>
      </c>
      <c r="Q10" s="2">
        <f t="shared" ca="1" si="0"/>
        <v>350000</v>
      </c>
      <c r="R10" s="2">
        <f t="shared" ca="1" si="0"/>
        <v>350000</v>
      </c>
      <c r="S10" s="2">
        <f t="shared" ca="1" si="0"/>
        <v>350000</v>
      </c>
      <c r="T10" s="2">
        <f t="shared" ca="1" si="0"/>
        <v>350000</v>
      </c>
      <c r="U10" s="2">
        <f t="shared" ca="1" si="0"/>
        <v>350000</v>
      </c>
      <c r="V10" s="2">
        <f t="shared" ca="1" si="0"/>
        <v>350000</v>
      </c>
      <c r="W10" s="2">
        <f t="shared" ca="1" si="0"/>
        <v>525000</v>
      </c>
      <c r="X10" s="2">
        <f t="shared" ca="1" si="0"/>
        <v>525000</v>
      </c>
      <c r="Y10" s="2">
        <f t="shared" ca="1" si="0"/>
        <v>525000</v>
      </c>
      <c r="Z10" s="2">
        <f t="shared" ca="1" si="0"/>
        <v>525000</v>
      </c>
      <c r="AA10" s="2">
        <f t="shared" ca="1" si="0"/>
        <v>700000</v>
      </c>
      <c r="AB10" s="2">
        <f t="shared" ca="1" si="0"/>
        <v>700000</v>
      </c>
      <c r="AC10" s="2">
        <f t="shared" ca="1" si="0"/>
        <v>700000</v>
      </c>
      <c r="AD10" s="2">
        <f t="shared" ca="1" si="0"/>
        <v>700000</v>
      </c>
      <c r="AE10" s="2">
        <f t="shared" ca="1" si="0"/>
        <v>875000</v>
      </c>
      <c r="AF10" s="2">
        <f t="shared" ca="1" si="0"/>
        <v>875000</v>
      </c>
      <c r="AG10" s="2">
        <f t="shared" ca="1" si="0"/>
        <v>875000</v>
      </c>
      <c r="AH10" s="2">
        <f t="shared" ca="1" si="0"/>
        <v>1050000</v>
      </c>
      <c r="AI10" s="2">
        <f t="shared" ca="1" si="0"/>
        <v>1032500</v>
      </c>
      <c r="AJ10" s="2">
        <f t="shared" ca="1" si="0"/>
        <v>1188938.8457532576</v>
      </c>
      <c r="AK10" s="2">
        <f t="shared" ca="1" si="0"/>
        <v>1169289.5417779363</v>
      </c>
      <c r="AL10" s="2">
        <f t="shared" ca="1" si="0"/>
        <v>1148448.7553821038</v>
      </c>
      <c r="AM10" s="2">
        <f t="shared" ca="1" si="0"/>
        <v>1301344.2381868779</v>
      </c>
      <c r="AN10" s="2">
        <f t="shared" ca="1" si="0"/>
        <v>1277943.8412167949</v>
      </c>
      <c r="AO10" s="2">
        <f t="shared" ca="1" si="0"/>
        <v>1253124.5053541255</v>
      </c>
      <c r="AP10" s="2">
        <f t="shared" ca="1" si="0"/>
        <v>1401850.133170791</v>
      </c>
      <c r="AQ10" s="2">
        <f t="shared" ca="1" si="0"/>
        <v>1373982.551751866</v>
      </c>
      <c r="AR10" s="2">
        <f t="shared" ca="1" si="0"/>
        <v>1519425.1530547051</v>
      </c>
      <c r="AS10" s="2">
        <f t="shared" ca="1" si="0"/>
        <v>1488243.6979197932</v>
      </c>
      <c r="AT10" s="2">
        <f t="shared" ca="1" si="0"/>
        <v>1630176.8000105759</v>
      </c>
      <c r="AU10" s="2">
        <f t="shared" ca="1" si="0"/>
        <v>1770176.8000105759</v>
      </c>
      <c r="AV10" s="2">
        <f t="shared" ca="1" si="0"/>
        <v>1733022.2670984673</v>
      </c>
      <c r="AW10" s="2">
        <f t="shared" ca="1" si="0"/>
        <v>1868692.6108730552</v>
      </c>
      <c r="AX10" s="2">
        <f t="shared" ca="1" si="0"/>
        <v>2001981.4664027584</v>
      </c>
      <c r="AY10" s="2">
        <f t="shared" ca="1" si="0"/>
        <v>1957744.6298779114</v>
      </c>
      <c r="AZ10" s="2">
        <f t="shared" ca="1" si="0"/>
        <v>2085918.0535046426</v>
      </c>
      <c r="BA10" s="2">
        <f t="shared" ca="1" si="0"/>
        <v>2211256.0355871608</v>
      </c>
      <c r="BB10" s="2">
        <f t="shared" ca="1" si="0"/>
        <v>2333686.6735452479</v>
      </c>
      <c r="BC10" s="2">
        <f t="shared" ca="1" si="0"/>
        <v>2452904.6535919858</v>
      </c>
      <c r="BD10" s="2">
        <f t="shared" ca="1" si="0"/>
        <v>2568743.3356381566</v>
      </c>
      <c r="BE10" s="2">
        <f t="shared" ca="1" si="0"/>
        <v>2681354.1262263786</v>
      </c>
      <c r="BF10" s="2">
        <f t="shared" ca="1" si="0"/>
        <v>2790185.3525249097</v>
      </c>
      <c r="BG10" s="2">
        <f t="shared" ca="1" si="0"/>
        <v>2879391.0681738076</v>
      </c>
      <c r="BH10" s="2">
        <f t="shared" ca="1" si="0"/>
        <v>2963398.4330829773</v>
      </c>
      <c r="BI10" s="2">
        <f t="shared" ca="1" si="0"/>
        <v>3042075.4324651109</v>
      </c>
      <c r="BJ10" s="2">
        <f t="shared" ca="1" si="0"/>
        <v>3114916.1368917003</v>
      </c>
      <c r="BK10" s="2">
        <f t="shared" ca="1" si="0"/>
        <v>3181566.9200938065</v>
      </c>
      <c r="BL10" s="2">
        <f t="shared" ca="1" si="0"/>
        <v>3241870.5858342983</v>
      </c>
      <c r="BM10" s="2">
        <f t="shared" ca="1" si="0"/>
        <v>3295224.7000886113</v>
      </c>
      <c r="BN10" s="2">
        <f t="shared" ca="1" si="0"/>
        <v>3341452.7754119621</v>
      </c>
      <c r="BO10" s="2">
        <f t="shared" ca="1" si="0"/>
        <v>3379831.3321304158</v>
      </c>
      <c r="BP10" s="2">
        <f t="shared" ca="1" si="0"/>
        <v>3409930.2886131695</v>
      </c>
      <c r="BQ10" s="2">
        <f t="shared" ca="1" si="0"/>
        <v>3432111.5678957189</v>
      </c>
    </row>
    <row r="11" spans="1:69" outlineLevel="1">
      <c r="E11" s="46" t="s">
        <v>22</v>
      </c>
      <c r="G11" s="46" t="s">
        <v>252</v>
      </c>
      <c r="H11" s="2">
        <f t="shared" ref="H11:H12" ca="1" si="1" xml:space="preserve"> SUM( J11:BQ11 )</f>
        <v>3718654.3045475697</v>
      </c>
      <c r="J11" s="2">
        <f t="shared" ref="J11:BQ11" si="2" xml:space="preserve">  J10 / $F9</f>
        <v>0</v>
      </c>
      <c r="K11" s="2">
        <f t="shared" ca="1" si="2"/>
        <v>7291.666666666667</v>
      </c>
      <c r="L11" s="2">
        <f t="shared" ca="1" si="2"/>
        <v>7291.666666666667</v>
      </c>
      <c r="M11" s="2">
        <f t="shared" ca="1" si="2"/>
        <v>7291.666666666667</v>
      </c>
      <c r="N11" s="2">
        <f t="shared" ca="1" si="2"/>
        <v>7291.666666666667</v>
      </c>
      <c r="O11" s="2">
        <f t="shared" ca="1" si="2"/>
        <v>7291.666666666667</v>
      </c>
      <c r="P11" s="2">
        <f t="shared" ca="1" si="2"/>
        <v>7291.666666666667</v>
      </c>
      <c r="Q11" s="2">
        <f t="shared" ca="1" si="2"/>
        <v>14583.333333333334</v>
      </c>
      <c r="R11" s="2">
        <f t="shared" ca="1" si="2"/>
        <v>14583.333333333334</v>
      </c>
      <c r="S11" s="2">
        <f t="shared" ca="1" si="2"/>
        <v>14583.333333333334</v>
      </c>
      <c r="T11" s="2">
        <f t="shared" ca="1" si="2"/>
        <v>14583.333333333334</v>
      </c>
      <c r="U11" s="2">
        <f t="shared" ca="1" si="2"/>
        <v>14583.333333333334</v>
      </c>
      <c r="V11" s="2">
        <f t="shared" ca="1" si="2"/>
        <v>14583.333333333334</v>
      </c>
      <c r="W11" s="2">
        <f t="shared" ca="1" si="2"/>
        <v>21875</v>
      </c>
      <c r="X11" s="2">
        <f t="shared" ca="1" si="2"/>
        <v>21875</v>
      </c>
      <c r="Y11" s="2">
        <f t="shared" ca="1" si="2"/>
        <v>21875</v>
      </c>
      <c r="Z11" s="2">
        <f t="shared" ca="1" si="2"/>
        <v>21875</v>
      </c>
      <c r="AA11" s="2">
        <f t="shared" ca="1" si="2"/>
        <v>29166.666666666668</v>
      </c>
      <c r="AB11" s="2">
        <f t="shared" ca="1" si="2"/>
        <v>29166.666666666668</v>
      </c>
      <c r="AC11" s="2">
        <f t="shared" ca="1" si="2"/>
        <v>29166.666666666668</v>
      </c>
      <c r="AD11" s="2">
        <f t="shared" ca="1" si="2"/>
        <v>29166.666666666668</v>
      </c>
      <c r="AE11" s="2">
        <f t="shared" ca="1" si="2"/>
        <v>36458.333333333336</v>
      </c>
      <c r="AF11" s="2">
        <f t="shared" ca="1" si="2"/>
        <v>36458.333333333336</v>
      </c>
      <c r="AG11" s="2">
        <f t="shared" ca="1" si="2"/>
        <v>36458.333333333336</v>
      </c>
      <c r="AH11" s="2">
        <f t="shared" ca="1" si="2"/>
        <v>43750</v>
      </c>
      <c r="AI11" s="2">
        <f t="shared" ca="1" si="2"/>
        <v>43020.833333333336</v>
      </c>
      <c r="AJ11" s="2">
        <f t="shared" ca="1" si="2"/>
        <v>49539.118573052401</v>
      </c>
      <c r="AK11" s="2">
        <f t="shared" ca="1" si="2"/>
        <v>48720.397574080678</v>
      </c>
      <c r="AL11" s="2">
        <f t="shared" ca="1" si="2"/>
        <v>47852.031474254327</v>
      </c>
      <c r="AM11" s="2">
        <f t="shared" ca="1" si="2"/>
        <v>54222.676591119911</v>
      </c>
      <c r="AN11" s="2">
        <f t="shared" ca="1" si="2"/>
        <v>53247.660050699786</v>
      </c>
      <c r="AO11" s="2">
        <f t="shared" ca="1" si="2"/>
        <v>52213.521056421894</v>
      </c>
      <c r="AP11" s="2">
        <f t="shared" ca="1" si="2"/>
        <v>58410.422215449624</v>
      </c>
      <c r="AQ11" s="2">
        <f t="shared" ca="1" si="2"/>
        <v>57249.272989661084</v>
      </c>
      <c r="AR11" s="2">
        <f t="shared" ca="1" si="2"/>
        <v>63309.38137727938</v>
      </c>
      <c r="AS11" s="2">
        <f t="shared" ca="1" si="2"/>
        <v>62010.154079991386</v>
      </c>
      <c r="AT11" s="2">
        <f t="shared" ca="1" si="2"/>
        <v>67924.033333774001</v>
      </c>
      <c r="AU11" s="2">
        <f t="shared" ca="1" si="2"/>
        <v>73757.36666710733</v>
      </c>
      <c r="AV11" s="2">
        <f t="shared" ca="1" si="2"/>
        <v>72209.261129102801</v>
      </c>
      <c r="AW11" s="2">
        <f t="shared" ca="1" si="2"/>
        <v>77862.192119710628</v>
      </c>
      <c r="AX11" s="2">
        <f t="shared" ca="1" si="2"/>
        <v>83415.894433448266</v>
      </c>
      <c r="AY11" s="2">
        <f t="shared" ca="1" si="2"/>
        <v>81572.692911579637</v>
      </c>
      <c r="AZ11" s="2">
        <f t="shared" ca="1" si="2"/>
        <v>86913.252229360107</v>
      </c>
      <c r="BA11" s="2">
        <f t="shared" ca="1" si="2"/>
        <v>92135.66814946504</v>
      </c>
      <c r="BB11" s="2">
        <f t="shared" ca="1" si="2"/>
        <v>97236.94473105199</v>
      </c>
      <c r="BC11" s="2">
        <f t="shared" ca="1" si="2"/>
        <v>102204.36056633275</v>
      </c>
      <c r="BD11" s="2">
        <f t="shared" ca="1" si="2"/>
        <v>107030.97231825652</v>
      </c>
      <c r="BE11" s="2">
        <f t="shared" ca="1" si="2"/>
        <v>111723.08859276578</v>
      </c>
      <c r="BF11" s="2">
        <f t="shared" ca="1" si="2"/>
        <v>116257.72302187124</v>
      </c>
      <c r="BG11" s="2">
        <f t="shared" ca="1" si="2"/>
        <v>119974.62784057531</v>
      </c>
      <c r="BH11" s="2">
        <f t="shared" ca="1" si="2"/>
        <v>123474.93471179072</v>
      </c>
      <c r="BI11" s="2">
        <f t="shared" ca="1" si="2"/>
        <v>126753.14301937963</v>
      </c>
      <c r="BJ11" s="2">
        <f t="shared" ca="1" si="2"/>
        <v>129788.17237048752</v>
      </c>
      <c r="BK11" s="2">
        <f t="shared" ca="1" si="2"/>
        <v>132565.28833724195</v>
      </c>
      <c r="BL11" s="2">
        <f t="shared" ca="1" si="2"/>
        <v>135077.9410764291</v>
      </c>
      <c r="BM11" s="2">
        <f t="shared" ca="1" si="2"/>
        <v>137301.02917035882</v>
      </c>
      <c r="BN11" s="2">
        <f t="shared" ca="1" si="2"/>
        <v>139227.19897549841</v>
      </c>
      <c r="BO11" s="2">
        <f t="shared" ca="1" si="2"/>
        <v>140826.30550543399</v>
      </c>
      <c r="BP11" s="2">
        <f t="shared" ca="1" si="2"/>
        <v>142080.42869221538</v>
      </c>
      <c r="BQ11" s="2">
        <f t="shared" ca="1" si="2"/>
        <v>143004.64866232162</v>
      </c>
    </row>
    <row r="12" spans="1:69" outlineLevel="1">
      <c r="A12" s="36"/>
      <c r="B12" s="36"/>
      <c r="C12" s="65"/>
      <c r="D12" s="64"/>
      <c r="E12" s="21" t="str">
        <f xml:space="preserve"> LEFT($E$11, LEN($E$11) - 3 )</f>
        <v xml:space="preserve">Depreciation this period </v>
      </c>
      <c r="F12" s="21"/>
      <c r="G12" s="21" t="str">
        <f xml:space="preserve"> G$11</f>
        <v>GBP</v>
      </c>
      <c r="H12" s="3">
        <f t="shared" ca="1" si="1"/>
        <v>-3718654.3045475697</v>
      </c>
      <c r="I12" s="21"/>
      <c r="J12" s="3">
        <f t="shared" ref="J12:BQ12" si="3" xml:space="preserve"> -1 * J11</f>
        <v>0</v>
      </c>
      <c r="K12" s="3">
        <f t="shared" ca="1" si="3"/>
        <v>-7291.666666666667</v>
      </c>
      <c r="L12" s="3">
        <f t="shared" ca="1" si="3"/>
        <v>-7291.666666666667</v>
      </c>
      <c r="M12" s="3">
        <f t="shared" ca="1" si="3"/>
        <v>-7291.666666666667</v>
      </c>
      <c r="N12" s="3">
        <f t="shared" ca="1" si="3"/>
        <v>-7291.666666666667</v>
      </c>
      <c r="O12" s="3">
        <f t="shared" ca="1" si="3"/>
        <v>-7291.666666666667</v>
      </c>
      <c r="P12" s="3">
        <f t="shared" ca="1" si="3"/>
        <v>-7291.666666666667</v>
      </c>
      <c r="Q12" s="3">
        <f t="shared" ca="1" si="3"/>
        <v>-14583.333333333334</v>
      </c>
      <c r="R12" s="3">
        <f t="shared" ca="1" si="3"/>
        <v>-14583.333333333334</v>
      </c>
      <c r="S12" s="3">
        <f t="shared" ca="1" si="3"/>
        <v>-14583.333333333334</v>
      </c>
      <c r="T12" s="3">
        <f t="shared" ca="1" si="3"/>
        <v>-14583.333333333334</v>
      </c>
      <c r="U12" s="3">
        <f t="shared" ca="1" si="3"/>
        <v>-14583.333333333334</v>
      </c>
      <c r="V12" s="3">
        <f t="shared" ca="1" si="3"/>
        <v>-14583.333333333334</v>
      </c>
      <c r="W12" s="3">
        <f t="shared" ca="1" si="3"/>
        <v>-21875</v>
      </c>
      <c r="X12" s="3">
        <f t="shared" ca="1" si="3"/>
        <v>-21875</v>
      </c>
      <c r="Y12" s="3">
        <f t="shared" ca="1" si="3"/>
        <v>-21875</v>
      </c>
      <c r="Z12" s="3">
        <f t="shared" ca="1" si="3"/>
        <v>-21875</v>
      </c>
      <c r="AA12" s="3">
        <f t="shared" ca="1" si="3"/>
        <v>-29166.666666666668</v>
      </c>
      <c r="AB12" s="3">
        <f t="shared" ca="1" si="3"/>
        <v>-29166.666666666668</v>
      </c>
      <c r="AC12" s="3">
        <f t="shared" ca="1" si="3"/>
        <v>-29166.666666666668</v>
      </c>
      <c r="AD12" s="3">
        <f t="shared" ca="1" si="3"/>
        <v>-29166.666666666668</v>
      </c>
      <c r="AE12" s="3">
        <f t="shared" ca="1" si="3"/>
        <v>-36458.333333333336</v>
      </c>
      <c r="AF12" s="3">
        <f t="shared" ca="1" si="3"/>
        <v>-36458.333333333336</v>
      </c>
      <c r="AG12" s="3">
        <f t="shared" ca="1" si="3"/>
        <v>-36458.333333333336</v>
      </c>
      <c r="AH12" s="3">
        <f t="shared" ca="1" si="3"/>
        <v>-43750</v>
      </c>
      <c r="AI12" s="3">
        <f t="shared" ca="1" si="3"/>
        <v>-43020.833333333336</v>
      </c>
      <c r="AJ12" s="3">
        <f t="shared" ca="1" si="3"/>
        <v>-49539.118573052401</v>
      </c>
      <c r="AK12" s="3">
        <f t="shared" ca="1" si="3"/>
        <v>-48720.397574080678</v>
      </c>
      <c r="AL12" s="3">
        <f t="shared" ca="1" si="3"/>
        <v>-47852.031474254327</v>
      </c>
      <c r="AM12" s="3">
        <f t="shared" ca="1" si="3"/>
        <v>-54222.676591119911</v>
      </c>
      <c r="AN12" s="3">
        <f t="shared" ca="1" si="3"/>
        <v>-53247.660050699786</v>
      </c>
      <c r="AO12" s="3">
        <f t="shared" ca="1" si="3"/>
        <v>-52213.521056421894</v>
      </c>
      <c r="AP12" s="3">
        <f t="shared" ca="1" si="3"/>
        <v>-58410.422215449624</v>
      </c>
      <c r="AQ12" s="3">
        <f t="shared" ca="1" si="3"/>
        <v>-57249.272989661084</v>
      </c>
      <c r="AR12" s="3">
        <f t="shared" ca="1" si="3"/>
        <v>-63309.38137727938</v>
      </c>
      <c r="AS12" s="3">
        <f t="shared" ca="1" si="3"/>
        <v>-62010.154079991386</v>
      </c>
      <c r="AT12" s="3">
        <f t="shared" ca="1" si="3"/>
        <v>-67924.033333774001</v>
      </c>
      <c r="AU12" s="3">
        <f t="shared" ca="1" si="3"/>
        <v>-73757.36666710733</v>
      </c>
      <c r="AV12" s="3">
        <f t="shared" ca="1" si="3"/>
        <v>-72209.261129102801</v>
      </c>
      <c r="AW12" s="3">
        <f t="shared" ca="1" si="3"/>
        <v>-77862.192119710628</v>
      </c>
      <c r="AX12" s="3">
        <f t="shared" ca="1" si="3"/>
        <v>-83415.894433448266</v>
      </c>
      <c r="AY12" s="3">
        <f t="shared" ca="1" si="3"/>
        <v>-81572.692911579637</v>
      </c>
      <c r="AZ12" s="3">
        <f t="shared" ca="1" si="3"/>
        <v>-86913.252229360107</v>
      </c>
      <c r="BA12" s="3">
        <f t="shared" ca="1" si="3"/>
        <v>-92135.66814946504</v>
      </c>
      <c r="BB12" s="3">
        <f t="shared" ca="1" si="3"/>
        <v>-97236.94473105199</v>
      </c>
      <c r="BC12" s="3">
        <f t="shared" ca="1" si="3"/>
        <v>-102204.36056633275</v>
      </c>
      <c r="BD12" s="3">
        <f t="shared" ca="1" si="3"/>
        <v>-107030.97231825652</v>
      </c>
      <c r="BE12" s="3">
        <f t="shared" ca="1" si="3"/>
        <v>-111723.08859276578</v>
      </c>
      <c r="BF12" s="3">
        <f t="shared" ca="1" si="3"/>
        <v>-116257.72302187124</v>
      </c>
      <c r="BG12" s="3">
        <f t="shared" ca="1" si="3"/>
        <v>-119974.62784057531</v>
      </c>
      <c r="BH12" s="3">
        <f t="shared" ca="1" si="3"/>
        <v>-123474.93471179072</v>
      </c>
      <c r="BI12" s="3">
        <f t="shared" ca="1" si="3"/>
        <v>-126753.14301937963</v>
      </c>
      <c r="BJ12" s="3">
        <f t="shared" ca="1" si="3"/>
        <v>-129788.17237048752</v>
      </c>
      <c r="BK12" s="3">
        <f t="shared" ca="1" si="3"/>
        <v>-132565.28833724195</v>
      </c>
      <c r="BL12" s="3">
        <f t="shared" ca="1" si="3"/>
        <v>-135077.9410764291</v>
      </c>
      <c r="BM12" s="3">
        <f t="shared" ca="1" si="3"/>
        <v>-137301.02917035882</v>
      </c>
      <c r="BN12" s="3">
        <f t="shared" ca="1" si="3"/>
        <v>-139227.19897549841</v>
      </c>
      <c r="BO12" s="3">
        <f t="shared" ca="1" si="3"/>
        <v>-140826.30550543399</v>
      </c>
      <c r="BP12" s="3">
        <f t="shared" ca="1" si="3"/>
        <v>-142080.42869221538</v>
      </c>
      <c r="BQ12" s="3">
        <f t="shared" ca="1" si="3"/>
        <v>-143004.64866232162</v>
      </c>
    </row>
    <row r="15" spans="1:69">
      <c r="B15" s="27" t="s">
        <v>109</v>
      </c>
    </row>
    <row r="16" spans="1:69" s="85" customFormat="1">
      <c r="A16" s="59"/>
      <c r="B16" s="59"/>
      <c r="C16" s="86"/>
      <c r="D16" s="84"/>
      <c r="E16" s="40" t="str">
        <f xml:space="preserve">  InpC!E$49</f>
        <v>Opening Inventory</v>
      </c>
      <c r="F16" s="40">
        <f xml:space="preserve">  InpC!F$49</f>
        <v>0</v>
      </c>
      <c r="G16" s="40" t="str">
        <f xml:space="preserve">  InpC!G$49</f>
        <v>GBP</v>
      </c>
      <c r="M16" s="87"/>
    </row>
    <row r="17" spans="1:69">
      <c r="A17" s="18"/>
      <c r="B17" s="18"/>
      <c r="C17" s="30"/>
      <c r="D17" s="31"/>
      <c r="E17" s="10" t="str">
        <f xml:space="preserve">  Time!E$28</f>
        <v>Period number</v>
      </c>
      <c r="F17" s="10">
        <f xml:space="preserve">  Time!F$28</f>
        <v>0</v>
      </c>
      <c r="G17" s="10" t="str">
        <f xml:space="preserve">  Time!G$28</f>
        <v>Counter</v>
      </c>
      <c r="H17" s="10">
        <f xml:space="preserve">  Time!H$28</f>
        <v>0</v>
      </c>
      <c r="I17" s="10">
        <f xml:space="preserve">  Time!I$28</f>
        <v>0</v>
      </c>
      <c r="J17" s="10">
        <f xml:space="preserve">  Time!J$28</f>
        <v>1</v>
      </c>
      <c r="K17" s="10">
        <f xml:space="preserve">  Time!K$28</f>
        <v>2</v>
      </c>
      <c r="L17" s="10">
        <f xml:space="preserve">  Time!L$28</f>
        <v>3</v>
      </c>
      <c r="M17" s="10">
        <f xml:space="preserve">  Time!M$28</f>
        <v>4</v>
      </c>
      <c r="N17" s="10">
        <f xml:space="preserve">  Time!N$28</f>
        <v>5</v>
      </c>
      <c r="O17" s="10">
        <f xml:space="preserve">  Time!O$28</f>
        <v>6</v>
      </c>
      <c r="P17" s="10">
        <f xml:space="preserve">  Time!P$28</f>
        <v>7</v>
      </c>
      <c r="Q17" s="10">
        <f xml:space="preserve">  Time!Q$28</f>
        <v>8</v>
      </c>
      <c r="R17" s="10">
        <f xml:space="preserve">  Time!R$28</f>
        <v>9</v>
      </c>
      <c r="S17" s="10">
        <f xml:space="preserve">  Time!S$28</f>
        <v>10</v>
      </c>
      <c r="T17" s="10">
        <f xml:space="preserve">  Time!T$28</f>
        <v>11</v>
      </c>
      <c r="U17" s="10">
        <f xml:space="preserve">  Time!U$28</f>
        <v>12</v>
      </c>
      <c r="V17" s="10">
        <f xml:space="preserve">  Time!V$28</f>
        <v>13</v>
      </c>
      <c r="W17" s="10">
        <f xml:space="preserve">  Time!W$28</f>
        <v>14</v>
      </c>
      <c r="X17" s="10">
        <f xml:space="preserve">  Time!X$28</f>
        <v>15</v>
      </c>
      <c r="Y17" s="10">
        <f xml:space="preserve">  Time!Y$28</f>
        <v>16</v>
      </c>
      <c r="Z17" s="10">
        <f xml:space="preserve">  Time!Z$28</f>
        <v>17</v>
      </c>
      <c r="AA17" s="10">
        <f xml:space="preserve">  Time!AA$28</f>
        <v>18</v>
      </c>
      <c r="AB17" s="10">
        <f xml:space="preserve">  Time!AB$28</f>
        <v>19</v>
      </c>
      <c r="AC17" s="10">
        <f xml:space="preserve">  Time!AC$28</f>
        <v>20</v>
      </c>
      <c r="AD17" s="10">
        <f xml:space="preserve">  Time!AD$28</f>
        <v>21</v>
      </c>
      <c r="AE17" s="10">
        <f xml:space="preserve">  Time!AE$28</f>
        <v>22</v>
      </c>
      <c r="AF17" s="10">
        <f xml:space="preserve">  Time!AF$28</f>
        <v>23</v>
      </c>
      <c r="AG17" s="10">
        <f xml:space="preserve">  Time!AG$28</f>
        <v>24</v>
      </c>
      <c r="AH17" s="10">
        <f xml:space="preserve">  Time!AH$28</f>
        <v>25</v>
      </c>
      <c r="AI17" s="10">
        <f xml:space="preserve">  Time!AI$28</f>
        <v>26</v>
      </c>
      <c r="AJ17" s="10">
        <f xml:space="preserve">  Time!AJ$28</f>
        <v>27</v>
      </c>
      <c r="AK17" s="10">
        <f xml:space="preserve">  Time!AK$28</f>
        <v>28</v>
      </c>
      <c r="AL17" s="10">
        <f xml:space="preserve">  Time!AL$28</f>
        <v>29</v>
      </c>
      <c r="AM17" s="10">
        <f xml:space="preserve">  Time!AM$28</f>
        <v>30</v>
      </c>
      <c r="AN17" s="10">
        <f xml:space="preserve">  Time!AN$28</f>
        <v>31</v>
      </c>
      <c r="AO17" s="10">
        <f xml:space="preserve">  Time!AO$28</f>
        <v>32</v>
      </c>
      <c r="AP17" s="10">
        <f xml:space="preserve">  Time!AP$28</f>
        <v>33</v>
      </c>
      <c r="AQ17" s="10">
        <f xml:space="preserve">  Time!AQ$28</f>
        <v>34</v>
      </c>
      <c r="AR17" s="10">
        <f xml:space="preserve">  Time!AR$28</f>
        <v>35</v>
      </c>
      <c r="AS17" s="10">
        <f xml:space="preserve">  Time!AS$28</f>
        <v>36</v>
      </c>
      <c r="AT17" s="10">
        <f xml:space="preserve">  Time!AT$28</f>
        <v>37</v>
      </c>
      <c r="AU17" s="10">
        <f xml:space="preserve">  Time!AU$28</f>
        <v>38</v>
      </c>
      <c r="AV17" s="10">
        <f xml:space="preserve">  Time!AV$28</f>
        <v>39</v>
      </c>
      <c r="AW17" s="10">
        <f xml:space="preserve">  Time!AW$28</f>
        <v>40</v>
      </c>
      <c r="AX17" s="10">
        <f xml:space="preserve">  Time!AX$28</f>
        <v>41</v>
      </c>
      <c r="AY17" s="10">
        <f xml:space="preserve">  Time!AY$28</f>
        <v>42</v>
      </c>
      <c r="AZ17" s="10">
        <f xml:space="preserve">  Time!AZ$28</f>
        <v>43</v>
      </c>
      <c r="BA17" s="10">
        <f xml:space="preserve">  Time!BA$28</f>
        <v>44</v>
      </c>
      <c r="BB17" s="10">
        <f xml:space="preserve">  Time!BB$28</f>
        <v>45</v>
      </c>
      <c r="BC17" s="10">
        <f xml:space="preserve">  Time!BC$28</f>
        <v>46</v>
      </c>
      <c r="BD17" s="10">
        <f xml:space="preserve">  Time!BD$28</f>
        <v>47</v>
      </c>
      <c r="BE17" s="10">
        <f xml:space="preserve">  Time!BE$28</f>
        <v>48</v>
      </c>
      <c r="BF17" s="10">
        <f xml:space="preserve">  Time!BF$28</f>
        <v>49</v>
      </c>
      <c r="BG17" s="10">
        <f xml:space="preserve">  Time!BG$28</f>
        <v>50</v>
      </c>
      <c r="BH17" s="10">
        <f xml:space="preserve">  Time!BH$28</f>
        <v>51</v>
      </c>
      <c r="BI17" s="10">
        <f xml:space="preserve">  Time!BI$28</f>
        <v>52</v>
      </c>
      <c r="BJ17" s="10">
        <f xml:space="preserve">  Time!BJ$28</f>
        <v>53</v>
      </c>
      <c r="BK17" s="10">
        <f xml:space="preserve">  Time!BK$28</f>
        <v>54</v>
      </c>
      <c r="BL17" s="10">
        <f xml:space="preserve">  Time!BL$28</f>
        <v>55</v>
      </c>
      <c r="BM17" s="10">
        <f xml:space="preserve">  Time!BM$28</f>
        <v>56</v>
      </c>
      <c r="BN17" s="10">
        <f xml:space="preserve">  Time!BN$28</f>
        <v>57</v>
      </c>
      <c r="BO17" s="10">
        <f xml:space="preserve">  Time!BO$28</f>
        <v>58</v>
      </c>
      <c r="BP17" s="10">
        <f xml:space="preserve">  Time!BP$28</f>
        <v>59</v>
      </c>
      <c r="BQ17" s="10">
        <f xml:space="preserve">  Time!BQ$28</f>
        <v>60</v>
      </c>
    </row>
    <row r="18" spans="1:69">
      <c r="E18" s="46" t="s">
        <v>199</v>
      </c>
      <c r="G18" s="46" t="s">
        <v>252</v>
      </c>
      <c r="J18" s="2">
        <f t="shared" ref="J18:BQ18" si="4" xml:space="preserve">  I21</f>
        <v>0</v>
      </c>
      <c r="K18" s="2">
        <f t="shared" ca="1" si="4"/>
        <v>175000</v>
      </c>
      <c r="L18" s="2">
        <f t="shared" ca="1" si="4"/>
        <v>175000</v>
      </c>
      <c r="M18" s="2">
        <f t="shared" ca="1" si="4"/>
        <v>175000</v>
      </c>
      <c r="N18" s="2">
        <f t="shared" ca="1" si="4"/>
        <v>175000</v>
      </c>
      <c r="O18" s="2">
        <f t="shared" ca="1" si="4"/>
        <v>175000</v>
      </c>
      <c r="P18" s="2">
        <f t="shared" ca="1" si="4"/>
        <v>175000</v>
      </c>
      <c r="Q18" s="2">
        <f t="shared" ca="1" si="4"/>
        <v>350000</v>
      </c>
      <c r="R18" s="2">
        <f t="shared" ca="1" si="4"/>
        <v>350000</v>
      </c>
      <c r="S18" s="2">
        <f t="shared" ca="1" si="4"/>
        <v>350000</v>
      </c>
      <c r="T18" s="2">
        <f t="shared" ca="1" si="4"/>
        <v>350000</v>
      </c>
      <c r="U18" s="2">
        <f t="shared" ca="1" si="4"/>
        <v>350000</v>
      </c>
      <c r="V18" s="2">
        <f t="shared" ca="1" si="4"/>
        <v>350000</v>
      </c>
      <c r="W18" s="2">
        <f t="shared" ca="1" si="4"/>
        <v>525000</v>
      </c>
      <c r="X18" s="2">
        <f t="shared" ca="1" si="4"/>
        <v>525000</v>
      </c>
      <c r="Y18" s="2">
        <f t="shared" ca="1" si="4"/>
        <v>525000</v>
      </c>
      <c r="Z18" s="2">
        <f t="shared" ca="1" si="4"/>
        <v>525000</v>
      </c>
      <c r="AA18" s="2">
        <f t="shared" ca="1" si="4"/>
        <v>700000</v>
      </c>
      <c r="AB18" s="2">
        <f t="shared" ca="1" si="4"/>
        <v>700000</v>
      </c>
      <c r="AC18" s="2">
        <f t="shared" ca="1" si="4"/>
        <v>700000</v>
      </c>
      <c r="AD18" s="2">
        <f t="shared" ca="1" si="4"/>
        <v>700000</v>
      </c>
      <c r="AE18" s="2">
        <f t="shared" ca="1" si="4"/>
        <v>875000</v>
      </c>
      <c r="AF18" s="2">
        <f t="shared" ca="1" si="4"/>
        <v>875000</v>
      </c>
      <c r="AG18" s="2">
        <f t="shared" ca="1" si="4"/>
        <v>875000</v>
      </c>
      <c r="AH18" s="2">
        <f t="shared" ca="1" si="4"/>
        <v>1050000</v>
      </c>
      <c r="AI18" s="2">
        <f t="shared" ca="1" si="4"/>
        <v>1032500</v>
      </c>
      <c r="AJ18" s="2">
        <f t="shared" ca="1" si="4"/>
        <v>1188938.8457532576</v>
      </c>
      <c r="AK18" s="2">
        <f t="shared" ca="1" si="4"/>
        <v>1169289.5417779363</v>
      </c>
      <c r="AL18" s="2">
        <f t="shared" ca="1" si="4"/>
        <v>1148448.7553821038</v>
      </c>
      <c r="AM18" s="2">
        <f t="shared" ca="1" si="4"/>
        <v>1301344.2381868779</v>
      </c>
      <c r="AN18" s="2">
        <f t="shared" ca="1" si="4"/>
        <v>1277943.8412167949</v>
      </c>
      <c r="AO18" s="2">
        <f t="shared" ca="1" si="4"/>
        <v>1253124.5053541255</v>
      </c>
      <c r="AP18" s="2">
        <f t="shared" ca="1" si="4"/>
        <v>1401850.133170791</v>
      </c>
      <c r="AQ18" s="2">
        <f t="shared" ca="1" si="4"/>
        <v>1373982.551751866</v>
      </c>
      <c r="AR18" s="2">
        <f t="shared" ca="1" si="4"/>
        <v>1519425.1530547051</v>
      </c>
      <c r="AS18" s="2">
        <f t="shared" ca="1" si="4"/>
        <v>1488243.6979197932</v>
      </c>
      <c r="AT18" s="2">
        <f t="shared" ca="1" si="4"/>
        <v>1630176.8000105759</v>
      </c>
      <c r="AU18" s="2">
        <f t="shared" ca="1" si="4"/>
        <v>1770176.8000105759</v>
      </c>
      <c r="AV18" s="2">
        <f t="shared" ca="1" si="4"/>
        <v>1733022.2670984673</v>
      </c>
      <c r="AW18" s="2">
        <f t="shared" ca="1" si="4"/>
        <v>1868692.6108730552</v>
      </c>
      <c r="AX18" s="2">
        <f t="shared" ca="1" si="4"/>
        <v>2001981.4664027584</v>
      </c>
      <c r="AY18" s="2">
        <f t="shared" ca="1" si="4"/>
        <v>1957744.6298779114</v>
      </c>
      <c r="AZ18" s="2">
        <f t="shared" ca="1" si="4"/>
        <v>2085918.0535046426</v>
      </c>
      <c r="BA18" s="2">
        <f t="shared" ca="1" si="4"/>
        <v>2211256.0355871608</v>
      </c>
      <c r="BB18" s="2">
        <f t="shared" ca="1" si="4"/>
        <v>2333686.6735452479</v>
      </c>
      <c r="BC18" s="2">
        <f t="shared" ca="1" si="4"/>
        <v>2452904.6535919858</v>
      </c>
      <c r="BD18" s="2">
        <f t="shared" ca="1" si="4"/>
        <v>2568743.3356381566</v>
      </c>
      <c r="BE18" s="2">
        <f t="shared" ca="1" si="4"/>
        <v>2681354.1262263786</v>
      </c>
      <c r="BF18" s="2">
        <f t="shared" ca="1" si="4"/>
        <v>2790185.3525249097</v>
      </c>
      <c r="BG18" s="2">
        <f t="shared" ca="1" si="4"/>
        <v>2879391.0681738076</v>
      </c>
      <c r="BH18" s="2">
        <f t="shared" ca="1" si="4"/>
        <v>2963398.4330829773</v>
      </c>
      <c r="BI18" s="2">
        <f t="shared" ca="1" si="4"/>
        <v>3042075.4324651109</v>
      </c>
      <c r="BJ18" s="2">
        <f t="shared" ca="1" si="4"/>
        <v>3114916.1368917003</v>
      </c>
      <c r="BK18" s="2">
        <f t="shared" ca="1" si="4"/>
        <v>3181566.9200938065</v>
      </c>
      <c r="BL18" s="2">
        <f t="shared" ca="1" si="4"/>
        <v>3241870.5858342983</v>
      </c>
      <c r="BM18" s="2">
        <f t="shared" ca="1" si="4"/>
        <v>3295224.7000886113</v>
      </c>
      <c r="BN18" s="2">
        <f t="shared" ca="1" si="4"/>
        <v>3341452.7754119621</v>
      </c>
      <c r="BO18" s="2">
        <f t="shared" ca="1" si="4"/>
        <v>3379831.3321304158</v>
      </c>
      <c r="BP18" s="2">
        <f t="shared" ca="1" si="4"/>
        <v>3409930.2886131695</v>
      </c>
      <c r="BQ18" s="2">
        <f t="shared" ca="1" si="4"/>
        <v>3432111.5678957189</v>
      </c>
    </row>
    <row r="19" spans="1:69">
      <c r="A19" s="18"/>
      <c r="B19" s="18"/>
      <c r="C19" s="30"/>
      <c r="D19" s="31" t="s">
        <v>216</v>
      </c>
      <c r="E19" s="4" t="str">
        <f xml:space="preserve">  Inventory!E$26</f>
        <v>Units ordered</v>
      </c>
      <c r="F19" s="4">
        <f xml:space="preserve">  Inventory!F$26</f>
        <v>0</v>
      </c>
      <c r="G19" s="4" t="str">
        <f xml:space="preserve">  Inventory!G$26</f>
        <v>Units</v>
      </c>
      <c r="H19" s="4">
        <f ca="1" xml:space="preserve">  Inventory!H$26</f>
        <v>165000</v>
      </c>
      <c r="I19" s="4">
        <f xml:space="preserve">  Inventory!I$26</f>
        <v>0</v>
      </c>
      <c r="J19" s="4">
        <f ca="1" xml:space="preserve">  Inventory!J$26</f>
        <v>5000</v>
      </c>
      <c r="K19" s="4">
        <f ca="1" xml:space="preserve">  Inventory!K$26</f>
        <v>0</v>
      </c>
      <c r="L19" s="4">
        <f ca="1" xml:space="preserve">  Inventory!L$26</f>
        <v>0</v>
      </c>
      <c r="M19" s="4">
        <f ca="1" xml:space="preserve">  Inventory!M$26</f>
        <v>0</v>
      </c>
      <c r="N19" s="4">
        <f ca="1" xml:space="preserve">  Inventory!N$26</f>
        <v>0</v>
      </c>
      <c r="O19" s="4">
        <f ca="1" xml:space="preserve">  Inventory!O$26</f>
        <v>0</v>
      </c>
      <c r="P19" s="4">
        <f ca="1" xml:space="preserve">  Inventory!P$26</f>
        <v>5000</v>
      </c>
      <c r="Q19" s="4">
        <f ca="1" xml:space="preserve">  Inventory!Q$26</f>
        <v>0</v>
      </c>
      <c r="R19" s="4">
        <f ca="1" xml:space="preserve">  Inventory!R$26</f>
        <v>0</v>
      </c>
      <c r="S19" s="4">
        <f ca="1" xml:space="preserve">  Inventory!S$26</f>
        <v>0</v>
      </c>
      <c r="T19" s="4">
        <f ca="1" xml:space="preserve">  Inventory!T$26</f>
        <v>0</v>
      </c>
      <c r="U19" s="4">
        <f ca="1" xml:space="preserve">  Inventory!U$26</f>
        <v>0</v>
      </c>
      <c r="V19" s="4">
        <f ca="1" xml:space="preserve">  Inventory!V$26</f>
        <v>5000</v>
      </c>
      <c r="W19" s="4">
        <f ca="1" xml:space="preserve">  Inventory!W$26</f>
        <v>0</v>
      </c>
      <c r="X19" s="4">
        <f ca="1" xml:space="preserve">  Inventory!X$26</f>
        <v>0</v>
      </c>
      <c r="Y19" s="4">
        <f ca="1" xml:space="preserve">  Inventory!Y$26</f>
        <v>0</v>
      </c>
      <c r="Z19" s="4">
        <f ca="1" xml:space="preserve">  Inventory!Z$26</f>
        <v>5000</v>
      </c>
      <c r="AA19" s="4">
        <f ca="1" xml:space="preserve">  Inventory!AA$26</f>
        <v>0</v>
      </c>
      <c r="AB19" s="4">
        <f ca="1" xml:space="preserve">  Inventory!AB$26</f>
        <v>0</v>
      </c>
      <c r="AC19" s="4">
        <f ca="1" xml:space="preserve">  Inventory!AC$26</f>
        <v>0</v>
      </c>
      <c r="AD19" s="4">
        <f ca="1" xml:space="preserve">  Inventory!AD$26</f>
        <v>5000</v>
      </c>
      <c r="AE19" s="4">
        <f ca="1" xml:space="preserve">  Inventory!AE$26</f>
        <v>0</v>
      </c>
      <c r="AF19" s="4">
        <f ca="1" xml:space="preserve">  Inventory!AF$26</f>
        <v>0</v>
      </c>
      <c r="AG19" s="4">
        <f ca="1" xml:space="preserve">  Inventory!AG$26</f>
        <v>5000</v>
      </c>
      <c r="AH19" s="4">
        <f ca="1" xml:space="preserve">  Inventory!AH$26</f>
        <v>0</v>
      </c>
      <c r="AI19" s="4">
        <f ca="1" xml:space="preserve">  Inventory!AI$26</f>
        <v>5000</v>
      </c>
      <c r="AJ19" s="4">
        <f ca="1" xml:space="preserve">  Inventory!AJ$26</f>
        <v>0</v>
      </c>
      <c r="AK19" s="4">
        <f ca="1" xml:space="preserve">  Inventory!AK$26</f>
        <v>0</v>
      </c>
      <c r="AL19" s="4">
        <f ca="1" xml:space="preserve">  Inventory!AL$26</f>
        <v>5000</v>
      </c>
      <c r="AM19" s="4">
        <f ca="1" xml:space="preserve">  Inventory!AM$26</f>
        <v>0</v>
      </c>
      <c r="AN19" s="4">
        <f ca="1" xml:space="preserve">  Inventory!AN$26</f>
        <v>0</v>
      </c>
      <c r="AO19" s="4">
        <f ca="1" xml:space="preserve">  Inventory!AO$26</f>
        <v>5000</v>
      </c>
      <c r="AP19" s="4">
        <f ca="1" xml:space="preserve">  Inventory!AP$26</f>
        <v>0</v>
      </c>
      <c r="AQ19" s="4">
        <f ca="1" xml:space="preserve">  Inventory!AQ$26</f>
        <v>5000</v>
      </c>
      <c r="AR19" s="4">
        <f ca="1" xml:space="preserve">  Inventory!AR$26</f>
        <v>0</v>
      </c>
      <c r="AS19" s="4">
        <f ca="1" xml:space="preserve">  Inventory!AS$26</f>
        <v>5000</v>
      </c>
      <c r="AT19" s="4">
        <f ca="1" xml:space="preserve">  Inventory!AT$26</f>
        <v>5000</v>
      </c>
      <c r="AU19" s="4">
        <f ca="1" xml:space="preserve">  Inventory!AU$26</f>
        <v>0</v>
      </c>
      <c r="AV19" s="4">
        <f ca="1" xml:space="preserve">  Inventory!AV$26</f>
        <v>5000</v>
      </c>
      <c r="AW19" s="4">
        <f ca="1" xml:space="preserve">  Inventory!AW$26</f>
        <v>5000</v>
      </c>
      <c r="AX19" s="4">
        <f ca="1" xml:space="preserve">  Inventory!AX$26</f>
        <v>0</v>
      </c>
      <c r="AY19" s="4">
        <f ca="1" xml:space="preserve">  Inventory!AY$26</f>
        <v>5000</v>
      </c>
      <c r="AZ19" s="4">
        <f ca="1" xml:space="preserve">  Inventory!AZ$26</f>
        <v>5000</v>
      </c>
      <c r="BA19" s="4">
        <f ca="1" xml:space="preserve">  Inventory!BA$26</f>
        <v>5000</v>
      </c>
      <c r="BB19" s="4">
        <f ca="1" xml:space="preserve">  Inventory!BB$26</f>
        <v>5000</v>
      </c>
      <c r="BC19" s="4">
        <f ca="1" xml:space="preserve">  Inventory!BC$26</f>
        <v>5000</v>
      </c>
      <c r="BD19" s="4">
        <f ca="1" xml:space="preserve">  Inventory!BD$26</f>
        <v>5000</v>
      </c>
      <c r="BE19" s="4">
        <f ca="1" xml:space="preserve">  Inventory!BE$26</f>
        <v>5000</v>
      </c>
      <c r="BF19" s="4">
        <f ca="1" xml:space="preserve">  Inventory!BF$26</f>
        <v>5000</v>
      </c>
      <c r="BG19" s="4">
        <f ca="1" xml:space="preserve">  Inventory!BG$26</f>
        <v>5000</v>
      </c>
      <c r="BH19" s="4">
        <f ca="1" xml:space="preserve">  Inventory!BH$26</f>
        <v>5000</v>
      </c>
      <c r="BI19" s="4">
        <f ca="1" xml:space="preserve">  Inventory!BI$26</f>
        <v>5000</v>
      </c>
      <c r="BJ19" s="4">
        <f ca="1" xml:space="preserve">  Inventory!BJ$26</f>
        <v>5000</v>
      </c>
      <c r="BK19" s="4">
        <f ca="1" xml:space="preserve">  Inventory!BK$26</f>
        <v>5000</v>
      </c>
      <c r="BL19" s="4">
        <f ca="1" xml:space="preserve">  Inventory!BL$26</f>
        <v>5000</v>
      </c>
      <c r="BM19" s="4">
        <f ca="1" xml:space="preserve">  Inventory!BM$26</f>
        <v>5000</v>
      </c>
      <c r="BN19" s="4">
        <f ca="1" xml:space="preserve">  Inventory!BN$26</f>
        <v>5000</v>
      </c>
      <c r="BO19" s="4">
        <f ca="1" xml:space="preserve">  Inventory!BO$26</f>
        <v>5000</v>
      </c>
      <c r="BP19" s="4">
        <f ca="1" xml:space="preserve">  Inventory!BP$26</f>
        <v>5000</v>
      </c>
      <c r="BQ19" s="4">
        <f ca="1" xml:space="preserve">  Inventory!BQ$26</f>
        <v>5000</v>
      </c>
    </row>
    <row r="20" spans="1:69">
      <c r="A20" s="18"/>
      <c r="B20" s="18"/>
      <c r="C20" s="30"/>
      <c r="D20" s="31" t="s">
        <v>293</v>
      </c>
      <c r="E20" s="4" t="str">
        <f xml:space="preserve">  Inventory!E$68</f>
        <v>Units retired</v>
      </c>
      <c r="F20" s="4">
        <f xml:space="preserve">  Inventory!F$68</f>
        <v>0</v>
      </c>
      <c r="G20" s="4" t="str">
        <f xml:space="preserve">  Inventory!G$68</f>
        <v>Units</v>
      </c>
      <c r="H20" s="4">
        <f ca="1" xml:space="preserve">  Inventory!H$68</f>
        <v>66570.387475079086</v>
      </c>
      <c r="I20" s="4">
        <f xml:space="preserve">  Inventory!I$68</f>
        <v>0</v>
      </c>
      <c r="J20" s="4">
        <f ca="1" xml:space="preserve">  Inventory!J$68</f>
        <v>0</v>
      </c>
      <c r="K20" s="4">
        <f ca="1" xml:space="preserve">  Inventory!K$68</f>
        <v>0</v>
      </c>
      <c r="L20" s="4">
        <f ca="1" xml:space="preserve">  Inventory!L$68</f>
        <v>0</v>
      </c>
      <c r="M20" s="4">
        <f ca="1" xml:space="preserve">  Inventory!M$68</f>
        <v>0</v>
      </c>
      <c r="N20" s="4">
        <f ca="1" xml:space="preserve">  Inventory!N$68</f>
        <v>0</v>
      </c>
      <c r="O20" s="4">
        <f ca="1" xml:space="preserve">  Inventory!O$68</f>
        <v>0</v>
      </c>
      <c r="P20" s="4">
        <f ca="1" xml:space="preserve">  Inventory!P$68</f>
        <v>0</v>
      </c>
      <c r="Q20" s="4">
        <f ca="1" xml:space="preserve">  Inventory!Q$68</f>
        <v>0</v>
      </c>
      <c r="R20" s="4">
        <f ca="1" xml:space="preserve">  Inventory!R$68</f>
        <v>0</v>
      </c>
      <c r="S20" s="4">
        <f ca="1" xml:space="preserve">  Inventory!S$68</f>
        <v>0</v>
      </c>
      <c r="T20" s="4">
        <f ca="1" xml:space="preserve">  Inventory!T$68</f>
        <v>0</v>
      </c>
      <c r="U20" s="4">
        <f ca="1" xml:space="preserve">  Inventory!U$68</f>
        <v>0</v>
      </c>
      <c r="V20" s="4">
        <f ca="1" xml:space="preserve">  Inventory!V$68</f>
        <v>0</v>
      </c>
      <c r="W20" s="4">
        <f ca="1" xml:space="preserve">  Inventory!W$68</f>
        <v>0</v>
      </c>
      <c r="X20" s="4">
        <f ca="1" xml:space="preserve">  Inventory!X$68</f>
        <v>0</v>
      </c>
      <c r="Y20" s="4">
        <f ca="1" xml:space="preserve">  Inventory!Y$68</f>
        <v>0</v>
      </c>
      <c r="Z20" s="4">
        <f ca="1" xml:space="preserve">  Inventory!Z$68</f>
        <v>0</v>
      </c>
      <c r="AA20" s="4">
        <f ca="1" xml:space="preserve">  Inventory!AA$68</f>
        <v>0</v>
      </c>
      <c r="AB20" s="4">
        <f ca="1" xml:space="preserve">  Inventory!AB$68</f>
        <v>0</v>
      </c>
      <c r="AC20" s="4">
        <f ca="1" xml:space="preserve">  Inventory!AC$68</f>
        <v>0</v>
      </c>
      <c r="AD20" s="4">
        <f ca="1" xml:space="preserve">  Inventory!AD$68</f>
        <v>0</v>
      </c>
      <c r="AE20" s="4">
        <f ca="1" xml:space="preserve">  Inventory!AE$68</f>
        <v>0</v>
      </c>
      <c r="AF20" s="4">
        <f ca="1" xml:space="preserve">  Inventory!AF$68</f>
        <v>0</v>
      </c>
      <c r="AG20" s="4">
        <f ca="1" xml:space="preserve">  Inventory!AG$68</f>
        <v>0</v>
      </c>
      <c r="AH20" s="4">
        <f ca="1" xml:space="preserve">  Inventory!AH$68</f>
        <v>500</v>
      </c>
      <c r="AI20" s="4">
        <f ca="1" xml:space="preserve">  Inventory!AI$68</f>
        <v>530.31869276406599</v>
      </c>
      <c r="AJ20" s="4">
        <f ca="1" xml:space="preserve">  Inventory!AJ$68</f>
        <v>561.40868500918316</v>
      </c>
      <c r="AK20" s="4">
        <f ca="1" xml:space="preserve">  Inventory!AK$68</f>
        <v>595.4510398809266</v>
      </c>
      <c r="AL20" s="4">
        <f ca="1" xml:space="preserve">  Inventory!AL$68</f>
        <v>631.55763414931334</v>
      </c>
      <c r="AM20" s="4">
        <f ca="1" xml:space="preserve">  Inventory!AM$68</f>
        <v>668.58277057380337</v>
      </c>
      <c r="AN20" s="4">
        <f ca="1" xml:space="preserve">  Inventory!AN$68</f>
        <v>709.12388179055358</v>
      </c>
      <c r="AO20" s="4">
        <f ca="1" xml:space="preserve">  Inventory!AO$68</f>
        <v>750.69634809527076</v>
      </c>
      <c r="AP20" s="4">
        <f ca="1" xml:space="preserve">  Inventory!AP$68</f>
        <v>796.21661196928437</v>
      </c>
      <c r="AQ20" s="4">
        <f ca="1" xml:space="preserve">  Inventory!AQ$68</f>
        <v>844.49710563316887</v>
      </c>
      <c r="AR20" s="4">
        <f ca="1" xml:space="preserve">  Inventory!AR$68</f>
        <v>890.89871814033927</v>
      </c>
      <c r="AS20" s="4">
        <f ca="1" xml:space="preserve">  Inventory!AS$68</f>
        <v>944.76851169192605</v>
      </c>
      <c r="AT20" s="4">
        <f ca="1" xml:space="preserve">  Inventory!AT$68</f>
        <v>1000</v>
      </c>
      <c r="AU20" s="4">
        <f ca="1" xml:space="preserve">  Inventory!AU$68</f>
        <v>1061.5580832031035</v>
      </c>
      <c r="AV20" s="4">
        <f ca="1" xml:space="preserve">  Inventory!AV$68</f>
        <v>1123.704463583204</v>
      </c>
      <c r="AW20" s="4">
        <f ca="1" xml:space="preserve">  Inventory!AW$68</f>
        <v>1191.7469848656265</v>
      </c>
      <c r="AX20" s="4">
        <f ca="1" xml:space="preserve">  Inventory!AX$68</f>
        <v>1263.9096149956249</v>
      </c>
      <c r="AY20" s="4">
        <f ca="1" xml:space="preserve">  Inventory!AY$68</f>
        <v>1337.9021820933933</v>
      </c>
      <c r="AZ20" s="4">
        <f ca="1" xml:space="preserve">  Inventory!AZ$68</f>
        <v>1418.9147976423296</v>
      </c>
      <c r="BA20" s="4">
        <f ca="1" xml:space="preserve">  Inventory!BA$68</f>
        <v>1501.9817726260831</v>
      </c>
      <c r="BB20" s="4">
        <f ca="1" xml:space="preserve">  Inventory!BB$68</f>
        <v>1593.7719986646332</v>
      </c>
      <c r="BC20" s="4">
        <f ca="1" xml:space="preserve">  Inventory!BC$68</f>
        <v>1690.3233701094071</v>
      </c>
      <c r="BD20" s="4">
        <f ca="1" xml:space="preserve">  Inventory!BD$68</f>
        <v>1782.5488403365116</v>
      </c>
      <c r="BE20" s="4">
        <f ca="1" xml:space="preserve">  Inventory!BE$68</f>
        <v>1890.5363914705406</v>
      </c>
      <c r="BF20" s="4">
        <f ca="1" xml:space="preserve">  Inventory!BF$68</f>
        <v>2451.2652671743485</v>
      </c>
      <c r="BG20" s="4">
        <f ca="1" xml:space="preserve">  Inventory!BG$68</f>
        <v>2599.7895740237263</v>
      </c>
      <c r="BH20" s="4">
        <f ca="1" xml:space="preserve">  Inventory!BH$68</f>
        <v>2752.0857319390348</v>
      </c>
      <c r="BI20" s="4">
        <f ca="1" xml:space="preserve">  Inventory!BI$68</f>
        <v>2918.8370163831542</v>
      </c>
      <c r="BJ20" s="4">
        <f ca="1" xml:space="preserve">  Inventory!BJ$68</f>
        <v>3095.6919085112468</v>
      </c>
      <c r="BK20" s="4">
        <f ca="1" xml:space="preserve">  Inventory!BK$68</f>
        <v>3277.0381217002355</v>
      </c>
      <c r="BL20" s="4">
        <f ca="1" xml:space="preserve">  Inventory!BL$68</f>
        <v>3475.596735591052</v>
      </c>
      <c r="BM20" s="4">
        <f ca="1" xml:space="preserve">  Inventory!BM$68</f>
        <v>3679.1978479042591</v>
      </c>
      <c r="BN20" s="4">
        <f ca="1" xml:space="preserve">  Inventory!BN$68</f>
        <v>3903.4698080441717</v>
      </c>
      <c r="BO20" s="4">
        <f ca="1" xml:space="preserve">  Inventory!BO$68</f>
        <v>4140.0298147784615</v>
      </c>
      <c r="BP20" s="4">
        <f ca="1" xml:space="preserve">  Inventory!BP$68</f>
        <v>4366.2491633557374</v>
      </c>
      <c r="BQ20" s="4">
        <f ca="1" xml:space="preserve">  Inventory!BQ$68</f>
        <v>4630.7179863853571</v>
      </c>
    </row>
    <row r="21" spans="1:69" s="83" customFormat="1">
      <c r="A21" s="62"/>
      <c r="B21" s="62"/>
      <c r="C21" s="90"/>
      <c r="D21" s="91"/>
      <c r="E21" s="35" t="s">
        <v>109</v>
      </c>
      <c r="F21" s="35"/>
      <c r="G21" s="35" t="s">
        <v>252</v>
      </c>
      <c r="H21" s="35"/>
      <c r="I21" s="11">
        <f xml:space="preserve">  IF( I17 = 0, $F16, I18 + ( ( I19 - I20 ) * InpC!$F34 ) )</f>
        <v>0</v>
      </c>
      <c r="J21" s="11">
        <f ca="1" xml:space="preserve">  IF( J17 = 0, $F16, J18 + ( ( J19 - J20 ) * InpC!$F34 ) )</f>
        <v>175000</v>
      </c>
      <c r="K21" s="11">
        <f ca="1" xml:space="preserve">  IF( K17 = 0, $F16, K18 + ( ( K19 - K20 ) * InpC!$F34 ) )</f>
        <v>175000</v>
      </c>
      <c r="L21" s="11">
        <f ca="1" xml:space="preserve">  IF( L17 = 0, $F16, L18 + ( ( L19 - L20 ) * InpC!$F34 ) )</f>
        <v>175000</v>
      </c>
      <c r="M21" s="11">
        <f ca="1" xml:space="preserve">  IF( M17 = 0, $F16, M18 + ( ( M19 - M20 ) * InpC!$F34 ) )</f>
        <v>175000</v>
      </c>
      <c r="N21" s="11">
        <f ca="1" xml:space="preserve">  IF( N17 = 0, $F16, N18 + ( ( N19 - N20 ) * InpC!$F34 ) )</f>
        <v>175000</v>
      </c>
      <c r="O21" s="11">
        <f ca="1" xml:space="preserve">  IF( O17 = 0, $F16, O18 + ( ( O19 - O20 ) * InpC!$F34 ) )</f>
        <v>175000</v>
      </c>
      <c r="P21" s="11">
        <f ca="1" xml:space="preserve">  IF( P17 = 0, $F16, P18 + ( ( P19 - P20 ) * InpC!$F34 ) )</f>
        <v>350000</v>
      </c>
      <c r="Q21" s="11">
        <f ca="1" xml:space="preserve">  IF( Q17 = 0, $F16, Q18 + ( ( Q19 - Q20 ) * InpC!$F34 ) )</f>
        <v>350000</v>
      </c>
      <c r="R21" s="11">
        <f ca="1" xml:space="preserve">  IF( R17 = 0, $F16, R18 + ( ( R19 - R20 ) * InpC!$F34 ) )</f>
        <v>350000</v>
      </c>
      <c r="S21" s="11">
        <f ca="1" xml:space="preserve">  IF( S17 = 0, $F16, S18 + ( ( S19 - S20 ) * InpC!$F34 ) )</f>
        <v>350000</v>
      </c>
      <c r="T21" s="11">
        <f ca="1" xml:space="preserve">  IF( T17 = 0, $F16, T18 + ( ( T19 - T20 ) * InpC!$F34 ) )</f>
        <v>350000</v>
      </c>
      <c r="U21" s="11">
        <f ca="1" xml:space="preserve">  IF( U17 = 0, $F16, U18 + ( ( U19 - U20 ) * InpC!$F34 ) )</f>
        <v>350000</v>
      </c>
      <c r="V21" s="11">
        <f ca="1" xml:space="preserve">  IF( V17 = 0, $F16, V18 + ( ( V19 - V20 ) * InpC!$F34 ) )</f>
        <v>525000</v>
      </c>
      <c r="W21" s="11">
        <f ca="1" xml:space="preserve">  IF( W17 = 0, $F16, W18 + ( ( W19 - W20 ) * InpC!$F34 ) )</f>
        <v>525000</v>
      </c>
      <c r="X21" s="11">
        <f ca="1" xml:space="preserve">  IF( X17 = 0, $F16, X18 + ( ( X19 - X20 ) * InpC!$F34 ) )</f>
        <v>525000</v>
      </c>
      <c r="Y21" s="11">
        <f ca="1" xml:space="preserve">  IF( Y17 = 0, $F16, Y18 + ( ( Y19 - Y20 ) * InpC!$F34 ) )</f>
        <v>525000</v>
      </c>
      <c r="Z21" s="11">
        <f ca="1" xml:space="preserve">  IF( Z17 = 0, $F16, Z18 + ( ( Z19 - Z20 ) * InpC!$F34 ) )</f>
        <v>700000</v>
      </c>
      <c r="AA21" s="11">
        <f ca="1" xml:space="preserve">  IF( AA17 = 0, $F16, AA18 + ( ( AA19 - AA20 ) * InpC!$F34 ) )</f>
        <v>700000</v>
      </c>
      <c r="AB21" s="11">
        <f ca="1" xml:space="preserve">  IF( AB17 = 0, $F16, AB18 + ( ( AB19 - AB20 ) * InpC!$F34 ) )</f>
        <v>700000</v>
      </c>
      <c r="AC21" s="11">
        <f ca="1" xml:space="preserve">  IF( AC17 = 0, $F16, AC18 + ( ( AC19 - AC20 ) * InpC!$F34 ) )</f>
        <v>700000</v>
      </c>
      <c r="AD21" s="11">
        <f ca="1" xml:space="preserve">  IF( AD17 = 0, $F16, AD18 + ( ( AD19 - AD20 ) * InpC!$F34 ) )</f>
        <v>875000</v>
      </c>
      <c r="AE21" s="11">
        <f ca="1" xml:space="preserve">  IF( AE17 = 0, $F16, AE18 + ( ( AE19 - AE20 ) * InpC!$F34 ) )</f>
        <v>875000</v>
      </c>
      <c r="AF21" s="11">
        <f ca="1" xml:space="preserve">  IF( AF17 = 0, $F16, AF18 + ( ( AF19 - AF20 ) * InpC!$F34 ) )</f>
        <v>875000</v>
      </c>
      <c r="AG21" s="11">
        <f ca="1" xml:space="preserve">  IF( AG17 = 0, $F16, AG18 + ( ( AG19 - AG20 ) * InpC!$F34 ) )</f>
        <v>1050000</v>
      </c>
      <c r="AH21" s="11">
        <f ca="1" xml:space="preserve">  IF( AH17 = 0, $F16, AH18 + ( ( AH19 - AH20 ) * InpC!$F34 ) )</f>
        <v>1032500</v>
      </c>
      <c r="AI21" s="11">
        <f ca="1" xml:space="preserve">  IF( AI17 = 0, $F16, AI18 + ( ( AI19 - AI20 ) * InpC!$F34 ) )</f>
        <v>1188938.8457532576</v>
      </c>
      <c r="AJ21" s="11">
        <f ca="1" xml:space="preserve">  IF( AJ17 = 0, $F16, AJ18 + ( ( AJ19 - AJ20 ) * InpC!$F34 ) )</f>
        <v>1169289.5417779363</v>
      </c>
      <c r="AK21" s="11">
        <f ca="1" xml:space="preserve">  IF( AK17 = 0, $F16, AK18 + ( ( AK19 - AK20 ) * InpC!$F34 ) )</f>
        <v>1148448.7553821038</v>
      </c>
      <c r="AL21" s="11">
        <f ca="1" xml:space="preserve">  IF( AL17 = 0, $F16, AL18 + ( ( AL19 - AL20 ) * InpC!$F34 ) )</f>
        <v>1301344.2381868779</v>
      </c>
      <c r="AM21" s="11">
        <f ca="1" xml:space="preserve">  IF( AM17 = 0, $F16, AM18 + ( ( AM19 - AM20 ) * InpC!$F34 ) )</f>
        <v>1277943.8412167949</v>
      </c>
      <c r="AN21" s="11">
        <f ca="1" xml:space="preserve">  IF( AN17 = 0, $F16, AN18 + ( ( AN19 - AN20 ) * InpC!$F34 ) )</f>
        <v>1253124.5053541255</v>
      </c>
      <c r="AO21" s="11">
        <f ca="1" xml:space="preserve">  IF( AO17 = 0, $F16, AO18 + ( ( AO19 - AO20 ) * InpC!$F34 ) )</f>
        <v>1401850.133170791</v>
      </c>
      <c r="AP21" s="11">
        <f ca="1" xml:space="preserve">  IF( AP17 = 0, $F16, AP18 + ( ( AP19 - AP20 ) * InpC!$F34 ) )</f>
        <v>1373982.551751866</v>
      </c>
      <c r="AQ21" s="11">
        <f ca="1" xml:space="preserve">  IF( AQ17 = 0, $F16, AQ18 + ( ( AQ19 - AQ20 ) * InpC!$F34 ) )</f>
        <v>1519425.1530547051</v>
      </c>
      <c r="AR21" s="11">
        <f ca="1" xml:space="preserve">  IF( AR17 = 0, $F16, AR18 + ( ( AR19 - AR20 ) * InpC!$F34 ) )</f>
        <v>1488243.6979197932</v>
      </c>
      <c r="AS21" s="11">
        <f ca="1" xml:space="preserve">  IF( AS17 = 0, $F16, AS18 + ( ( AS19 - AS20 ) * InpC!$F34 ) )</f>
        <v>1630176.8000105759</v>
      </c>
      <c r="AT21" s="11">
        <f ca="1" xml:space="preserve">  IF( AT17 = 0, $F16, AT18 + ( ( AT19 - AT20 ) * InpC!$F34 ) )</f>
        <v>1770176.8000105759</v>
      </c>
      <c r="AU21" s="11">
        <f ca="1" xml:space="preserve">  IF( AU17 = 0, $F16, AU18 + ( ( AU19 - AU20 ) * InpC!$F34 ) )</f>
        <v>1733022.2670984673</v>
      </c>
      <c r="AV21" s="11">
        <f ca="1" xml:space="preserve">  IF( AV17 = 0, $F16, AV18 + ( ( AV19 - AV20 ) * InpC!$F34 ) )</f>
        <v>1868692.6108730552</v>
      </c>
      <c r="AW21" s="11">
        <f ca="1" xml:space="preserve">  IF( AW17 = 0, $F16, AW18 + ( ( AW19 - AW20 ) * InpC!$F34 ) )</f>
        <v>2001981.4664027584</v>
      </c>
      <c r="AX21" s="11">
        <f ca="1" xml:space="preserve">  IF( AX17 = 0, $F16, AX18 + ( ( AX19 - AX20 ) * InpC!$F34 ) )</f>
        <v>1957744.6298779114</v>
      </c>
      <c r="AY21" s="11">
        <f ca="1" xml:space="preserve">  IF( AY17 = 0, $F16, AY18 + ( ( AY19 - AY20 ) * InpC!$F34 ) )</f>
        <v>2085918.0535046426</v>
      </c>
      <c r="AZ21" s="11">
        <f ca="1" xml:space="preserve">  IF( AZ17 = 0, $F16, AZ18 + ( ( AZ19 - AZ20 ) * InpC!$F34 ) )</f>
        <v>2211256.0355871608</v>
      </c>
      <c r="BA21" s="11">
        <f ca="1" xml:space="preserve">  IF( BA17 = 0, $F16, BA18 + ( ( BA19 - BA20 ) * InpC!$F34 ) )</f>
        <v>2333686.6735452479</v>
      </c>
      <c r="BB21" s="11">
        <f ca="1" xml:space="preserve">  IF( BB17 = 0, $F16, BB18 + ( ( BB19 - BB20 ) * InpC!$F34 ) )</f>
        <v>2452904.6535919858</v>
      </c>
      <c r="BC21" s="11">
        <f ca="1" xml:space="preserve">  IF( BC17 = 0, $F16, BC18 + ( ( BC19 - BC20 ) * InpC!$F34 ) )</f>
        <v>2568743.3356381566</v>
      </c>
      <c r="BD21" s="11">
        <f ca="1" xml:space="preserve">  IF( BD17 = 0, $F16, BD18 + ( ( BD19 - BD20 ) * InpC!$F34 ) )</f>
        <v>2681354.1262263786</v>
      </c>
      <c r="BE21" s="11">
        <f ca="1" xml:space="preserve">  IF( BE17 = 0, $F16, BE18 + ( ( BE19 - BE20 ) * InpC!$F34 ) )</f>
        <v>2790185.3525249097</v>
      </c>
      <c r="BF21" s="11">
        <f ca="1" xml:space="preserve">  IF( BF17 = 0, $F16, BF18 + ( ( BF19 - BF20 ) * InpC!$F34 ) )</f>
        <v>2879391.0681738076</v>
      </c>
      <c r="BG21" s="11">
        <f ca="1" xml:space="preserve">  IF( BG17 = 0, $F16, BG18 + ( ( BG19 - BG20 ) * InpC!$F34 ) )</f>
        <v>2963398.4330829773</v>
      </c>
      <c r="BH21" s="11">
        <f ca="1" xml:space="preserve">  IF( BH17 = 0, $F16, BH18 + ( ( BH19 - BH20 ) * InpC!$F34 ) )</f>
        <v>3042075.4324651109</v>
      </c>
      <c r="BI21" s="11">
        <f ca="1" xml:space="preserve">  IF( BI17 = 0, $F16, BI18 + ( ( BI19 - BI20 ) * InpC!$F34 ) )</f>
        <v>3114916.1368917003</v>
      </c>
      <c r="BJ21" s="11">
        <f ca="1" xml:space="preserve">  IF( BJ17 = 0, $F16, BJ18 + ( ( BJ19 - BJ20 ) * InpC!$F34 ) )</f>
        <v>3181566.9200938065</v>
      </c>
      <c r="BK21" s="11">
        <f ca="1" xml:space="preserve">  IF( BK17 = 0, $F16, BK18 + ( ( BK19 - BK20 ) * InpC!$F34 ) )</f>
        <v>3241870.5858342983</v>
      </c>
      <c r="BL21" s="11">
        <f ca="1" xml:space="preserve">  IF( BL17 = 0, $F16, BL18 + ( ( BL19 - BL20 ) * InpC!$F34 ) )</f>
        <v>3295224.7000886113</v>
      </c>
      <c r="BM21" s="11">
        <f ca="1" xml:space="preserve">  IF( BM17 = 0, $F16, BM18 + ( ( BM19 - BM20 ) * InpC!$F34 ) )</f>
        <v>3341452.7754119621</v>
      </c>
      <c r="BN21" s="11">
        <f ca="1" xml:space="preserve">  IF( BN17 = 0, $F16, BN18 + ( ( BN19 - BN20 ) * InpC!$F34 ) )</f>
        <v>3379831.3321304158</v>
      </c>
      <c r="BO21" s="11">
        <f ca="1" xml:space="preserve">  IF( BO17 = 0, $F16, BO18 + ( ( BO19 - BO20 ) * InpC!$F34 ) )</f>
        <v>3409930.2886131695</v>
      </c>
      <c r="BP21" s="11">
        <f ca="1" xml:space="preserve">  IF( BP17 = 0, $F16, BP18 + ( ( BP19 - BP20 ) * InpC!$F34 ) )</f>
        <v>3432111.5678957189</v>
      </c>
      <c r="BQ21" s="11">
        <f ca="1" xml:space="preserve">  IF( BQ17 = 0, $F16, BQ18 + ( ( BQ19 - BQ20 ) * InpC!$F34 ) )</f>
        <v>3445036.4383722316</v>
      </c>
    </row>
    <row r="23" spans="1:69">
      <c r="B23" s="27" t="s">
        <v>60</v>
      </c>
    </row>
    <row r="24" spans="1:69" s="85" customFormat="1">
      <c r="A24" s="59"/>
      <c r="B24" s="59"/>
      <c r="C24" s="86"/>
      <c r="D24" s="84"/>
      <c r="E24" s="40" t="str">
        <f xml:space="preserve">  InpC!E$45</f>
        <v>Opening Depreciation</v>
      </c>
      <c r="F24" s="40">
        <f xml:space="preserve">  InpC!F$45</f>
        <v>0</v>
      </c>
      <c r="G24" s="40" t="str">
        <f xml:space="preserve">  InpC!G$45</f>
        <v>GBP</v>
      </c>
      <c r="M24" s="87"/>
    </row>
    <row r="25" spans="1:69">
      <c r="A25" s="18"/>
      <c r="B25" s="18"/>
      <c r="C25" s="30"/>
      <c r="D25" s="31"/>
      <c r="E25" s="10" t="str">
        <f xml:space="preserve">  Time!E$28</f>
        <v>Period number</v>
      </c>
      <c r="F25" s="10">
        <f xml:space="preserve">  Time!F$28</f>
        <v>0</v>
      </c>
      <c r="G25" s="10" t="str">
        <f xml:space="preserve">  Time!G$28</f>
        <v>Counter</v>
      </c>
      <c r="H25" s="10">
        <f xml:space="preserve">  Time!H$28</f>
        <v>0</v>
      </c>
      <c r="I25" s="10">
        <f xml:space="preserve">  Time!I$28</f>
        <v>0</v>
      </c>
      <c r="J25" s="10">
        <f xml:space="preserve">  Time!J$28</f>
        <v>1</v>
      </c>
      <c r="K25" s="10">
        <f xml:space="preserve">  Time!K$28</f>
        <v>2</v>
      </c>
      <c r="L25" s="10">
        <f xml:space="preserve">  Time!L$28</f>
        <v>3</v>
      </c>
      <c r="M25" s="10">
        <f xml:space="preserve">  Time!M$28</f>
        <v>4</v>
      </c>
      <c r="N25" s="10">
        <f xml:space="preserve">  Time!N$28</f>
        <v>5</v>
      </c>
      <c r="O25" s="10">
        <f xml:space="preserve">  Time!O$28</f>
        <v>6</v>
      </c>
      <c r="P25" s="10">
        <f xml:space="preserve">  Time!P$28</f>
        <v>7</v>
      </c>
      <c r="Q25" s="10">
        <f xml:space="preserve">  Time!Q$28</f>
        <v>8</v>
      </c>
      <c r="R25" s="10">
        <f xml:space="preserve">  Time!R$28</f>
        <v>9</v>
      </c>
      <c r="S25" s="10">
        <f xml:space="preserve">  Time!S$28</f>
        <v>10</v>
      </c>
      <c r="T25" s="10">
        <f xml:space="preserve">  Time!T$28</f>
        <v>11</v>
      </c>
      <c r="U25" s="10">
        <f xml:space="preserve">  Time!U$28</f>
        <v>12</v>
      </c>
      <c r="V25" s="10">
        <f xml:space="preserve">  Time!V$28</f>
        <v>13</v>
      </c>
      <c r="W25" s="10">
        <f xml:space="preserve">  Time!W$28</f>
        <v>14</v>
      </c>
      <c r="X25" s="10">
        <f xml:space="preserve">  Time!X$28</f>
        <v>15</v>
      </c>
      <c r="Y25" s="10">
        <f xml:space="preserve">  Time!Y$28</f>
        <v>16</v>
      </c>
      <c r="Z25" s="10">
        <f xml:space="preserve">  Time!Z$28</f>
        <v>17</v>
      </c>
      <c r="AA25" s="10">
        <f xml:space="preserve">  Time!AA$28</f>
        <v>18</v>
      </c>
      <c r="AB25" s="10">
        <f xml:space="preserve">  Time!AB$28</f>
        <v>19</v>
      </c>
      <c r="AC25" s="10">
        <f xml:space="preserve">  Time!AC$28</f>
        <v>20</v>
      </c>
      <c r="AD25" s="10">
        <f xml:space="preserve">  Time!AD$28</f>
        <v>21</v>
      </c>
      <c r="AE25" s="10">
        <f xml:space="preserve">  Time!AE$28</f>
        <v>22</v>
      </c>
      <c r="AF25" s="10">
        <f xml:space="preserve">  Time!AF$28</f>
        <v>23</v>
      </c>
      <c r="AG25" s="10">
        <f xml:space="preserve">  Time!AG$28</f>
        <v>24</v>
      </c>
      <c r="AH25" s="10">
        <f xml:space="preserve">  Time!AH$28</f>
        <v>25</v>
      </c>
      <c r="AI25" s="10">
        <f xml:space="preserve">  Time!AI$28</f>
        <v>26</v>
      </c>
      <c r="AJ25" s="10">
        <f xml:space="preserve">  Time!AJ$28</f>
        <v>27</v>
      </c>
      <c r="AK25" s="10">
        <f xml:space="preserve">  Time!AK$28</f>
        <v>28</v>
      </c>
      <c r="AL25" s="10">
        <f xml:space="preserve">  Time!AL$28</f>
        <v>29</v>
      </c>
      <c r="AM25" s="10">
        <f xml:space="preserve">  Time!AM$28</f>
        <v>30</v>
      </c>
      <c r="AN25" s="10">
        <f xml:space="preserve">  Time!AN$28</f>
        <v>31</v>
      </c>
      <c r="AO25" s="10">
        <f xml:space="preserve">  Time!AO$28</f>
        <v>32</v>
      </c>
      <c r="AP25" s="10">
        <f xml:space="preserve">  Time!AP$28</f>
        <v>33</v>
      </c>
      <c r="AQ25" s="10">
        <f xml:space="preserve">  Time!AQ$28</f>
        <v>34</v>
      </c>
      <c r="AR25" s="10">
        <f xml:space="preserve">  Time!AR$28</f>
        <v>35</v>
      </c>
      <c r="AS25" s="10">
        <f xml:space="preserve">  Time!AS$28</f>
        <v>36</v>
      </c>
      <c r="AT25" s="10">
        <f xml:space="preserve">  Time!AT$28</f>
        <v>37</v>
      </c>
      <c r="AU25" s="10">
        <f xml:space="preserve">  Time!AU$28</f>
        <v>38</v>
      </c>
      <c r="AV25" s="10">
        <f xml:space="preserve">  Time!AV$28</f>
        <v>39</v>
      </c>
      <c r="AW25" s="10">
        <f xml:space="preserve">  Time!AW$28</f>
        <v>40</v>
      </c>
      <c r="AX25" s="10">
        <f xml:space="preserve">  Time!AX$28</f>
        <v>41</v>
      </c>
      <c r="AY25" s="10">
        <f xml:space="preserve">  Time!AY$28</f>
        <v>42</v>
      </c>
      <c r="AZ25" s="10">
        <f xml:space="preserve">  Time!AZ$28</f>
        <v>43</v>
      </c>
      <c r="BA25" s="10">
        <f xml:space="preserve">  Time!BA$28</f>
        <v>44</v>
      </c>
      <c r="BB25" s="10">
        <f xml:space="preserve">  Time!BB$28</f>
        <v>45</v>
      </c>
      <c r="BC25" s="10">
        <f xml:space="preserve">  Time!BC$28</f>
        <v>46</v>
      </c>
      <c r="BD25" s="10">
        <f xml:space="preserve">  Time!BD$28</f>
        <v>47</v>
      </c>
      <c r="BE25" s="10">
        <f xml:space="preserve">  Time!BE$28</f>
        <v>48</v>
      </c>
      <c r="BF25" s="10">
        <f xml:space="preserve">  Time!BF$28</f>
        <v>49</v>
      </c>
      <c r="BG25" s="10">
        <f xml:space="preserve">  Time!BG$28</f>
        <v>50</v>
      </c>
      <c r="BH25" s="10">
        <f xml:space="preserve">  Time!BH$28</f>
        <v>51</v>
      </c>
      <c r="BI25" s="10">
        <f xml:space="preserve">  Time!BI$28</f>
        <v>52</v>
      </c>
      <c r="BJ25" s="10">
        <f xml:space="preserve">  Time!BJ$28</f>
        <v>53</v>
      </c>
      <c r="BK25" s="10">
        <f xml:space="preserve">  Time!BK$28</f>
        <v>54</v>
      </c>
      <c r="BL25" s="10">
        <f xml:space="preserve">  Time!BL$28</f>
        <v>55</v>
      </c>
      <c r="BM25" s="10">
        <f xml:space="preserve">  Time!BM$28</f>
        <v>56</v>
      </c>
      <c r="BN25" s="10">
        <f xml:space="preserve">  Time!BN$28</f>
        <v>57</v>
      </c>
      <c r="BO25" s="10">
        <f xml:space="preserve">  Time!BO$28</f>
        <v>58</v>
      </c>
      <c r="BP25" s="10">
        <f xml:space="preserve">  Time!BP$28</f>
        <v>59</v>
      </c>
      <c r="BQ25" s="10">
        <f xml:space="preserve">  Time!BQ$28</f>
        <v>60</v>
      </c>
    </row>
    <row r="26" spans="1:69">
      <c r="E26" s="46" t="s">
        <v>243</v>
      </c>
      <c r="G26" s="46" t="s">
        <v>252</v>
      </c>
      <c r="J26" s="2">
        <f t="shared" ref="J26:BQ26" si="5" xml:space="preserve">  I29</f>
        <v>0</v>
      </c>
      <c r="K26" s="2">
        <f t="shared" ca="1" si="5"/>
        <v>0</v>
      </c>
      <c r="L26" s="2">
        <f t="shared" ca="1" si="5"/>
        <v>7291.666666666667</v>
      </c>
      <c r="M26" s="2">
        <f t="shared" ca="1" si="5"/>
        <v>14583.333333333334</v>
      </c>
      <c r="N26" s="2">
        <f t="shared" ca="1" si="5"/>
        <v>21875</v>
      </c>
      <c r="O26" s="2">
        <f t="shared" ca="1" si="5"/>
        <v>29166.666666666668</v>
      </c>
      <c r="P26" s="2">
        <f t="shared" ca="1" si="5"/>
        <v>36458.333333333336</v>
      </c>
      <c r="Q26" s="2">
        <f t="shared" ca="1" si="5"/>
        <v>43750</v>
      </c>
      <c r="R26" s="2">
        <f t="shared" ca="1" si="5"/>
        <v>58333.333333333336</v>
      </c>
      <c r="S26" s="2">
        <f t="shared" ca="1" si="5"/>
        <v>72916.666666666672</v>
      </c>
      <c r="T26" s="2">
        <f t="shared" ca="1" si="5"/>
        <v>87500</v>
      </c>
      <c r="U26" s="2">
        <f t="shared" ca="1" si="5"/>
        <v>102083.33333333333</v>
      </c>
      <c r="V26" s="2">
        <f t="shared" ca="1" si="5"/>
        <v>116666.66666666666</v>
      </c>
      <c r="W26" s="2">
        <f t="shared" ca="1" si="5"/>
        <v>131250</v>
      </c>
      <c r="X26" s="2">
        <f t="shared" ca="1" si="5"/>
        <v>153125</v>
      </c>
      <c r="Y26" s="2">
        <f t="shared" ca="1" si="5"/>
        <v>175000</v>
      </c>
      <c r="Z26" s="2">
        <f t="shared" ca="1" si="5"/>
        <v>196875</v>
      </c>
      <c r="AA26" s="2">
        <f t="shared" ca="1" si="5"/>
        <v>218750</v>
      </c>
      <c r="AB26" s="2">
        <f t="shared" ca="1" si="5"/>
        <v>247916.66666666666</v>
      </c>
      <c r="AC26" s="2">
        <f t="shared" ca="1" si="5"/>
        <v>277083.33333333331</v>
      </c>
      <c r="AD26" s="2">
        <f t="shared" ca="1" si="5"/>
        <v>306250</v>
      </c>
      <c r="AE26" s="2">
        <f t="shared" ca="1" si="5"/>
        <v>335416.66666666669</v>
      </c>
      <c r="AF26" s="2">
        <f t="shared" ca="1" si="5"/>
        <v>371875</v>
      </c>
      <c r="AG26" s="2">
        <f t="shared" ca="1" si="5"/>
        <v>408333.33333333331</v>
      </c>
      <c r="AH26" s="2">
        <f t="shared" ca="1" si="5"/>
        <v>444791.66666666663</v>
      </c>
      <c r="AI26" s="2">
        <f t="shared" ca="1" si="5"/>
        <v>471041.66666666663</v>
      </c>
      <c r="AJ26" s="2">
        <f t="shared" ca="1" si="5"/>
        <v>495501.34575325763</v>
      </c>
      <c r="AK26" s="2">
        <f t="shared" ca="1" si="5"/>
        <v>525391.16035098862</v>
      </c>
      <c r="AL26" s="2">
        <f t="shared" ca="1" si="5"/>
        <v>553270.77152923681</v>
      </c>
      <c r="AM26" s="2">
        <f t="shared" ca="1" si="5"/>
        <v>579018.28580826521</v>
      </c>
      <c r="AN26" s="2">
        <f t="shared" ca="1" si="5"/>
        <v>609840.56542930205</v>
      </c>
      <c r="AO26" s="2">
        <f t="shared" ca="1" si="5"/>
        <v>638268.88961733249</v>
      </c>
      <c r="AP26" s="2">
        <f t="shared" ca="1" si="5"/>
        <v>664208.03849041997</v>
      </c>
      <c r="AQ26" s="2">
        <f t="shared" ca="1" si="5"/>
        <v>694750.87928694463</v>
      </c>
      <c r="AR26" s="2">
        <f t="shared" ca="1" si="5"/>
        <v>722442.75357944483</v>
      </c>
      <c r="AS26" s="2">
        <f t="shared" ca="1" si="5"/>
        <v>754570.67982181231</v>
      </c>
      <c r="AT26" s="2">
        <f t="shared" ca="1" si="5"/>
        <v>783513.93599258631</v>
      </c>
      <c r="AU26" s="2">
        <f t="shared" ca="1" si="5"/>
        <v>816437.96932636027</v>
      </c>
      <c r="AV26" s="2">
        <f t="shared" ca="1" si="5"/>
        <v>853040.80308135902</v>
      </c>
      <c r="AW26" s="2">
        <f t="shared" ca="1" si="5"/>
        <v>885920.40798504965</v>
      </c>
      <c r="AX26" s="2">
        <f t="shared" ca="1" si="5"/>
        <v>922071.45563446335</v>
      </c>
      <c r="AY26" s="2">
        <f t="shared" ca="1" si="5"/>
        <v>961250.51354306482</v>
      </c>
      <c r="AZ26" s="2">
        <f t="shared" ca="1" si="5"/>
        <v>995996.63008137571</v>
      </c>
      <c r="BA26" s="2">
        <f t="shared" ca="1" si="5"/>
        <v>1033247.8643932543</v>
      </c>
      <c r="BB26" s="2">
        <f t="shared" ca="1" si="5"/>
        <v>1072814.1705008063</v>
      </c>
      <c r="BC26" s="2">
        <f t="shared" ca="1" si="5"/>
        <v>1114269.0952785963</v>
      </c>
      <c r="BD26" s="2">
        <f t="shared" ca="1" si="5"/>
        <v>1157312.1378910998</v>
      </c>
      <c r="BE26" s="2">
        <f t="shared" ca="1" si="5"/>
        <v>1201953.9007975785</v>
      </c>
      <c r="BF26" s="2">
        <f t="shared" ca="1" si="5"/>
        <v>1247508.2156888754</v>
      </c>
      <c r="BG26" s="2">
        <f t="shared" ca="1" si="5"/>
        <v>1277971.6543596443</v>
      </c>
      <c r="BH26" s="2">
        <f t="shared" ca="1" si="5"/>
        <v>1306953.6471093891</v>
      </c>
      <c r="BI26" s="2">
        <f t="shared" ca="1" si="5"/>
        <v>1334105.5812033135</v>
      </c>
      <c r="BJ26" s="2">
        <f t="shared" ca="1" si="5"/>
        <v>1358699.4286492828</v>
      </c>
      <c r="BK26" s="2">
        <f t="shared" ca="1" si="5"/>
        <v>1380138.3842218767</v>
      </c>
      <c r="BL26" s="2">
        <f t="shared" ca="1" si="5"/>
        <v>1398007.3382996104</v>
      </c>
      <c r="BM26" s="2">
        <f t="shared" ca="1" si="5"/>
        <v>1411439.3936303528</v>
      </c>
      <c r="BN26" s="2">
        <f t="shared" ca="1" si="5"/>
        <v>1419968.4981240625</v>
      </c>
      <c r="BO26" s="2">
        <f t="shared" ca="1" si="5"/>
        <v>1422574.2538180149</v>
      </c>
      <c r="BP26" s="2">
        <f t="shared" ca="1" si="5"/>
        <v>1418499.5158062028</v>
      </c>
      <c r="BQ26" s="2">
        <f t="shared" ca="1" si="5"/>
        <v>1407761.2237809673</v>
      </c>
    </row>
    <row r="27" spans="1:69">
      <c r="D27" s="88" t="s">
        <v>216</v>
      </c>
      <c r="E27" s="2" t="str">
        <f t="shared" ref="E27:BQ27" si="6" xml:space="preserve">  E$11</f>
        <v>Depreciation this period POS</v>
      </c>
      <c r="F27" s="2">
        <f t="shared" si="6"/>
        <v>0</v>
      </c>
      <c r="G27" s="2" t="str">
        <f t="shared" si="6"/>
        <v>GBP</v>
      </c>
      <c r="H27" s="2">
        <f t="shared" ca="1" si="6"/>
        <v>3718654.3045475697</v>
      </c>
      <c r="I27" s="2">
        <f t="shared" si="6"/>
        <v>0</v>
      </c>
      <c r="J27" s="2">
        <f t="shared" si="6"/>
        <v>0</v>
      </c>
      <c r="K27" s="2">
        <f t="shared" ca="1" si="6"/>
        <v>7291.666666666667</v>
      </c>
      <c r="L27" s="2">
        <f t="shared" ca="1" si="6"/>
        <v>7291.666666666667</v>
      </c>
      <c r="M27" s="2">
        <f t="shared" ca="1" si="6"/>
        <v>7291.666666666667</v>
      </c>
      <c r="N27" s="2">
        <f t="shared" ca="1" si="6"/>
        <v>7291.666666666667</v>
      </c>
      <c r="O27" s="2">
        <f t="shared" ca="1" si="6"/>
        <v>7291.666666666667</v>
      </c>
      <c r="P27" s="2">
        <f t="shared" ca="1" si="6"/>
        <v>7291.666666666667</v>
      </c>
      <c r="Q27" s="2">
        <f t="shared" ca="1" si="6"/>
        <v>14583.333333333334</v>
      </c>
      <c r="R27" s="2">
        <f t="shared" ca="1" si="6"/>
        <v>14583.333333333334</v>
      </c>
      <c r="S27" s="2">
        <f t="shared" ca="1" si="6"/>
        <v>14583.333333333334</v>
      </c>
      <c r="T27" s="2">
        <f t="shared" ca="1" si="6"/>
        <v>14583.333333333334</v>
      </c>
      <c r="U27" s="2">
        <f t="shared" ca="1" si="6"/>
        <v>14583.333333333334</v>
      </c>
      <c r="V27" s="2">
        <f t="shared" ca="1" si="6"/>
        <v>14583.333333333334</v>
      </c>
      <c r="W27" s="2">
        <f t="shared" ca="1" si="6"/>
        <v>21875</v>
      </c>
      <c r="X27" s="2">
        <f t="shared" ca="1" si="6"/>
        <v>21875</v>
      </c>
      <c r="Y27" s="2">
        <f t="shared" ca="1" si="6"/>
        <v>21875</v>
      </c>
      <c r="Z27" s="2">
        <f t="shared" ca="1" si="6"/>
        <v>21875</v>
      </c>
      <c r="AA27" s="2">
        <f t="shared" ca="1" si="6"/>
        <v>29166.666666666668</v>
      </c>
      <c r="AB27" s="2">
        <f t="shared" ca="1" si="6"/>
        <v>29166.666666666668</v>
      </c>
      <c r="AC27" s="2">
        <f t="shared" ca="1" si="6"/>
        <v>29166.666666666668</v>
      </c>
      <c r="AD27" s="2">
        <f t="shared" ca="1" si="6"/>
        <v>29166.666666666668</v>
      </c>
      <c r="AE27" s="2">
        <f t="shared" ca="1" si="6"/>
        <v>36458.333333333336</v>
      </c>
      <c r="AF27" s="2">
        <f t="shared" ca="1" si="6"/>
        <v>36458.333333333336</v>
      </c>
      <c r="AG27" s="2">
        <f t="shared" ca="1" si="6"/>
        <v>36458.333333333336</v>
      </c>
      <c r="AH27" s="2">
        <f t="shared" ca="1" si="6"/>
        <v>43750</v>
      </c>
      <c r="AI27" s="2">
        <f t="shared" ca="1" si="6"/>
        <v>43020.833333333336</v>
      </c>
      <c r="AJ27" s="2">
        <f t="shared" ca="1" si="6"/>
        <v>49539.118573052401</v>
      </c>
      <c r="AK27" s="2">
        <f t="shared" ca="1" si="6"/>
        <v>48720.397574080678</v>
      </c>
      <c r="AL27" s="2">
        <f t="shared" ca="1" si="6"/>
        <v>47852.031474254327</v>
      </c>
      <c r="AM27" s="2">
        <f t="shared" ca="1" si="6"/>
        <v>54222.676591119911</v>
      </c>
      <c r="AN27" s="2">
        <f t="shared" ca="1" si="6"/>
        <v>53247.660050699786</v>
      </c>
      <c r="AO27" s="2">
        <f t="shared" ca="1" si="6"/>
        <v>52213.521056421894</v>
      </c>
      <c r="AP27" s="2">
        <f t="shared" ca="1" si="6"/>
        <v>58410.422215449624</v>
      </c>
      <c r="AQ27" s="2">
        <f t="shared" ca="1" si="6"/>
        <v>57249.272989661084</v>
      </c>
      <c r="AR27" s="2">
        <f t="shared" ca="1" si="6"/>
        <v>63309.38137727938</v>
      </c>
      <c r="AS27" s="2">
        <f t="shared" ca="1" si="6"/>
        <v>62010.154079991386</v>
      </c>
      <c r="AT27" s="2">
        <f t="shared" ca="1" si="6"/>
        <v>67924.033333774001</v>
      </c>
      <c r="AU27" s="2">
        <f t="shared" ca="1" si="6"/>
        <v>73757.36666710733</v>
      </c>
      <c r="AV27" s="2">
        <f t="shared" ca="1" si="6"/>
        <v>72209.261129102801</v>
      </c>
      <c r="AW27" s="2">
        <f t="shared" ca="1" si="6"/>
        <v>77862.192119710628</v>
      </c>
      <c r="AX27" s="2">
        <f t="shared" ca="1" si="6"/>
        <v>83415.894433448266</v>
      </c>
      <c r="AY27" s="2">
        <f t="shared" ca="1" si="6"/>
        <v>81572.692911579637</v>
      </c>
      <c r="AZ27" s="2">
        <f t="shared" ca="1" si="6"/>
        <v>86913.252229360107</v>
      </c>
      <c r="BA27" s="2">
        <f t="shared" ca="1" si="6"/>
        <v>92135.66814946504</v>
      </c>
      <c r="BB27" s="2">
        <f t="shared" ca="1" si="6"/>
        <v>97236.94473105199</v>
      </c>
      <c r="BC27" s="2">
        <f t="shared" ca="1" si="6"/>
        <v>102204.36056633275</v>
      </c>
      <c r="BD27" s="2">
        <f t="shared" ca="1" si="6"/>
        <v>107030.97231825652</v>
      </c>
      <c r="BE27" s="2">
        <f t="shared" ca="1" si="6"/>
        <v>111723.08859276578</v>
      </c>
      <c r="BF27" s="2">
        <f t="shared" ca="1" si="6"/>
        <v>116257.72302187124</v>
      </c>
      <c r="BG27" s="2">
        <f t="shared" ca="1" si="6"/>
        <v>119974.62784057531</v>
      </c>
      <c r="BH27" s="2">
        <f t="shared" ca="1" si="6"/>
        <v>123474.93471179072</v>
      </c>
      <c r="BI27" s="2">
        <f t="shared" ca="1" si="6"/>
        <v>126753.14301937963</v>
      </c>
      <c r="BJ27" s="2">
        <f t="shared" ca="1" si="6"/>
        <v>129788.17237048752</v>
      </c>
      <c r="BK27" s="2">
        <f t="shared" ca="1" si="6"/>
        <v>132565.28833724195</v>
      </c>
      <c r="BL27" s="2">
        <f t="shared" ca="1" si="6"/>
        <v>135077.9410764291</v>
      </c>
      <c r="BM27" s="2">
        <f t="shared" ca="1" si="6"/>
        <v>137301.02917035882</v>
      </c>
      <c r="BN27" s="2">
        <f t="shared" ca="1" si="6"/>
        <v>139227.19897549841</v>
      </c>
      <c r="BO27" s="2">
        <f t="shared" ca="1" si="6"/>
        <v>140826.30550543399</v>
      </c>
      <c r="BP27" s="2">
        <f t="shared" ca="1" si="6"/>
        <v>142080.42869221538</v>
      </c>
      <c r="BQ27" s="2">
        <f t="shared" ca="1" si="6"/>
        <v>143004.64866232162</v>
      </c>
    </row>
    <row r="28" spans="1:69">
      <c r="A28" s="18"/>
      <c r="B28" s="18"/>
      <c r="C28" s="30"/>
      <c r="D28" s="31" t="s">
        <v>293</v>
      </c>
      <c r="E28" s="4" t="str">
        <f xml:space="preserve">  Inventory!E$68</f>
        <v>Units retired</v>
      </c>
      <c r="F28" s="4">
        <f xml:space="preserve">  Inventory!F$68</f>
        <v>0</v>
      </c>
      <c r="G28" s="4" t="str">
        <f xml:space="preserve">  Inventory!G$68</f>
        <v>Units</v>
      </c>
      <c r="H28" s="4">
        <f ca="1" xml:space="preserve">  Inventory!H$68</f>
        <v>66570.387475079086</v>
      </c>
      <c r="I28" s="4">
        <f xml:space="preserve">  Inventory!I$68</f>
        <v>0</v>
      </c>
      <c r="J28" s="4">
        <f ca="1" xml:space="preserve">  Inventory!J$68</f>
        <v>0</v>
      </c>
      <c r="K28" s="4">
        <f ca="1" xml:space="preserve">  Inventory!K$68</f>
        <v>0</v>
      </c>
      <c r="L28" s="4">
        <f ca="1" xml:space="preserve">  Inventory!L$68</f>
        <v>0</v>
      </c>
      <c r="M28" s="4">
        <f ca="1" xml:space="preserve">  Inventory!M$68</f>
        <v>0</v>
      </c>
      <c r="N28" s="4">
        <f ca="1" xml:space="preserve">  Inventory!N$68</f>
        <v>0</v>
      </c>
      <c r="O28" s="4">
        <f ca="1" xml:space="preserve">  Inventory!O$68</f>
        <v>0</v>
      </c>
      <c r="P28" s="4">
        <f ca="1" xml:space="preserve">  Inventory!P$68</f>
        <v>0</v>
      </c>
      <c r="Q28" s="4">
        <f ca="1" xml:space="preserve">  Inventory!Q$68</f>
        <v>0</v>
      </c>
      <c r="R28" s="4">
        <f ca="1" xml:space="preserve">  Inventory!R$68</f>
        <v>0</v>
      </c>
      <c r="S28" s="4">
        <f ca="1" xml:space="preserve">  Inventory!S$68</f>
        <v>0</v>
      </c>
      <c r="T28" s="4">
        <f ca="1" xml:space="preserve">  Inventory!T$68</f>
        <v>0</v>
      </c>
      <c r="U28" s="4">
        <f ca="1" xml:space="preserve">  Inventory!U$68</f>
        <v>0</v>
      </c>
      <c r="V28" s="4">
        <f ca="1" xml:space="preserve">  Inventory!V$68</f>
        <v>0</v>
      </c>
      <c r="W28" s="4">
        <f ca="1" xml:space="preserve">  Inventory!W$68</f>
        <v>0</v>
      </c>
      <c r="X28" s="4">
        <f ca="1" xml:space="preserve">  Inventory!X$68</f>
        <v>0</v>
      </c>
      <c r="Y28" s="4">
        <f ca="1" xml:space="preserve">  Inventory!Y$68</f>
        <v>0</v>
      </c>
      <c r="Z28" s="4">
        <f ca="1" xml:space="preserve">  Inventory!Z$68</f>
        <v>0</v>
      </c>
      <c r="AA28" s="4">
        <f ca="1" xml:space="preserve">  Inventory!AA$68</f>
        <v>0</v>
      </c>
      <c r="AB28" s="4">
        <f ca="1" xml:space="preserve">  Inventory!AB$68</f>
        <v>0</v>
      </c>
      <c r="AC28" s="4">
        <f ca="1" xml:space="preserve">  Inventory!AC$68</f>
        <v>0</v>
      </c>
      <c r="AD28" s="4">
        <f ca="1" xml:space="preserve">  Inventory!AD$68</f>
        <v>0</v>
      </c>
      <c r="AE28" s="4">
        <f ca="1" xml:space="preserve">  Inventory!AE$68</f>
        <v>0</v>
      </c>
      <c r="AF28" s="4">
        <f ca="1" xml:space="preserve">  Inventory!AF$68</f>
        <v>0</v>
      </c>
      <c r="AG28" s="4">
        <f ca="1" xml:space="preserve">  Inventory!AG$68</f>
        <v>0</v>
      </c>
      <c r="AH28" s="4">
        <f ca="1" xml:space="preserve">  Inventory!AH$68</f>
        <v>500</v>
      </c>
      <c r="AI28" s="4">
        <f ca="1" xml:space="preserve">  Inventory!AI$68</f>
        <v>530.31869276406599</v>
      </c>
      <c r="AJ28" s="4">
        <f ca="1" xml:space="preserve">  Inventory!AJ$68</f>
        <v>561.40868500918316</v>
      </c>
      <c r="AK28" s="4">
        <f ca="1" xml:space="preserve">  Inventory!AK$68</f>
        <v>595.4510398809266</v>
      </c>
      <c r="AL28" s="4">
        <f ca="1" xml:space="preserve">  Inventory!AL$68</f>
        <v>631.55763414931334</v>
      </c>
      <c r="AM28" s="4">
        <f ca="1" xml:space="preserve">  Inventory!AM$68</f>
        <v>668.58277057380337</v>
      </c>
      <c r="AN28" s="4">
        <f ca="1" xml:space="preserve">  Inventory!AN$68</f>
        <v>709.12388179055358</v>
      </c>
      <c r="AO28" s="4">
        <f ca="1" xml:space="preserve">  Inventory!AO$68</f>
        <v>750.69634809527076</v>
      </c>
      <c r="AP28" s="4">
        <f ca="1" xml:space="preserve">  Inventory!AP$68</f>
        <v>796.21661196928437</v>
      </c>
      <c r="AQ28" s="4">
        <f ca="1" xml:space="preserve">  Inventory!AQ$68</f>
        <v>844.49710563316887</v>
      </c>
      <c r="AR28" s="4">
        <f ca="1" xml:space="preserve">  Inventory!AR$68</f>
        <v>890.89871814033927</v>
      </c>
      <c r="AS28" s="4">
        <f ca="1" xml:space="preserve">  Inventory!AS$68</f>
        <v>944.76851169192605</v>
      </c>
      <c r="AT28" s="4">
        <f ca="1" xml:space="preserve">  Inventory!AT$68</f>
        <v>1000</v>
      </c>
      <c r="AU28" s="4">
        <f ca="1" xml:space="preserve">  Inventory!AU$68</f>
        <v>1061.5580832031035</v>
      </c>
      <c r="AV28" s="4">
        <f ca="1" xml:space="preserve">  Inventory!AV$68</f>
        <v>1123.704463583204</v>
      </c>
      <c r="AW28" s="4">
        <f ca="1" xml:space="preserve">  Inventory!AW$68</f>
        <v>1191.7469848656265</v>
      </c>
      <c r="AX28" s="4">
        <f ca="1" xml:space="preserve">  Inventory!AX$68</f>
        <v>1263.9096149956249</v>
      </c>
      <c r="AY28" s="4">
        <f ca="1" xml:space="preserve">  Inventory!AY$68</f>
        <v>1337.9021820933933</v>
      </c>
      <c r="AZ28" s="4">
        <f ca="1" xml:space="preserve">  Inventory!AZ$68</f>
        <v>1418.9147976423296</v>
      </c>
      <c r="BA28" s="4">
        <f ca="1" xml:space="preserve">  Inventory!BA$68</f>
        <v>1501.9817726260831</v>
      </c>
      <c r="BB28" s="4">
        <f ca="1" xml:space="preserve">  Inventory!BB$68</f>
        <v>1593.7719986646332</v>
      </c>
      <c r="BC28" s="4">
        <f ca="1" xml:space="preserve">  Inventory!BC$68</f>
        <v>1690.3233701094071</v>
      </c>
      <c r="BD28" s="4">
        <f ca="1" xml:space="preserve">  Inventory!BD$68</f>
        <v>1782.5488403365116</v>
      </c>
      <c r="BE28" s="4">
        <f ca="1" xml:space="preserve">  Inventory!BE$68</f>
        <v>1890.5363914705406</v>
      </c>
      <c r="BF28" s="4">
        <f ca="1" xml:space="preserve">  Inventory!BF$68</f>
        <v>2451.2652671743485</v>
      </c>
      <c r="BG28" s="4">
        <f ca="1" xml:space="preserve">  Inventory!BG$68</f>
        <v>2599.7895740237263</v>
      </c>
      <c r="BH28" s="4">
        <f ca="1" xml:space="preserve">  Inventory!BH$68</f>
        <v>2752.0857319390348</v>
      </c>
      <c r="BI28" s="4">
        <f ca="1" xml:space="preserve">  Inventory!BI$68</f>
        <v>2918.8370163831542</v>
      </c>
      <c r="BJ28" s="4">
        <f ca="1" xml:space="preserve">  Inventory!BJ$68</f>
        <v>3095.6919085112468</v>
      </c>
      <c r="BK28" s="4">
        <f ca="1" xml:space="preserve">  Inventory!BK$68</f>
        <v>3277.0381217002355</v>
      </c>
      <c r="BL28" s="4">
        <f ca="1" xml:space="preserve">  Inventory!BL$68</f>
        <v>3475.596735591052</v>
      </c>
      <c r="BM28" s="4">
        <f ca="1" xml:space="preserve">  Inventory!BM$68</f>
        <v>3679.1978479042591</v>
      </c>
      <c r="BN28" s="4">
        <f ca="1" xml:space="preserve">  Inventory!BN$68</f>
        <v>3903.4698080441717</v>
      </c>
      <c r="BO28" s="4">
        <f ca="1" xml:space="preserve">  Inventory!BO$68</f>
        <v>4140.0298147784615</v>
      </c>
      <c r="BP28" s="4">
        <f ca="1" xml:space="preserve">  Inventory!BP$68</f>
        <v>4366.2491633557374</v>
      </c>
      <c r="BQ28" s="4">
        <f ca="1" xml:space="preserve">  Inventory!BQ$68</f>
        <v>4630.7179863853571</v>
      </c>
    </row>
    <row r="29" spans="1:69">
      <c r="E29" s="46" t="s">
        <v>139</v>
      </c>
      <c r="G29" s="46" t="s">
        <v>252</v>
      </c>
      <c r="I29" s="2">
        <f xml:space="preserve">  IF( I25 = 0, $F24, I26 + I27 - ( I28 * InpC!$F34 ) )</f>
        <v>0</v>
      </c>
      <c r="J29" s="2">
        <f ca="1" xml:space="preserve">  IF( J25 = 0, $F24, J26 + J27 - ( J28 * InpC!$F34 ) )</f>
        <v>0</v>
      </c>
      <c r="K29" s="2">
        <f ca="1" xml:space="preserve">  IF( K25 = 0, $F24, K26 + K27 - ( K28 * InpC!$F34 ) )</f>
        <v>7291.666666666667</v>
      </c>
      <c r="L29" s="2">
        <f ca="1" xml:space="preserve">  IF( L25 = 0, $F24, L26 + L27 - ( L28 * InpC!$F34 ) )</f>
        <v>14583.333333333334</v>
      </c>
      <c r="M29" s="2">
        <f ca="1" xml:space="preserve">  IF( M25 = 0, $F24, M26 + M27 - ( M28 * InpC!$F34 ) )</f>
        <v>21875</v>
      </c>
      <c r="N29" s="2">
        <f ca="1" xml:space="preserve">  IF( N25 = 0, $F24, N26 + N27 - ( N28 * InpC!$F34 ) )</f>
        <v>29166.666666666668</v>
      </c>
      <c r="O29" s="2">
        <f ca="1" xml:space="preserve">  IF( O25 = 0, $F24, O26 + O27 - ( O28 * InpC!$F34 ) )</f>
        <v>36458.333333333336</v>
      </c>
      <c r="P29" s="2">
        <f ca="1" xml:space="preserve">  IF( P25 = 0, $F24, P26 + P27 - ( P28 * InpC!$F34 ) )</f>
        <v>43750</v>
      </c>
      <c r="Q29" s="2">
        <f ca="1" xml:space="preserve">  IF( Q25 = 0, $F24, Q26 + Q27 - ( Q28 * InpC!$F34 ) )</f>
        <v>58333.333333333336</v>
      </c>
      <c r="R29" s="2">
        <f ca="1" xml:space="preserve">  IF( R25 = 0, $F24, R26 + R27 - ( R28 * InpC!$F34 ) )</f>
        <v>72916.666666666672</v>
      </c>
      <c r="S29" s="2">
        <f ca="1" xml:space="preserve">  IF( S25 = 0, $F24, S26 + S27 - ( S28 * InpC!$F34 ) )</f>
        <v>87500</v>
      </c>
      <c r="T29" s="2">
        <f ca="1" xml:space="preserve">  IF( T25 = 0, $F24, T26 + T27 - ( T28 * InpC!$F34 ) )</f>
        <v>102083.33333333333</v>
      </c>
      <c r="U29" s="2">
        <f ca="1" xml:space="preserve">  IF( U25 = 0, $F24, U26 + U27 - ( U28 * InpC!$F34 ) )</f>
        <v>116666.66666666666</v>
      </c>
      <c r="V29" s="2">
        <f ca="1" xml:space="preserve">  IF( V25 = 0, $F24, V26 + V27 - ( V28 * InpC!$F34 ) )</f>
        <v>131250</v>
      </c>
      <c r="W29" s="2">
        <f ca="1" xml:space="preserve">  IF( W25 = 0, $F24, W26 + W27 - ( W28 * InpC!$F34 ) )</f>
        <v>153125</v>
      </c>
      <c r="X29" s="2">
        <f ca="1" xml:space="preserve">  IF( X25 = 0, $F24, X26 + X27 - ( X28 * InpC!$F34 ) )</f>
        <v>175000</v>
      </c>
      <c r="Y29" s="2">
        <f ca="1" xml:space="preserve">  IF( Y25 = 0, $F24, Y26 + Y27 - ( Y28 * InpC!$F34 ) )</f>
        <v>196875</v>
      </c>
      <c r="Z29" s="2">
        <f ca="1" xml:space="preserve">  IF( Z25 = 0, $F24, Z26 + Z27 - ( Z28 * InpC!$F34 ) )</f>
        <v>218750</v>
      </c>
      <c r="AA29" s="2">
        <f ca="1" xml:space="preserve">  IF( AA25 = 0, $F24, AA26 + AA27 - ( AA28 * InpC!$F34 ) )</f>
        <v>247916.66666666666</v>
      </c>
      <c r="AB29" s="2">
        <f ca="1" xml:space="preserve">  IF( AB25 = 0, $F24, AB26 + AB27 - ( AB28 * InpC!$F34 ) )</f>
        <v>277083.33333333331</v>
      </c>
      <c r="AC29" s="2">
        <f ca="1" xml:space="preserve">  IF( AC25 = 0, $F24, AC26 + AC27 - ( AC28 * InpC!$F34 ) )</f>
        <v>306250</v>
      </c>
      <c r="AD29" s="2">
        <f ca="1" xml:space="preserve">  IF( AD25 = 0, $F24, AD26 + AD27 - ( AD28 * InpC!$F34 ) )</f>
        <v>335416.66666666669</v>
      </c>
      <c r="AE29" s="2">
        <f ca="1" xml:space="preserve">  IF( AE25 = 0, $F24, AE26 + AE27 - ( AE28 * InpC!$F34 ) )</f>
        <v>371875</v>
      </c>
      <c r="AF29" s="2">
        <f ca="1" xml:space="preserve">  IF( AF25 = 0, $F24, AF26 + AF27 - ( AF28 * InpC!$F34 ) )</f>
        <v>408333.33333333331</v>
      </c>
      <c r="AG29" s="2">
        <f ca="1" xml:space="preserve">  IF( AG25 = 0, $F24, AG26 + AG27 - ( AG28 * InpC!$F34 ) )</f>
        <v>444791.66666666663</v>
      </c>
      <c r="AH29" s="2">
        <f ca="1" xml:space="preserve">  IF( AH25 = 0, $F24, AH26 + AH27 - ( AH28 * InpC!$F34 ) )</f>
        <v>471041.66666666663</v>
      </c>
      <c r="AI29" s="2">
        <f ca="1" xml:space="preserve">  IF( AI25 = 0, $F24, AI26 + AI27 - ( AI28 * InpC!$F34 ) )</f>
        <v>495501.34575325763</v>
      </c>
      <c r="AJ29" s="2">
        <f ca="1" xml:space="preserve">  IF( AJ25 = 0, $F24, AJ26 + AJ27 - ( AJ28 * InpC!$F34 ) )</f>
        <v>525391.16035098862</v>
      </c>
      <c r="AK29" s="2">
        <f ca="1" xml:space="preserve">  IF( AK25 = 0, $F24, AK26 + AK27 - ( AK28 * InpC!$F34 ) )</f>
        <v>553270.77152923681</v>
      </c>
      <c r="AL29" s="2">
        <f ca="1" xml:space="preserve">  IF( AL25 = 0, $F24, AL26 + AL27 - ( AL28 * InpC!$F34 ) )</f>
        <v>579018.28580826521</v>
      </c>
      <c r="AM29" s="2">
        <f ca="1" xml:space="preserve">  IF( AM25 = 0, $F24, AM26 + AM27 - ( AM28 * InpC!$F34 ) )</f>
        <v>609840.56542930205</v>
      </c>
      <c r="AN29" s="2">
        <f ca="1" xml:space="preserve">  IF( AN25 = 0, $F24, AN26 + AN27 - ( AN28 * InpC!$F34 ) )</f>
        <v>638268.88961733249</v>
      </c>
      <c r="AO29" s="2">
        <f ca="1" xml:space="preserve">  IF( AO25 = 0, $F24, AO26 + AO27 - ( AO28 * InpC!$F34 ) )</f>
        <v>664208.03849041997</v>
      </c>
      <c r="AP29" s="2">
        <f ca="1" xml:space="preserve">  IF( AP25 = 0, $F24, AP26 + AP27 - ( AP28 * InpC!$F34 ) )</f>
        <v>694750.87928694463</v>
      </c>
      <c r="AQ29" s="2">
        <f ca="1" xml:space="preserve">  IF( AQ25 = 0, $F24, AQ26 + AQ27 - ( AQ28 * InpC!$F34 ) )</f>
        <v>722442.75357944483</v>
      </c>
      <c r="AR29" s="2">
        <f ca="1" xml:space="preserve">  IF( AR25 = 0, $F24, AR26 + AR27 - ( AR28 * InpC!$F34 ) )</f>
        <v>754570.67982181231</v>
      </c>
      <c r="AS29" s="2">
        <f ca="1" xml:space="preserve">  IF( AS25 = 0, $F24, AS26 + AS27 - ( AS28 * InpC!$F34 ) )</f>
        <v>783513.93599258631</v>
      </c>
      <c r="AT29" s="2">
        <f ca="1" xml:space="preserve">  IF( AT25 = 0, $F24, AT26 + AT27 - ( AT28 * InpC!$F34 ) )</f>
        <v>816437.96932636027</v>
      </c>
      <c r="AU29" s="2">
        <f ca="1" xml:space="preserve">  IF( AU25 = 0, $F24, AU26 + AU27 - ( AU28 * InpC!$F34 ) )</f>
        <v>853040.80308135902</v>
      </c>
      <c r="AV29" s="2">
        <f ca="1" xml:space="preserve">  IF( AV25 = 0, $F24, AV26 + AV27 - ( AV28 * InpC!$F34 ) )</f>
        <v>885920.40798504965</v>
      </c>
      <c r="AW29" s="2">
        <f ca="1" xml:space="preserve">  IF( AW25 = 0, $F24, AW26 + AW27 - ( AW28 * InpC!$F34 ) )</f>
        <v>922071.45563446335</v>
      </c>
      <c r="AX29" s="2">
        <f ca="1" xml:space="preserve">  IF( AX25 = 0, $F24, AX26 + AX27 - ( AX28 * InpC!$F34 ) )</f>
        <v>961250.51354306482</v>
      </c>
      <c r="AY29" s="2">
        <f ca="1" xml:space="preserve">  IF( AY25 = 0, $F24, AY26 + AY27 - ( AY28 * InpC!$F34 ) )</f>
        <v>995996.63008137571</v>
      </c>
      <c r="AZ29" s="2">
        <f ca="1" xml:space="preserve">  IF( AZ25 = 0, $F24, AZ26 + AZ27 - ( AZ28 * InpC!$F34 ) )</f>
        <v>1033247.8643932543</v>
      </c>
      <c r="BA29" s="2">
        <f ca="1" xml:space="preserve">  IF( BA25 = 0, $F24, BA26 + BA27 - ( BA28 * InpC!$F34 ) )</f>
        <v>1072814.1705008063</v>
      </c>
      <c r="BB29" s="2">
        <f ca="1" xml:space="preserve">  IF( BB25 = 0, $F24, BB26 + BB27 - ( BB28 * InpC!$F34 ) )</f>
        <v>1114269.0952785963</v>
      </c>
      <c r="BC29" s="2">
        <f ca="1" xml:space="preserve">  IF( BC25 = 0, $F24, BC26 + BC27 - ( BC28 * InpC!$F34 ) )</f>
        <v>1157312.1378910998</v>
      </c>
      <c r="BD29" s="2">
        <f ca="1" xml:space="preserve">  IF( BD25 = 0, $F24, BD26 + BD27 - ( BD28 * InpC!$F34 ) )</f>
        <v>1201953.9007975785</v>
      </c>
      <c r="BE29" s="2">
        <f ca="1" xml:space="preserve">  IF( BE25 = 0, $F24, BE26 + BE27 - ( BE28 * InpC!$F34 ) )</f>
        <v>1247508.2156888754</v>
      </c>
      <c r="BF29" s="2">
        <f ca="1" xml:space="preserve">  IF( BF25 = 0, $F24, BF26 + BF27 - ( BF28 * InpC!$F34 ) )</f>
        <v>1277971.6543596443</v>
      </c>
      <c r="BG29" s="2">
        <f ca="1" xml:space="preserve">  IF( BG25 = 0, $F24, BG26 + BG27 - ( BG28 * InpC!$F34 ) )</f>
        <v>1306953.6471093891</v>
      </c>
      <c r="BH29" s="2">
        <f ca="1" xml:space="preserve">  IF( BH25 = 0, $F24, BH26 + BH27 - ( BH28 * InpC!$F34 ) )</f>
        <v>1334105.5812033135</v>
      </c>
      <c r="BI29" s="2">
        <f ca="1" xml:space="preserve">  IF( BI25 = 0, $F24, BI26 + BI27 - ( BI28 * InpC!$F34 ) )</f>
        <v>1358699.4286492828</v>
      </c>
      <c r="BJ29" s="2">
        <f ca="1" xml:space="preserve">  IF( BJ25 = 0, $F24, BJ26 + BJ27 - ( BJ28 * InpC!$F34 ) )</f>
        <v>1380138.3842218767</v>
      </c>
      <c r="BK29" s="2">
        <f ca="1" xml:space="preserve">  IF( BK25 = 0, $F24, BK26 + BK27 - ( BK28 * InpC!$F34 ) )</f>
        <v>1398007.3382996104</v>
      </c>
      <c r="BL29" s="2">
        <f ca="1" xml:space="preserve">  IF( BL25 = 0, $F24, BL26 + BL27 - ( BL28 * InpC!$F34 ) )</f>
        <v>1411439.3936303528</v>
      </c>
      <c r="BM29" s="2">
        <f ca="1" xml:space="preserve">  IF( BM25 = 0, $F24, BM26 + BM27 - ( BM28 * InpC!$F34 ) )</f>
        <v>1419968.4981240625</v>
      </c>
      <c r="BN29" s="2">
        <f ca="1" xml:space="preserve">  IF( BN25 = 0, $F24, BN26 + BN27 - ( BN28 * InpC!$F34 ) )</f>
        <v>1422574.2538180149</v>
      </c>
      <c r="BO29" s="2">
        <f ca="1" xml:space="preserve">  IF( BO25 = 0, $F24, BO26 + BO27 - ( BO28 * InpC!$F34 ) )</f>
        <v>1418499.5158062028</v>
      </c>
      <c r="BP29" s="2">
        <f ca="1" xml:space="preserve">  IF( BP25 = 0, $F24, BP26 + BP27 - ( BP28 * InpC!$F34 ) )</f>
        <v>1407761.2237809673</v>
      </c>
      <c r="BQ29" s="2">
        <f ca="1" xml:space="preserve">  IF( BQ25 = 0, $F24, BQ26 + BQ27 - ( BQ28 * InpC!$F34 ) )</f>
        <v>1388690.7429198015</v>
      </c>
    </row>
    <row r="30" spans="1:69" s="83" customFormat="1">
      <c r="A30" s="62"/>
      <c r="B30" s="62"/>
      <c r="C30" s="90"/>
      <c r="D30" s="91"/>
      <c r="E30" s="35" t="str">
        <f xml:space="preserve"> LEFT($E$29, LEN($E$29) - 3 )</f>
        <v xml:space="preserve">Depreciation </v>
      </c>
      <c r="F30" s="35"/>
      <c r="G30" s="35" t="str">
        <f xml:space="preserve"> G$29</f>
        <v>GBP</v>
      </c>
      <c r="H30" s="35"/>
      <c r="I30" s="35"/>
      <c r="J30" s="11">
        <f t="shared" ref="J30:BQ30" ca="1" si="7" xml:space="preserve"> -1 * J29</f>
        <v>0</v>
      </c>
      <c r="K30" s="11">
        <f t="shared" ca="1" si="7"/>
        <v>-7291.666666666667</v>
      </c>
      <c r="L30" s="11">
        <f t="shared" ca="1" si="7"/>
        <v>-14583.333333333334</v>
      </c>
      <c r="M30" s="11">
        <f t="shared" ca="1" si="7"/>
        <v>-21875</v>
      </c>
      <c r="N30" s="11">
        <f t="shared" ca="1" si="7"/>
        <v>-29166.666666666668</v>
      </c>
      <c r="O30" s="11">
        <f t="shared" ca="1" si="7"/>
        <v>-36458.333333333336</v>
      </c>
      <c r="P30" s="11">
        <f t="shared" ca="1" si="7"/>
        <v>-43750</v>
      </c>
      <c r="Q30" s="11">
        <f t="shared" ca="1" si="7"/>
        <v>-58333.333333333336</v>
      </c>
      <c r="R30" s="11">
        <f t="shared" ca="1" si="7"/>
        <v>-72916.666666666672</v>
      </c>
      <c r="S30" s="11">
        <f t="shared" ca="1" si="7"/>
        <v>-87500</v>
      </c>
      <c r="T30" s="11">
        <f t="shared" ca="1" si="7"/>
        <v>-102083.33333333333</v>
      </c>
      <c r="U30" s="11">
        <f t="shared" ca="1" si="7"/>
        <v>-116666.66666666666</v>
      </c>
      <c r="V30" s="11">
        <f t="shared" ca="1" si="7"/>
        <v>-131250</v>
      </c>
      <c r="W30" s="11">
        <f t="shared" ca="1" si="7"/>
        <v>-153125</v>
      </c>
      <c r="X30" s="11">
        <f t="shared" ca="1" si="7"/>
        <v>-175000</v>
      </c>
      <c r="Y30" s="11">
        <f t="shared" ca="1" si="7"/>
        <v>-196875</v>
      </c>
      <c r="Z30" s="11">
        <f t="shared" ca="1" si="7"/>
        <v>-218750</v>
      </c>
      <c r="AA30" s="11">
        <f t="shared" ca="1" si="7"/>
        <v>-247916.66666666666</v>
      </c>
      <c r="AB30" s="11">
        <f t="shared" ca="1" si="7"/>
        <v>-277083.33333333331</v>
      </c>
      <c r="AC30" s="11">
        <f t="shared" ca="1" si="7"/>
        <v>-306250</v>
      </c>
      <c r="AD30" s="11">
        <f t="shared" ca="1" si="7"/>
        <v>-335416.66666666669</v>
      </c>
      <c r="AE30" s="11">
        <f t="shared" ca="1" si="7"/>
        <v>-371875</v>
      </c>
      <c r="AF30" s="11">
        <f t="shared" ca="1" si="7"/>
        <v>-408333.33333333331</v>
      </c>
      <c r="AG30" s="11">
        <f t="shared" ca="1" si="7"/>
        <v>-444791.66666666663</v>
      </c>
      <c r="AH30" s="11">
        <f t="shared" ca="1" si="7"/>
        <v>-471041.66666666663</v>
      </c>
      <c r="AI30" s="11">
        <f t="shared" ca="1" si="7"/>
        <v>-495501.34575325763</v>
      </c>
      <c r="AJ30" s="11">
        <f t="shared" ca="1" si="7"/>
        <v>-525391.16035098862</v>
      </c>
      <c r="AK30" s="11">
        <f t="shared" ca="1" si="7"/>
        <v>-553270.77152923681</v>
      </c>
      <c r="AL30" s="11">
        <f t="shared" ca="1" si="7"/>
        <v>-579018.28580826521</v>
      </c>
      <c r="AM30" s="11">
        <f t="shared" ca="1" si="7"/>
        <v>-609840.56542930205</v>
      </c>
      <c r="AN30" s="11">
        <f t="shared" ca="1" si="7"/>
        <v>-638268.88961733249</v>
      </c>
      <c r="AO30" s="11">
        <f t="shared" ca="1" si="7"/>
        <v>-664208.03849041997</v>
      </c>
      <c r="AP30" s="11">
        <f t="shared" ca="1" si="7"/>
        <v>-694750.87928694463</v>
      </c>
      <c r="AQ30" s="11">
        <f t="shared" ca="1" si="7"/>
        <v>-722442.75357944483</v>
      </c>
      <c r="AR30" s="11">
        <f t="shared" ca="1" si="7"/>
        <v>-754570.67982181231</v>
      </c>
      <c r="AS30" s="11">
        <f t="shared" ca="1" si="7"/>
        <v>-783513.93599258631</v>
      </c>
      <c r="AT30" s="11">
        <f t="shared" ca="1" si="7"/>
        <v>-816437.96932636027</v>
      </c>
      <c r="AU30" s="11">
        <f t="shared" ca="1" si="7"/>
        <v>-853040.80308135902</v>
      </c>
      <c r="AV30" s="11">
        <f t="shared" ca="1" si="7"/>
        <v>-885920.40798504965</v>
      </c>
      <c r="AW30" s="11">
        <f t="shared" ca="1" si="7"/>
        <v>-922071.45563446335</v>
      </c>
      <c r="AX30" s="11">
        <f t="shared" ca="1" si="7"/>
        <v>-961250.51354306482</v>
      </c>
      <c r="AY30" s="11">
        <f t="shared" ca="1" si="7"/>
        <v>-995996.63008137571</v>
      </c>
      <c r="AZ30" s="11">
        <f t="shared" ca="1" si="7"/>
        <v>-1033247.8643932543</v>
      </c>
      <c r="BA30" s="11">
        <f t="shared" ca="1" si="7"/>
        <v>-1072814.1705008063</v>
      </c>
      <c r="BB30" s="11">
        <f t="shared" ca="1" si="7"/>
        <v>-1114269.0952785963</v>
      </c>
      <c r="BC30" s="11">
        <f t="shared" ca="1" si="7"/>
        <v>-1157312.1378910998</v>
      </c>
      <c r="BD30" s="11">
        <f t="shared" ca="1" si="7"/>
        <v>-1201953.9007975785</v>
      </c>
      <c r="BE30" s="11">
        <f t="shared" ca="1" si="7"/>
        <v>-1247508.2156888754</v>
      </c>
      <c r="BF30" s="11">
        <f t="shared" ca="1" si="7"/>
        <v>-1277971.6543596443</v>
      </c>
      <c r="BG30" s="11">
        <f t="shared" ca="1" si="7"/>
        <v>-1306953.6471093891</v>
      </c>
      <c r="BH30" s="11">
        <f t="shared" ca="1" si="7"/>
        <v>-1334105.5812033135</v>
      </c>
      <c r="BI30" s="11">
        <f t="shared" ca="1" si="7"/>
        <v>-1358699.4286492828</v>
      </c>
      <c r="BJ30" s="11">
        <f t="shared" ca="1" si="7"/>
        <v>-1380138.3842218767</v>
      </c>
      <c r="BK30" s="11">
        <f t="shared" ca="1" si="7"/>
        <v>-1398007.3382996104</v>
      </c>
      <c r="BL30" s="11">
        <f t="shared" ca="1" si="7"/>
        <v>-1411439.3936303528</v>
      </c>
      <c r="BM30" s="11">
        <f t="shared" ca="1" si="7"/>
        <v>-1419968.4981240625</v>
      </c>
      <c r="BN30" s="11">
        <f t="shared" ca="1" si="7"/>
        <v>-1422574.2538180149</v>
      </c>
      <c r="BO30" s="11">
        <f t="shared" ca="1" si="7"/>
        <v>-1418499.5158062028</v>
      </c>
      <c r="BP30" s="11">
        <f t="shared" ca="1" si="7"/>
        <v>-1407761.2237809673</v>
      </c>
      <c r="BQ30" s="11">
        <f t="shared" ca="1" si="7"/>
        <v>-1388690.7429198015</v>
      </c>
    </row>
    <row r="33" spans="2:2">
      <c r="B33" s="27" t="s">
        <v>265</v>
      </c>
    </row>
  </sheetData>
  <conditionalFormatting sqref="F2:F3">
    <cfRule type="cellIs" dxfId="217" priority="1" stopIfTrue="1" operator="notEqual">
      <formula>0</formula>
    </cfRule>
    <cfRule type="cellIs" dxfId="216" priority="2" stopIfTrue="1" operator="equal">
      <formula>""</formula>
    </cfRule>
  </conditionalFormatting>
  <conditionalFormatting sqref="J3:BQ3">
    <cfRule type="cellIs" dxfId="215" priority="8" operator="equal">
      <formula>"PPA ext."</formula>
    </cfRule>
    <cfRule type="cellIs" dxfId="214" priority="9" operator="equal">
      <formula>"Delay"</formula>
    </cfRule>
    <cfRule type="cellIs" dxfId="213" priority="10" operator="equal">
      <formula>"Fin Close"</formula>
    </cfRule>
    <cfRule type="cellIs" dxfId="212" priority="11" stopIfTrue="1" operator="equal">
      <formula>"Construction"</formula>
    </cfRule>
    <cfRule type="cellIs" dxfId="211"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Q30"/>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64.9062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Expense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316</v>
      </c>
    </row>
    <row r="9" spans="1:69" outlineLevel="1">
      <c r="A9" s="18"/>
      <c r="B9" s="18"/>
      <c r="C9" s="30"/>
      <c r="D9" s="31"/>
      <c r="E9" s="44" t="str">
        <f xml:space="preserve">  InpC!E$84</f>
        <v>VAT rate</v>
      </c>
      <c r="F9" s="44">
        <f xml:space="preserve">  InpC!F$84</f>
        <v>0.2</v>
      </c>
      <c r="G9" s="44" t="str">
        <f xml:space="preserve">  InpC!G$84</f>
        <v>%</v>
      </c>
      <c r="M9" s="58"/>
    </row>
    <row r="10" spans="1:69" outlineLevel="1">
      <c r="A10" s="18"/>
      <c r="B10" s="18"/>
      <c r="C10" s="30"/>
      <c r="D10" s="31"/>
      <c r="E10" s="44" t="str">
        <f xml:space="preserve">  InpC!E$83</f>
        <v>Percentage of expense subject to VAT</v>
      </c>
      <c r="F10" s="44">
        <f xml:space="preserve">  InpC!F$83</f>
        <v>0.5</v>
      </c>
      <c r="G10" s="44" t="str">
        <f xml:space="preserve">  InpC!G$83</f>
        <v>%</v>
      </c>
      <c r="M10" s="58"/>
    </row>
    <row r="11" spans="1:69" outlineLevel="1">
      <c r="E11" s="2" t="str">
        <f t="shared" ref="E11:BQ11" si="0" xml:space="preserve">  E$19</f>
        <v>Fixed operating expense POS</v>
      </c>
      <c r="F11" s="2">
        <f t="shared" si="0"/>
        <v>0</v>
      </c>
      <c r="G11" s="2" t="str">
        <f t="shared" si="0"/>
        <v>GBP</v>
      </c>
      <c r="H11" s="2">
        <f t="shared" si="0"/>
        <v>3419071.4947073567</v>
      </c>
      <c r="I11" s="2">
        <f t="shared" si="0"/>
        <v>0</v>
      </c>
      <c r="J11" s="2">
        <f t="shared" si="0"/>
        <v>45000</v>
      </c>
      <c r="K11" s="2">
        <f t="shared" si="0"/>
        <v>45000</v>
      </c>
      <c r="L11" s="2">
        <f t="shared" si="0"/>
        <v>45000</v>
      </c>
      <c r="M11" s="2">
        <f t="shared" si="0"/>
        <v>46094.142332421929</v>
      </c>
      <c r="N11" s="2">
        <f t="shared" si="0"/>
        <v>46094.142332421929</v>
      </c>
      <c r="O11" s="2">
        <f t="shared" si="0"/>
        <v>46094.142332421929</v>
      </c>
      <c r="P11" s="2">
        <f t="shared" si="0"/>
        <v>47214.887941368259</v>
      </c>
      <c r="Q11" s="2">
        <f t="shared" si="0"/>
        <v>47214.887941368259</v>
      </c>
      <c r="R11" s="2">
        <f t="shared" si="0"/>
        <v>47214.887941368259</v>
      </c>
      <c r="S11" s="2">
        <f t="shared" si="0"/>
        <v>48362.883666195121</v>
      </c>
      <c r="T11" s="2">
        <f t="shared" si="0"/>
        <v>48362.883666195121</v>
      </c>
      <c r="U11" s="2">
        <f t="shared" si="0"/>
        <v>48362.883666195121</v>
      </c>
      <c r="V11" s="2">
        <f t="shared" si="0"/>
        <v>49500.000000000007</v>
      </c>
      <c r="W11" s="2">
        <f t="shared" si="0"/>
        <v>49500.000000000007</v>
      </c>
      <c r="X11" s="2">
        <f t="shared" si="0"/>
        <v>49500.000000000007</v>
      </c>
      <c r="Y11" s="2">
        <f t="shared" si="0"/>
        <v>50708.501394855797</v>
      </c>
      <c r="Z11" s="2">
        <f t="shared" si="0"/>
        <v>50708.501394855797</v>
      </c>
      <c r="AA11" s="2">
        <f t="shared" si="0"/>
        <v>50708.501394855797</v>
      </c>
      <c r="AB11" s="2">
        <f t="shared" si="0"/>
        <v>51939.73483307648</v>
      </c>
      <c r="AC11" s="2">
        <f t="shared" si="0"/>
        <v>51939.73483307648</v>
      </c>
      <c r="AD11" s="2">
        <f t="shared" si="0"/>
        <v>51939.73483307648</v>
      </c>
      <c r="AE11" s="2">
        <f t="shared" si="0"/>
        <v>53204.926698313757</v>
      </c>
      <c r="AF11" s="2">
        <f t="shared" si="0"/>
        <v>53204.926698313757</v>
      </c>
      <c r="AG11" s="2">
        <f t="shared" si="0"/>
        <v>53204.926698313757</v>
      </c>
      <c r="AH11" s="2">
        <f t="shared" si="0"/>
        <v>54454.735278236491</v>
      </c>
      <c r="AI11" s="2">
        <f t="shared" si="0"/>
        <v>54454.735278236491</v>
      </c>
      <c r="AJ11" s="2">
        <f t="shared" si="0"/>
        <v>54454.735278236491</v>
      </c>
      <c r="AK11" s="2">
        <f t="shared" si="0"/>
        <v>55777.540025685339</v>
      </c>
      <c r="AL11" s="2">
        <f t="shared" si="0"/>
        <v>55777.540025685339</v>
      </c>
      <c r="AM11" s="2">
        <f t="shared" si="0"/>
        <v>55777.540025685339</v>
      </c>
      <c r="AN11" s="2">
        <f t="shared" si="0"/>
        <v>57132.478110867487</v>
      </c>
      <c r="AO11" s="2">
        <f t="shared" si="0"/>
        <v>57132.478110867487</v>
      </c>
      <c r="AP11" s="2">
        <f t="shared" si="0"/>
        <v>57132.478110867487</v>
      </c>
      <c r="AQ11" s="2">
        <f t="shared" si="0"/>
        <v>58523.837854155172</v>
      </c>
      <c r="AR11" s="2">
        <f t="shared" si="0"/>
        <v>58523.837854155172</v>
      </c>
      <c r="AS11" s="2">
        <f t="shared" si="0"/>
        <v>58523.837854155172</v>
      </c>
      <c r="AT11" s="2">
        <f t="shared" si="0"/>
        <v>59898.907453406857</v>
      </c>
      <c r="AU11" s="2">
        <f t="shared" si="0"/>
        <v>59898.907453406857</v>
      </c>
      <c r="AV11" s="2">
        <f t="shared" si="0"/>
        <v>59898.907453406857</v>
      </c>
      <c r="AW11" s="2">
        <f t="shared" si="0"/>
        <v>61354.297040832636</v>
      </c>
      <c r="AX11" s="2">
        <f t="shared" si="0"/>
        <v>61354.297040832636</v>
      </c>
      <c r="AY11" s="2">
        <f t="shared" si="0"/>
        <v>61354.297040832636</v>
      </c>
      <c r="AZ11" s="2">
        <f t="shared" si="0"/>
        <v>62845.048856740366</v>
      </c>
      <c r="BA11" s="2">
        <f t="shared" si="0"/>
        <v>62845.048856740366</v>
      </c>
      <c r="BB11" s="2">
        <f t="shared" si="0"/>
        <v>62845.048856740366</v>
      </c>
      <c r="BC11" s="2">
        <f t="shared" si="0"/>
        <v>64375.177481826024</v>
      </c>
      <c r="BD11" s="2">
        <f t="shared" si="0"/>
        <v>64375.177481826024</v>
      </c>
      <c r="BE11" s="2">
        <f t="shared" si="0"/>
        <v>64375.177481826024</v>
      </c>
      <c r="BF11" s="2">
        <f t="shared" si="0"/>
        <v>65887.939007352761</v>
      </c>
      <c r="BG11" s="2">
        <f t="shared" si="0"/>
        <v>65887.939007352761</v>
      </c>
      <c r="BH11" s="2">
        <f t="shared" si="0"/>
        <v>65887.939007352761</v>
      </c>
      <c r="BI11" s="2">
        <f t="shared" si="0"/>
        <v>67489.068501538102</v>
      </c>
      <c r="BJ11" s="2">
        <f t="shared" si="0"/>
        <v>67489.068501538102</v>
      </c>
      <c r="BK11" s="2">
        <f t="shared" si="0"/>
        <v>67489.068501538102</v>
      </c>
      <c r="BL11" s="2">
        <f t="shared" si="0"/>
        <v>69129.106720078344</v>
      </c>
      <c r="BM11" s="2">
        <f t="shared" si="0"/>
        <v>69129.106720078344</v>
      </c>
      <c r="BN11" s="2">
        <f t="shared" si="0"/>
        <v>69129.106720078344</v>
      </c>
      <c r="BO11" s="2">
        <f t="shared" si="0"/>
        <v>70797.285038834758</v>
      </c>
      <c r="BP11" s="2">
        <f t="shared" si="0"/>
        <v>70797.285038834758</v>
      </c>
      <c r="BQ11" s="2">
        <f t="shared" si="0"/>
        <v>70797.285038834758</v>
      </c>
    </row>
    <row r="12" spans="1:69" outlineLevel="1">
      <c r="E12" s="2" t="str">
        <f t="shared" ref="E12:BQ12" si="1" xml:space="preserve">  E$26</f>
        <v>Variable Operating expense POS</v>
      </c>
      <c r="F12" s="2">
        <f t="shared" si="1"/>
        <v>0</v>
      </c>
      <c r="G12" s="2" t="str">
        <f t="shared" si="1"/>
        <v>GBP</v>
      </c>
      <c r="H12" s="2">
        <f t="shared" ca="1" si="1"/>
        <v>4525517.0946845738</v>
      </c>
      <c r="I12" s="2">
        <f t="shared" si="1"/>
        <v>0</v>
      </c>
      <c r="J12" s="2">
        <f t="shared" ca="1" si="1"/>
        <v>7200</v>
      </c>
      <c r="K12" s="2">
        <f t="shared" ca="1" si="1"/>
        <v>7636.5891758025509</v>
      </c>
      <c r="L12" s="2">
        <f t="shared" ca="1" si="1"/>
        <v>8084.2850641322384</v>
      </c>
      <c r="M12" s="2">
        <f t="shared" ca="1" si="1"/>
        <v>8574.4949742853441</v>
      </c>
      <c r="N12" s="2">
        <f t="shared" ca="1" si="1"/>
        <v>9094.4299317501118</v>
      </c>
      <c r="O12" s="2">
        <f t="shared" ca="1" si="1"/>
        <v>9627.5918962627675</v>
      </c>
      <c r="P12" s="2">
        <f t="shared" ca="1" si="1"/>
        <v>10211.383897783971</v>
      </c>
      <c r="Q12" s="2">
        <f t="shared" ca="1" si="1"/>
        <v>10810.027412571899</v>
      </c>
      <c r="R12" s="2">
        <f t="shared" ca="1" si="1"/>
        <v>11465.519212357696</v>
      </c>
      <c r="S12" s="2">
        <f t="shared" ca="1" si="1"/>
        <v>12160.758321117633</v>
      </c>
      <c r="T12" s="2">
        <f t="shared" ca="1" si="1"/>
        <v>12828.941541220887</v>
      </c>
      <c r="U12" s="2">
        <f t="shared" ca="1" si="1"/>
        <v>13604.666568363735</v>
      </c>
      <c r="V12" s="2">
        <f t="shared" ca="1" si="1"/>
        <v>14400</v>
      </c>
      <c r="W12" s="2">
        <f t="shared" ca="1" si="1"/>
        <v>15286.43639812469</v>
      </c>
      <c r="X12" s="2">
        <f t="shared" ca="1" si="1"/>
        <v>16181.344275598138</v>
      </c>
      <c r="Y12" s="2">
        <f t="shared" ca="1" si="1"/>
        <v>17161.156582065021</v>
      </c>
      <c r="Z12" s="2">
        <f t="shared" ca="1" si="1"/>
        <v>18200.298455936998</v>
      </c>
      <c r="AA12" s="2">
        <f t="shared" ca="1" si="1"/>
        <v>19265.791422144866</v>
      </c>
      <c r="AB12" s="2">
        <f t="shared" ca="1" si="1"/>
        <v>20432.373086049545</v>
      </c>
      <c r="AC12" s="2">
        <f t="shared" ca="1" si="1"/>
        <v>21628.537525815598</v>
      </c>
      <c r="AD12" s="2">
        <f t="shared" ca="1" si="1"/>
        <v>22950.316780770718</v>
      </c>
      <c r="AE12" s="2">
        <f t="shared" ca="1" si="1"/>
        <v>24340.656529575466</v>
      </c>
      <c r="AF12" s="2">
        <f t="shared" ca="1" si="1"/>
        <v>25668.703300845769</v>
      </c>
      <c r="AG12" s="2">
        <f t="shared" ca="1" si="1"/>
        <v>27223.724037175791</v>
      </c>
      <c r="AH12" s="2">
        <f t="shared" ca="1" si="1"/>
        <v>35298.219847310618</v>
      </c>
      <c r="AI12" s="2">
        <f t="shared" ca="1" si="1"/>
        <v>37436.969865941661</v>
      </c>
      <c r="AJ12" s="2">
        <f t="shared" ca="1" si="1"/>
        <v>39630.034539922111</v>
      </c>
      <c r="AK12" s="2">
        <f t="shared" ca="1" si="1"/>
        <v>42031.253035917427</v>
      </c>
      <c r="AL12" s="2">
        <f t="shared" ca="1" si="1"/>
        <v>44577.963482561958</v>
      </c>
      <c r="AM12" s="2">
        <f t="shared" ca="1" si="1"/>
        <v>47189.348952483386</v>
      </c>
      <c r="AN12" s="2">
        <f t="shared" ca="1" si="1"/>
        <v>50048.592992511149</v>
      </c>
      <c r="AO12" s="2">
        <f t="shared" ca="1" si="1"/>
        <v>52980.449009821335</v>
      </c>
      <c r="AP12" s="2">
        <f t="shared" ca="1" si="1"/>
        <v>56209.965235836076</v>
      </c>
      <c r="AQ12" s="2">
        <f t="shared" ca="1" si="1"/>
        <v>59616.42933280985</v>
      </c>
      <c r="AR12" s="2">
        <f t="shared" ca="1" si="1"/>
        <v>62873.987952322634</v>
      </c>
      <c r="AS12" s="2">
        <f t="shared" ca="1" si="1"/>
        <v>66682.33900394915</v>
      </c>
      <c r="AT12" s="2">
        <f t="shared" ca="1" si="1"/>
        <v>70587.333846708134</v>
      </c>
      <c r="AU12" s="2">
        <f t="shared" ca="1" si="1"/>
        <v>74877.03465515186</v>
      </c>
      <c r="AV12" s="2">
        <f t="shared" ca="1" si="1"/>
        <v>79263.051098438416</v>
      </c>
      <c r="AW12" s="2">
        <f t="shared" ca="1" si="1"/>
        <v>84065.346325966166</v>
      </c>
      <c r="AX12" s="2">
        <f t="shared" ca="1" si="1"/>
        <v>89158.597312183934</v>
      </c>
      <c r="AY12" s="2">
        <f t="shared" ca="1" si="1"/>
        <v>94381.174309272974</v>
      </c>
      <c r="AZ12" s="2">
        <f t="shared" ca="1" si="1"/>
        <v>100099.42843134473</v>
      </c>
      <c r="BA12" s="2">
        <f t="shared" ca="1" si="1"/>
        <v>105962.87842355632</v>
      </c>
      <c r="BB12" s="2">
        <f t="shared" ca="1" si="1"/>
        <v>112425.71597327135</v>
      </c>
      <c r="BC12" s="2">
        <f t="shared" ca="1" si="1"/>
        <v>119238.60272028444</v>
      </c>
      <c r="BD12" s="2">
        <f t="shared" ca="1" si="1"/>
        <v>125746.35238671978</v>
      </c>
      <c r="BE12" s="2">
        <f t="shared" ca="1" si="1"/>
        <v>133366.45649028415</v>
      </c>
      <c r="BF12" s="2">
        <f t="shared" ca="1" si="1"/>
        <v>141180.13593087136</v>
      </c>
      <c r="BG12" s="2">
        <f t="shared" ca="1" si="1"/>
        <v>149735.51201368691</v>
      </c>
      <c r="BH12" s="2">
        <f t="shared" ca="1" si="1"/>
        <v>158508.22237370175</v>
      </c>
      <c r="BI12" s="2">
        <f t="shared" ca="1" si="1"/>
        <v>168113.66331561311</v>
      </c>
      <c r="BJ12" s="2">
        <f t="shared" ca="1" si="1"/>
        <v>178301.18445665308</v>
      </c>
      <c r="BK12" s="2">
        <f t="shared" ca="1" si="1"/>
        <v>188747.50165063617</v>
      </c>
      <c r="BL12" s="2">
        <f t="shared" ca="1" si="1"/>
        <v>200185.41294255387</v>
      </c>
      <c r="BM12" s="2">
        <f t="shared" ca="1" si="1"/>
        <v>211913.88425111026</v>
      </c>
      <c r="BN12" s="2">
        <f t="shared" ca="1" si="1"/>
        <v>224556.41343663895</v>
      </c>
      <c r="BO12" s="2">
        <f t="shared" ca="1" si="1"/>
        <v>238160.7223027338</v>
      </c>
      <c r="BP12" s="2">
        <f t="shared" ca="1" si="1"/>
        <v>251544.77291546759</v>
      </c>
      <c r="BQ12" s="2">
        <f t="shared" ca="1" si="1"/>
        <v>266784.11748058593</v>
      </c>
    </row>
    <row r="13" spans="1:69" outlineLevel="1">
      <c r="A13" s="36"/>
      <c r="B13" s="36"/>
      <c r="C13" s="65"/>
      <c r="D13" s="64"/>
      <c r="E13" s="21" t="s">
        <v>316</v>
      </c>
      <c r="F13" s="21"/>
      <c r="G13" s="21" t="s">
        <v>252</v>
      </c>
      <c r="H13" s="3">
        <f ca="1" xml:space="preserve"> SUM( J13:BQ13 )</f>
        <v>794458.85893919331</v>
      </c>
      <c r="I13" s="21"/>
      <c r="J13" s="3">
        <f t="shared" ref="J13:BQ13" ca="1" si="2" xml:space="preserve">  $F9 * $F10 * ( J11 + J12 )</f>
        <v>5220</v>
      </c>
      <c r="K13" s="3">
        <f t="shared" ca="1" si="2"/>
        <v>5263.6589175802555</v>
      </c>
      <c r="L13" s="3">
        <f t="shared" ca="1" si="2"/>
        <v>5308.4285064132237</v>
      </c>
      <c r="M13" s="3">
        <f t="shared" ca="1" si="2"/>
        <v>5466.8637306707278</v>
      </c>
      <c r="N13" s="3">
        <f t="shared" ca="1" si="2"/>
        <v>5518.8572264172044</v>
      </c>
      <c r="O13" s="3">
        <f t="shared" ca="1" si="2"/>
        <v>5572.17342286847</v>
      </c>
      <c r="P13" s="3">
        <f t="shared" ca="1" si="2"/>
        <v>5742.6271839152232</v>
      </c>
      <c r="Q13" s="3">
        <f t="shared" ca="1" si="2"/>
        <v>5802.491535394016</v>
      </c>
      <c r="R13" s="3">
        <f t="shared" ca="1" si="2"/>
        <v>5868.0407153725964</v>
      </c>
      <c r="S13" s="3">
        <f t="shared" ca="1" si="2"/>
        <v>6052.3641987312758</v>
      </c>
      <c r="T13" s="3">
        <f t="shared" ca="1" si="2"/>
        <v>6119.1825207416014</v>
      </c>
      <c r="U13" s="3">
        <f t="shared" ca="1" si="2"/>
        <v>6196.7550234558857</v>
      </c>
      <c r="V13" s="3">
        <f t="shared" ca="1" si="2"/>
        <v>6390.0000000000009</v>
      </c>
      <c r="W13" s="3">
        <f t="shared" ca="1" si="2"/>
        <v>6478.6436398124706</v>
      </c>
      <c r="X13" s="3">
        <f t="shared" ca="1" si="2"/>
        <v>6568.1344275598158</v>
      </c>
      <c r="Y13" s="3">
        <f t="shared" ca="1" si="2"/>
        <v>6786.9657976920826</v>
      </c>
      <c r="Z13" s="3">
        <f t="shared" ca="1" si="2"/>
        <v>6890.8799850792802</v>
      </c>
      <c r="AA13" s="3">
        <f t="shared" ca="1" si="2"/>
        <v>6997.4292817000669</v>
      </c>
      <c r="AB13" s="3">
        <f t="shared" ca="1" si="2"/>
        <v>7237.2107919126029</v>
      </c>
      <c r="AC13" s="3">
        <f t="shared" ca="1" si="2"/>
        <v>7356.8272358892082</v>
      </c>
      <c r="AD13" s="3">
        <f t="shared" ca="1" si="2"/>
        <v>7489.0051613847209</v>
      </c>
      <c r="AE13" s="3">
        <f t="shared" ca="1" si="2"/>
        <v>7754.5583227889219</v>
      </c>
      <c r="AF13" s="3">
        <f t="shared" ca="1" si="2"/>
        <v>7887.362999915953</v>
      </c>
      <c r="AG13" s="3">
        <f t="shared" ca="1" si="2"/>
        <v>8042.8650735489546</v>
      </c>
      <c r="AH13" s="3">
        <f t="shared" ca="1" si="2"/>
        <v>8975.2955125547105</v>
      </c>
      <c r="AI13" s="3">
        <f t="shared" ca="1" si="2"/>
        <v>9189.1705144178159</v>
      </c>
      <c r="AJ13" s="3">
        <f t="shared" ca="1" si="2"/>
        <v>9408.4769818158602</v>
      </c>
      <c r="AK13" s="3">
        <f t="shared" ca="1" si="2"/>
        <v>9780.8793061602773</v>
      </c>
      <c r="AL13" s="3">
        <f t="shared" ca="1" si="2"/>
        <v>10035.550350824729</v>
      </c>
      <c r="AM13" s="3">
        <f t="shared" ca="1" si="2"/>
        <v>10296.688897816872</v>
      </c>
      <c r="AN13" s="3">
        <f t="shared" ca="1" si="2"/>
        <v>10718.107110337864</v>
      </c>
      <c r="AO13" s="3">
        <f t="shared" ca="1" si="2"/>
        <v>11011.292712068884</v>
      </c>
      <c r="AP13" s="3">
        <f t="shared" ca="1" si="2"/>
        <v>11334.244334670359</v>
      </c>
      <c r="AQ13" s="3">
        <f t="shared" ca="1" si="2"/>
        <v>11814.026718696503</v>
      </c>
      <c r="AR13" s="3">
        <f t="shared" ca="1" si="2"/>
        <v>12139.782580647781</v>
      </c>
      <c r="AS13" s="3">
        <f t="shared" ca="1" si="2"/>
        <v>12520.617685810434</v>
      </c>
      <c r="AT13" s="3">
        <f t="shared" ca="1" si="2"/>
        <v>13048.6241300115</v>
      </c>
      <c r="AU13" s="3">
        <f t="shared" ca="1" si="2"/>
        <v>13477.594210855874</v>
      </c>
      <c r="AV13" s="3">
        <f t="shared" ca="1" si="2"/>
        <v>13916.195855184529</v>
      </c>
      <c r="AW13" s="3">
        <f t="shared" ca="1" si="2"/>
        <v>14541.964336679883</v>
      </c>
      <c r="AX13" s="3">
        <f t="shared" ca="1" si="2"/>
        <v>15051.289435301658</v>
      </c>
      <c r="AY13" s="3">
        <f t="shared" ca="1" si="2"/>
        <v>15573.54713501056</v>
      </c>
      <c r="AZ13" s="3">
        <f t="shared" ca="1" si="2"/>
        <v>16294.447728808511</v>
      </c>
      <c r="BA13" s="3">
        <f t="shared" ca="1" si="2"/>
        <v>16880.792728029668</v>
      </c>
      <c r="BB13" s="3">
        <f t="shared" ca="1" si="2"/>
        <v>17527.076483001172</v>
      </c>
      <c r="BC13" s="3">
        <f t="shared" ca="1" si="2"/>
        <v>18361.378020211047</v>
      </c>
      <c r="BD13" s="3">
        <f t="shared" ca="1" si="2"/>
        <v>19012.15298685458</v>
      </c>
      <c r="BE13" s="3">
        <f t="shared" ca="1" si="2"/>
        <v>19774.163397211018</v>
      </c>
      <c r="BF13" s="3">
        <f t="shared" ca="1" si="2"/>
        <v>20706.807493822413</v>
      </c>
      <c r="BG13" s="3">
        <f t="shared" ca="1" si="2"/>
        <v>21562.345102103969</v>
      </c>
      <c r="BH13" s="3">
        <f t="shared" ca="1" si="2"/>
        <v>22439.616138105452</v>
      </c>
      <c r="BI13" s="3">
        <f t="shared" ca="1" si="2"/>
        <v>23560.273181715122</v>
      </c>
      <c r="BJ13" s="3">
        <f t="shared" ca="1" si="2"/>
        <v>24579.025295819119</v>
      </c>
      <c r="BK13" s="3">
        <f t="shared" ca="1" si="2"/>
        <v>25623.657015217428</v>
      </c>
      <c r="BL13" s="3">
        <f t="shared" ca="1" si="2"/>
        <v>26931.451966263223</v>
      </c>
      <c r="BM13" s="3">
        <f t="shared" ca="1" si="2"/>
        <v>28104.299097118859</v>
      </c>
      <c r="BN13" s="3">
        <f t="shared" ca="1" si="2"/>
        <v>29368.552015671728</v>
      </c>
      <c r="BO13" s="3">
        <f t="shared" ca="1" si="2"/>
        <v>30895.800734156859</v>
      </c>
      <c r="BP13" s="3">
        <f t="shared" ca="1" si="2"/>
        <v>32234.205795430236</v>
      </c>
      <c r="BQ13" s="3">
        <f t="shared" ca="1" si="2"/>
        <v>33758.140251942074</v>
      </c>
    </row>
    <row r="16" spans="1:69">
      <c r="B16" s="27" t="s">
        <v>257</v>
      </c>
    </row>
    <row r="17" spans="1:69" outlineLevel="1">
      <c r="A17" s="18"/>
      <c r="B17" s="18"/>
      <c r="C17" s="30"/>
      <c r="D17" s="31"/>
      <c r="E17" s="4" t="str">
        <f xml:space="preserve">  InpC!E$25</f>
        <v>Fixed operating cost base</v>
      </c>
      <c r="F17" s="4">
        <f xml:space="preserve">  InpC!F$25</f>
        <v>45000</v>
      </c>
      <c r="G17" s="4" t="str">
        <f xml:space="preserve">  InpC!G$25</f>
        <v>GBP</v>
      </c>
      <c r="M17" s="2"/>
    </row>
    <row r="18" spans="1:69" outlineLevel="1">
      <c r="A18" s="18"/>
      <c r="B18" s="18"/>
      <c r="C18" s="30"/>
      <c r="D18" s="31"/>
      <c r="E18" s="23" t="str">
        <f xml:space="preserve">  Time!E$220</f>
        <v>Fixed Operating Cost Growth Rate escalation indexation factor</v>
      </c>
      <c r="F18" s="23">
        <f xml:space="preserve">  Time!F$220</f>
        <v>0</v>
      </c>
      <c r="G18" s="23" t="str">
        <f xml:space="preserve">  Time!G$220</f>
        <v>index</v>
      </c>
      <c r="H18" s="23">
        <f xml:space="preserve">  Time!H$220</f>
        <v>0</v>
      </c>
      <c r="I18" s="23">
        <f xml:space="preserve">  Time!I$220</f>
        <v>0</v>
      </c>
      <c r="J18" s="23">
        <f xml:space="preserve">  Time!J$220</f>
        <v>1</v>
      </c>
      <c r="K18" s="23">
        <f xml:space="preserve">  Time!K$220</f>
        <v>1</v>
      </c>
      <c r="L18" s="23">
        <f xml:space="preserve">  Time!L$220</f>
        <v>1</v>
      </c>
      <c r="M18" s="23">
        <f xml:space="preserve">  Time!M$220</f>
        <v>1.0243142740538207</v>
      </c>
      <c r="N18" s="23">
        <f xml:space="preserve">  Time!N$220</f>
        <v>1.0243142740538207</v>
      </c>
      <c r="O18" s="23">
        <f xml:space="preserve">  Time!O$220</f>
        <v>1.0243142740538207</v>
      </c>
      <c r="P18" s="23">
        <f xml:space="preserve">  Time!P$220</f>
        <v>1.0492197320304057</v>
      </c>
      <c r="Q18" s="23">
        <f xml:space="preserve">  Time!Q$220</f>
        <v>1.0492197320304057</v>
      </c>
      <c r="R18" s="23">
        <f xml:space="preserve">  Time!R$220</f>
        <v>1.0492197320304057</v>
      </c>
      <c r="S18" s="23">
        <f xml:space="preserve">  Time!S$220</f>
        <v>1.0747307481376693</v>
      </c>
      <c r="T18" s="23">
        <f xml:space="preserve">  Time!T$220</f>
        <v>1.0747307481376693</v>
      </c>
      <c r="U18" s="23">
        <f xml:space="preserve">  Time!U$220</f>
        <v>1.0747307481376693</v>
      </c>
      <c r="V18" s="23">
        <f xml:space="preserve">  Time!V$220</f>
        <v>1.1000000000000001</v>
      </c>
      <c r="W18" s="23">
        <f xml:space="preserve">  Time!W$220</f>
        <v>1.1000000000000001</v>
      </c>
      <c r="X18" s="23">
        <f xml:space="preserve">  Time!X$220</f>
        <v>1.1000000000000001</v>
      </c>
      <c r="Y18" s="23">
        <f xml:space="preserve">  Time!Y$220</f>
        <v>1.1268555865523511</v>
      </c>
      <c r="Z18" s="23">
        <f xml:space="preserve">  Time!Z$220</f>
        <v>1.1268555865523511</v>
      </c>
      <c r="AA18" s="23">
        <f xml:space="preserve">  Time!AA$220</f>
        <v>1.1268555865523511</v>
      </c>
      <c r="AB18" s="23">
        <f xml:space="preserve">  Time!AB$220</f>
        <v>1.1542163296239218</v>
      </c>
      <c r="AC18" s="23">
        <f xml:space="preserve">  Time!AC$220</f>
        <v>1.1542163296239218</v>
      </c>
      <c r="AD18" s="23">
        <f xml:space="preserve">  Time!AD$220</f>
        <v>1.1542163296239218</v>
      </c>
      <c r="AE18" s="23">
        <f xml:space="preserve">  Time!AE$220</f>
        <v>1.1823317044069723</v>
      </c>
      <c r="AF18" s="23">
        <f xml:space="preserve">  Time!AF$220</f>
        <v>1.1823317044069723</v>
      </c>
      <c r="AG18" s="23">
        <f xml:space="preserve">  Time!AG$220</f>
        <v>1.1823317044069723</v>
      </c>
      <c r="AH18" s="23">
        <f xml:space="preserve">  Time!AH$220</f>
        <v>1.2101052284052554</v>
      </c>
      <c r="AI18" s="23">
        <f xml:space="preserve">  Time!AI$220</f>
        <v>1.2101052284052554</v>
      </c>
      <c r="AJ18" s="23">
        <f xml:space="preserve">  Time!AJ$220</f>
        <v>1.2101052284052554</v>
      </c>
      <c r="AK18" s="23">
        <f xml:space="preserve">  Time!AK$220</f>
        <v>1.2395008894596742</v>
      </c>
      <c r="AL18" s="23">
        <f xml:space="preserve">  Time!AL$220</f>
        <v>1.2395008894596742</v>
      </c>
      <c r="AM18" s="23">
        <f xml:space="preserve">  Time!AM$220</f>
        <v>1.2395008894596742</v>
      </c>
      <c r="AN18" s="23">
        <f xml:space="preserve">  Time!AN$220</f>
        <v>1.2696106246859442</v>
      </c>
      <c r="AO18" s="23">
        <f xml:space="preserve">  Time!AO$220</f>
        <v>1.2696106246859442</v>
      </c>
      <c r="AP18" s="23">
        <f xml:space="preserve">  Time!AP$220</f>
        <v>1.2696106246859442</v>
      </c>
      <c r="AQ18" s="23">
        <f xml:space="preserve">  Time!AQ$220</f>
        <v>1.3005297300923371</v>
      </c>
      <c r="AR18" s="23">
        <f xml:space="preserve">  Time!AR$220</f>
        <v>1.3005297300923371</v>
      </c>
      <c r="AS18" s="23">
        <f xml:space="preserve">  Time!AS$220</f>
        <v>1.3005297300923371</v>
      </c>
      <c r="AT18" s="23">
        <f xml:space="preserve">  Time!AT$220</f>
        <v>1.3310868322979301</v>
      </c>
      <c r="AU18" s="23">
        <f xml:space="preserve">  Time!AU$220</f>
        <v>1.3310868322979301</v>
      </c>
      <c r="AV18" s="23">
        <f xml:space="preserve">  Time!AV$220</f>
        <v>1.3310868322979301</v>
      </c>
      <c r="AW18" s="23">
        <f xml:space="preserve">  Time!AW$220</f>
        <v>1.3634288231296141</v>
      </c>
      <c r="AX18" s="23">
        <f xml:space="preserve">  Time!AX$220</f>
        <v>1.3634288231296141</v>
      </c>
      <c r="AY18" s="23">
        <f xml:space="preserve">  Time!AY$220</f>
        <v>1.3634288231296141</v>
      </c>
      <c r="AZ18" s="23">
        <f xml:space="preserve">  Time!AZ$220</f>
        <v>1.396556641260897</v>
      </c>
      <c r="BA18" s="23">
        <f xml:space="preserve">  Time!BA$220</f>
        <v>1.396556641260897</v>
      </c>
      <c r="BB18" s="23">
        <f xml:space="preserve">  Time!BB$220</f>
        <v>1.396556641260897</v>
      </c>
      <c r="BC18" s="23">
        <f xml:space="preserve">  Time!BC$220</f>
        <v>1.4305594995961339</v>
      </c>
      <c r="BD18" s="23">
        <f xml:space="preserve">  Time!BD$220</f>
        <v>1.4305594995961339</v>
      </c>
      <c r="BE18" s="23">
        <f xml:space="preserve">  Time!BE$220</f>
        <v>1.4305594995961339</v>
      </c>
      <c r="BF18" s="23">
        <f xml:space="preserve">  Time!BF$220</f>
        <v>1.4641764223856168</v>
      </c>
      <c r="BG18" s="23">
        <f xml:space="preserve">  Time!BG$220</f>
        <v>1.4641764223856168</v>
      </c>
      <c r="BH18" s="23">
        <f xml:space="preserve">  Time!BH$220</f>
        <v>1.4641764223856168</v>
      </c>
      <c r="BI18" s="23">
        <f xml:space="preserve">  Time!BI$220</f>
        <v>1.4997570778119578</v>
      </c>
      <c r="BJ18" s="23">
        <f xml:space="preserve">  Time!BJ$220</f>
        <v>1.4997570778119578</v>
      </c>
      <c r="BK18" s="23">
        <f xml:space="preserve">  Time!BK$220</f>
        <v>1.4997570778119578</v>
      </c>
      <c r="BL18" s="23">
        <f xml:space="preserve">  Time!BL$220</f>
        <v>1.5362023715572966</v>
      </c>
      <c r="BM18" s="23">
        <f xml:space="preserve">  Time!BM$220</f>
        <v>1.5362023715572966</v>
      </c>
      <c r="BN18" s="23">
        <f xml:space="preserve">  Time!BN$220</f>
        <v>1.5362023715572966</v>
      </c>
      <c r="BO18" s="23">
        <f xml:space="preserve">  Time!BO$220</f>
        <v>1.5732730008629947</v>
      </c>
      <c r="BP18" s="23">
        <f xml:space="preserve">  Time!BP$220</f>
        <v>1.5732730008629947</v>
      </c>
      <c r="BQ18" s="23">
        <f xml:space="preserve">  Time!BQ$220</f>
        <v>1.5732730008629947</v>
      </c>
    </row>
    <row r="19" spans="1:69" outlineLevel="1">
      <c r="A19" s="36"/>
      <c r="B19" s="36"/>
      <c r="C19" s="65"/>
      <c r="D19" s="64"/>
      <c r="E19" s="21" t="s">
        <v>87</v>
      </c>
      <c r="F19" s="21"/>
      <c r="G19" s="21" t="s">
        <v>252</v>
      </c>
      <c r="H19" s="3">
        <f t="shared" ref="H19:H20" si="3" xml:space="preserve"> SUM( J19:BQ19 )</f>
        <v>3419071.4947073567</v>
      </c>
      <c r="I19" s="21"/>
      <c r="J19" s="3">
        <f t="shared" ref="J19:BQ19" si="4" xml:space="preserve">  J18 * $F17</f>
        <v>45000</v>
      </c>
      <c r="K19" s="3">
        <f t="shared" si="4"/>
        <v>45000</v>
      </c>
      <c r="L19" s="3">
        <f t="shared" si="4"/>
        <v>45000</v>
      </c>
      <c r="M19" s="3">
        <f t="shared" si="4"/>
        <v>46094.142332421929</v>
      </c>
      <c r="N19" s="3">
        <f t="shared" si="4"/>
        <v>46094.142332421929</v>
      </c>
      <c r="O19" s="3">
        <f t="shared" si="4"/>
        <v>46094.142332421929</v>
      </c>
      <c r="P19" s="3">
        <f t="shared" si="4"/>
        <v>47214.887941368259</v>
      </c>
      <c r="Q19" s="3">
        <f t="shared" si="4"/>
        <v>47214.887941368259</v>
      </c>
      <c r="R19" s="3">
        <f t="shared" si="4"/>
        <v>47214.887941368259</v>
      </c>
      <c r="S19" s="3">
        <f t="shared" si="4"/>
        <v>48362.883666195121</v>
      </c>
      <c r="T19" s="3">
        <f t="shared" si="4"/>
        <v>48362.883666195121</v>
      </c>
      <c r="U19" s="3">
        <f t="shared" si="4"/>
        <v>48362.883666195121</v>
      </c>
      <c r="V19" s="3">
        <f t="shared" si="4"/>
        <v>49500.000000000007</v>
      </c>
      <c r="W19" s="3">
        <f t="shared" si="4"/>
        <v>49500.000000000007</v>
      </c>
      <c r="X19" s="3">
        <f t="shared" si="4"/>
        <v>49500.000000000007</v>
      </c>
      <c r="Y19" s="3">
        <f t="shared" si="4"/>
        <v>50708.501394855797</v>
      </c>
      <c r="Z19" s="3">
        <f t="shared" si="4"/>
        <v>50708.501394855797</v>
      </c>
      <c r="AA19" s="3">
        <f t="shared" si="4"/>
        <v>50708.501394855797</v>
      </c>
      <c r="AB19" s="3">
        <f t="shared" si="4"/>
        <v>51939.73483307648</v>
      </c>
      <c r="AC19" s="3">
        <f t="shared" si="4"/>
        <v>51939.73483307648</v>
      </c>
      <c r="AD19" s="3">
        <f t="shared" si="4"/>
        <v>51939.73483307648</v>
      </c>
      <c r="AE19" s="3">
        <f t="shared" si="4"/>
        <v>53204.926698313757</v>
      </c>
      <c r="AF19" s="3">
        <f t="shared" si="4"/>
        <v>53204.926698313757</v>
      </c>
      <c r="AG19" s="3">
        <f t="shared" si="4"/>
        <v>53204.926698313757</v>
      </c>
      <c r="AH19" s="3">
        <f t="shared" si="4"/>
        <v>54454.735278236491</v>
      </c>
      <c r="AI19" s="3">
        <f t="shared" si="4"/>
        <v>54454.735278236491</v>
      </c>
      <c r="AJ19" s="3">
        <f t="shared" si="4"/>
        <v>54454.735278236491</v>
      </c>
      <c r="AK19" s="3">
        <f t="shared" si="4"/>
        <v>55777.540025685339</v>
      </c>
      <c r="AL19" s="3">
        <f t="shared" si="4"/>
        <v>55777.540025685339</v>
      </c>
      <c r="AM19" s="3">
        <f t="shared" si="4"/>
        <v>55777.540025685339</v>
      </c>
      <c r="AN19" s="3">
        <f t="shared" si="4"/>
        <v>57132.478110867487</v>
      </c>
      <c r="AO19" s="3">
        <f t="shared" si="4"/>
        <v>57132.478110867487</v>
      </c>
      <c r="AP19" s="3">
        <f t="shared" si="4"/>
        <v>57132.478110867487</v>
      </c>
      <c r="AQ19" s="3">
        <f t="shared" si="4"/>
        <v>58523.837854155172</v>
      </c>
      <c r="AR19" s="3">
        <f t="shared" si="4"/>
        <v>58523.837854155172</v>
      </c>
      <c r="AS19" s="3">
        <f t="shared" si="4"/>
        <v>58523.837854155172</v>
      </c>
      <c r="AT19" s="3">
        <f t="shared" si="4"/>
        <v>59898.907453406857</v>
      </c>
      <c r="AU19" s="3">
        <f t="shared" si="4"/>
        <v>59898.907453406857</v>
      </c>
      <c r="AV19" s="3">
        <f t="shared" si="4"/>
        <v>59898.907453406857</v>
      </c>
      <c r="AW19" s="3">
        <f t="shared" si="4"/>
        <v>61354.297040832636</v>
      </c>
      <c r="AX19" s="3">
        <f t="shared" si="4"/>
        <v>61354.297040832636</v>
      </c>
      <c r="AY19" s="3">
        <f t="shared" si="4"/>
        <v>61354.297040832636</v>
      </c>
      <c r="AZ19" s="3">
        <f t="shared" si="4"/>
        <v>62845.048856740366</v>
      </c>
      <c r="BA19" s="3">
        <f t="shared" si="4"/>
        <v>62845.048856740366</v>
      </c>
      <c r="BB19" s="3">
        <f t="shared" si="4"/>
        <v>62845.048856740366</v>
      </c>
      <c r="BC19" s="3">
        <f t="shared" si="4"/>
        <v>64375.177481826024</v>
      </c>
      <c r="BD19" s="3">
        <f t="shared" si="4"/>
        <v>64375.177481826024</v>
      </c>
      <c r="BE19" s="3">
        <f t="shared" si="4"/>
        <v>64375.177481826024</v>
      </c>
      <c r="BF19" s="3">
        <f t="shared" si="4"/>
        <v>65887.939007352761</v>
      </c>
      <c r="BG19" s="3">
        <f t="shared" si="4"/>
        <v>65887.939007352761</v>
      </c>
      <c r="BH19" s="3">
        <f t="shared" si="4"/>
        <v>65887.939007352761</v>
      </c>
      <c r="BI19" s="3">
        <f t="shared" si="4"/>
        <v>67489.068501538102</v>
      </c>
      <c r="BJ19" s="3">
        <f t="shared" si="4"/>
        <v>67489.068501538102</v>
      </c>
      <c r="BK19" s="3">
        <f t="shared" si="4"/>
        <v>67489.068501538102</v>
      </c>
      <c r="BL19" s="3">
        <f t="shared" si="4"/>
        <v>69129.106720078344</v>
      </c>
      <c r="BM19" s="3">
        <f t="shared" si="4"/>
        <v>69129.106720078344</v>
      </c>
      <c r="BN19" s="3">
        <f t="shared" si="4"/>
        <v>69129.106720078344</v>
      </c>
      <c r="BO19" s="3">
        <f t="shared" si="4"/>
        <v>70797.285038834758</v>
      </c>
      <c r="BP19" s="3">
        <f t="shared" si="4"/>
        <v>70797.285038834758</v>
      </c>
      <c r="BQ19" s="3">
        <f t="shared" si="4"/>
        <v>70797.285038834758</v>
      </c>
    </row>
    <row r="20" spans="1:69" outlineLevel="1">
      <c r="A20" s="36"/>
      <c r="B20" s="36"/>
      <c r="C20" s="65"/>
      <c r="D20" s="64"/>
      <c r="E20" s="21" t="str">
        <f xml:space="preserve"> LEFT($E$19, LEN($E$19) - 3 )</f>
        <v xml:space="preserve">Fixed operating expense </v>
      </c>
      <c r="F20" s="21"/>
      <c r="G20" s="21" t="str">
        <f xml:space="preserve"> G$19</f>
        <v>GBP</v>
      </c>
      <c r="H20" s="3">
        <f t="shared" si="3"/>
        <v>-3419071.4947073567</v>
      </c>
      <c r="I20" s="21"/>
      <c r="J20" s="3">
        <f t="shared" ref="J20:BQ20" si="5" xml:space="preserve"> -1 * J19</f>
        <v>-45000</v>
      </c>
      <c r="K20" s="3">
        <f t="shared" si="5"/>
        <v>-45000</v>
      </c>
      <c r="L20" s="3">
        <f t="shared" si="5"/>
        <v>-45000</v>
      </c>
      <c r="M20" s="3">
        <f t="shared" si="5"/>
        <v>-46094.142332421929</v>
      </c>
      <c r="N20" s="3">
        <f t="shared" si="5"/>
        <v>-46094.142332421929</v>
      </c>
      <c r="O20" s="3">
        <f t="shared" si="5"/>
        <v>-46094.142332421929</v>
      </c>
      <c r="P20" s="3">
        <f t="shared" si="5"/>
        <v>-47214.887941368259</v>
      </c>
      <c r="Q20" s="3">
        <f t="shared" si="5"/>
        <v>-47214.887941368259</v>
      </c>
      <c r="R20" s="3">
        <f t="shared" si="5"/>
        <v>-47214.887941368259</v>
      </c>
      <c r="S20" s="3">
        <f t="shared" si="5"/>
        <v>-48362.883666195121</v>
      </c>
      <c r="T20" s="3">
        <f t="shared" si="5"/>
        <v>-48362.883666195121</v>
      </c>
      <c r="U20" s="3">
        <f t="shared" si="5"/>
        <v>-48362.883666195121</v>
      </c>
      <c r="V20" s="3">
        <f t="shared" si="5"/>
        <v>-49500.000000000007</v>
      </c>
      <c r="W20" s="3">
        <f t="shared" si="5"/>
        <v>-49500.000000000007</v>
      </c>
      <c r="X20" s="3">
        <f t="shared" si="5"/>
        <v>-49500.000000000007</v>
      </c>
      <c r="Y20" s="3">
        <f t="shared" si="5"/>
        <v>-50708.501394855797</v>
      </c>
      <c r="Z20" s="3">
        <f t="shared" si="5"/>
        <v>-50708.501394855797</v>
      </c>
      <c r="AA20" s="3">
        <f t="shared" si="5"/>
        <v>-50708.501394855797</v>
      </c>
      <c r="AB20" s="3">
        <f t="shared" si="5"/>
        <v>-51939.73483307648</v>
      </c>
      <c r="AC20" s="3">
        <f t="shared" si="5"/>
        <v>-51939.73483307648</v>
      </c>
      <c r="AD20" s="3">
        <f t="shared" si="5"/>
        <v>-51939.73483307648</v>
      </c>
      <c r="AE20" s="3">
        <f t="shared" si="5"/>
        <v>-53204.926698313757</v>
      </c>
      <c r="AF20" s="3">
        <f t="shared" si="5"/>
        <v>-53204.926698313757</v>
      </c>
      <c r="AG20" s="3">
        <f t="shared" si="5"/>
        <v>-53204.926698313757</v>
      </c>
      <c r="AH20" s="3">
        <f t="shared" si="5"/>
        <v>-54454.735278236491</v>
      </c>
      <c r="AI20" s="3">
        <f t="shared" si="5"/>
        <v>-54454.735278236491</v>
      </c>
      <c r="AJ20" s="3">
        <f t="shared" si="5"/>
        <v>-54454.735278236491</v>
      </c>
      <c r="AK20" s="3">
        <f t="shared" si="5"/>
        <v>-55777.540025685339</v>
      </c>
      <c r="AL20" s="3">
        <f t="shared" si="5"/>
        <v>-55777.540025685339</v>
      </c>
      <c r="AM20" s="3">
        <f t="shared" si="5"/>
        <v>-55777.540025685339</v>
      </c>
      <c r="AN20" s="3">
        <f t="shared" si="5"/>
        <v>-57132.478110867487</v>
      </c>
      <c r="AO20" s="3">
        <f t="shared" si="5"/>
        <v>-57132.478110867487</v>
      </c>
      <c r="AP20" s="3">
        <f t="shared" si="5"/>
        <v>-57132.478110867487</v>
      </c>
      <c r="AQ20" s="3">
        <f t="shared" si="5"/>
        <v>-58523.837854155172</v>
      </c>
      <c r="AR20" s="3">
        <f t="shared" si="5"/>
        <v>-58523.837854155172</v>
      </c>
      <c r="AS20" s="3">
        <f t="shared" si="5"/>
        <v>-58523.837854155172</v>
      </c>
      <c r="AT20" s="3">
        <f t="shared" si="5"/>
        <v>-59898.907453406857</v>
      </c>
      <c r="AU20" s="3">
        <f t="shared" si="5"/>
        <v>-59898.907453406857</v>
      </c>
      <c r="AV20" s="3">
        <f t="shared" si="5"/>
        <v>-59898.907453406857</v>
      </c>
      <c r="AW20" s="3">
        <f t="shared" si="5"/>
        <v>-61354.297040832636</v>
      </c>
      <c r="AX20" s="3">
        <f t="shared" si="5"/>
        <v>-61354.297040832636</v>
      </c>
      <c r="AY20" s="3">
        <f t="shared" si="5"/>
        <v>-61354.297040832636</v>
      </c>
      <c r="AZ20" s="3">
        <f t="shared" si="5"/>
        <v>-62845.048856740366</v>
      </c>
      <c r="BA20" s="3">
        <f t="shared" si="5"/>
        <v>-62845.048856740366</v>
      </c>
      <c r="BB20" s="3">
        <f t="shared" si="5"/>
        <v>-62845.048856740366</v>
      </c>
      <c r="BC20" s="3">
        <f t="shared" si="5"/>
        <v>-64375.177481826024</v>
      </c>
      <c r="BD20" s="3">
        <f t="shared" si="5"/>
        <v>-64375.177481826024</v>
      </c>
      <c r="BE20" s="3">
        <f t="shared" si="5"/>
        <v>-64375.177481826024</v>
      </c>
      <c r="BF20" s="3">
        <f t="shared" si="5"/>
        <v>-65887.939007352761</v>
      </c>
      <c r="BG20" s="3">
        <f t="shared" si="5"/>
        <v>-65887.939007352761</v>
      </c>
      <c r="BH20" s="3">
        <f t="shared" si="5"/>
        <v>-65887.939007352761</v>
      </c>
      <c r="BI20" s="3">
        <f t="shared" si="5"/>
        <v>-67489.068501538102</v>
      </c>
      <c r="BJ20" s="3">
        <f t="shared" si="5"/>
        <v>-67489.068501538102</v>
      </c>
      <c r="BK20" s="3">
        <f t="shared" si="5"/>
        <v>-67489.068501538102</v>
      </c>
      <c r="BL20" s="3">
        <f t="shared" si="5"/>
        <v>-69129.106720078344</v>
      </c>
      <c r="BM20" s="3">
        <f t="shared" si="5"/>
        <v>-69129.106720078344</v>
      </c>
      <c r="BN20" s="3">
        <f t="shared" si="5"/>
        <v>-69129.106720078344</v>
      </c>
      <c r="BO20" s="3">
        <f t="shared" si="5"/>
        <v>-70797.285038834758</v>
      </c>
      <c r="BP20" s="3">
        <f t="shared" si="5"/>
        <v>-70797.285038834758</v>
      </c>
      <c r="BQ20" s="3">
        <f t="shared" si="5"/>
        <v>-70797.285038834758</v>
      </c>
    </row>
    <row r="23" spans="1:69">
      <c r="B23" s="27" t="s">
        <v>80</v>
      </c>
    </row>
    <row r="24" spans="1:69" outlineLevel="1">
      <c r="A24" s="18"/>
      <c r="B24" s="18"/>
      <c r="C24" s="30"/>
      <c r="D24" s="31"/>
      <c r="E24" s="44" t="str">
        <f xml:space="preserve">  InpC!E$28</f>
        <v>Variable Operating Costs as a % of sales</v>
      </c>
      <c r="F24" s="44">
        <f xml:space="preserve">  InpC!F$28</f>
        <v>0.05</v>
      </c>
      <c r="G24" s="44" t="str">
        <f xml:space="preserve">  InpC!G$28</f>
        <v>%</v>
      </c>
      <c r="M24" s="58"/>
    </row>
    <row r="25" spans="1:69" outlineLevel="1">
      <c r="A25" s="18"/>
      <c r="B25" s="18"/>
      <c r="C25" s="30"/>
      <c r="D25" s="31"/>
      <c r="E25" s="4" t="str">
        <f xml:space="preserve">  Customers!E$40</f>
        <v>Sales</v>
      </c>
      <c r="F25" s="4">
        <f xml:space="preserve">  Customers!F$40</f>
        <v>0</v>
      </c>
      <c r="G25" s="4" t="str">
        <f xml:space="preserve">  Customers!G$40</f>
        <v>GBP</v>
      </c>
      <c r="H25" s="4">
        <f ca="1" xml:space="preserve">  Customers!H$40</f>
        <v>90510341.89369148</v>
      </c>
      <c r="I25" s="4">
        <f xml:space="preserve">  Customers!I$40</f>
        <v>0</v>
      </c>
      <c r="J25" s="4">
        <f ca="1" xml:space="preserve">  Customers!J$40</f>
        <v>144000</v>
      </c>
      <c r="K25" s="4">
        <f ca="1" xml:space="preserve">  Customers!K$40</f>
        <v>152731.78351605101</v>
      </c>
      <c r="L25" s="4">
        <f ca="1" xml:space="preserve">  Customers!L$40</f>
        <v>161685.70128264476</v>
      </c>
      <c r="M25" s="4">
        <f ca="1" xml:space="preserve">  Customers!M$40</f>
        <v>171489.89948570688</v>
      </c>
      <c r="N25" s="4">
        <f ca="1" xml:space="preserve">  Customers!N$40</f>
        <v>181888.59863500224</v>
      </c>
      <c r="O25" s="4">
        <f ca="1" xml:space="preserve">  Customers!O$40</f>
        <v>192551.83792525536</v>
      </c>
      <c r="P25" s="4">
        <f ca="1" xml:space="preserve">  Customers!P$40</f>
        <v>204227.67795567942</v>
      </c>
      <c r="Q25" s="4">
        <f ca="1" xml:space="preserve">  Customers!Q$40</f>
        <v>216200.54825143795</v>
      </c>
      <c r="R25" s="4">
        <f ca="1" xml:space="preserve">  Customers!R$40</f>
        <v>229310.38424715391</v>
      </c>
      <c r="S25" s="4">
        <f ca="1" xml:space="preserve">  Customers!S$40</f>
        <v>243215.16642235266</v>
      </c>
      <c r="T25" s="4">
        <f ca="1" xml:space="preserve">  Customers!T$40</f>
        <v>256578.83082441773</v>
      </c>
      <c r="U25" s="4">
        <f ca="1" xml:space="preserve">  Customers!U$40</f>
        <v>272093.33136727469</v>
      </c>
      <c r="V25" s="4">
        <f ca="1" xml:space="preserve">  Customers!V$40</f>
        <v>288000</v>
      </c>
      <c r="W25" s="4">
        <f ca="1" xml:space="preserve">  Customers!W$40</f>
        <v>305728.72796249378</v>
      </c>
      <c r="X25" s="4">
        <f ca="1" xml:space="preserve">  Customers!X$40</f>
        <v>323626.88551196276</v>
      </c>
      <c r="Y25" s="4">
        <f ca="1" xml:space="preserve">  Customers!Y$40</f>
        <v>343223.1316413004</v>
      </c>
      <c r="Z25" s="4">
        <f ca="1" xml:space="preserve">  Customers!Z$40</f>
        <v>364005.96911873994</v>
      </c>
      <c r="AA25" s="4">
        <f ca="1" xml:space="preserve">  Customers!AA$40</f>
        <v>385315.8284428973</v>
      </c>
      <c r="AB25" s="4">
        <f ca="1" xml:space="preserve">  Customers!AB$40</f>
        <v>408647.46172099089</v>
      </c>
      <c r="AC25" s="4">
        <f ca="1" xml:space="preserve">  Customers!AC$40</f>
        <v>432570.75051631196</v>
      </c>
      <c r="AD25" s="4">
        <f ca="1" xml:space="preserve">  Customers!AD$40</f>
        <v>459006.33561541431</v>
      </c>
      <c r="AE25" s="4">
        <f ca="1" xml:space="preserve">  Customers!AE$40</f>
        <v>486813.13059150928</v>
      </c>
      <c r="AF25" s="4">
        <f ca="1" xml:space="preserve">  Customers!AF$40</f>
        <v>513374.06601691537</v>
      </c>
      <c r="AG25" s="4">
        <f ca="1" xml:space="preserve">  Customers!AG$40</f>
        <v>544474.48074351577</v>
      </c>
      <c r="AH25" s="4">
        <f ca="1" xml:space="preserve">  Customers!AH$40</f>
        <v>705964.39694621228</v>
      </c>
      <c r="AI25" s="4">
        <f ca="1" xml:space="preserve">  Customers!AI$40</f>
        <v>748739.39731883316</v>
      </c>
      <c r="AJ25" s="4">
        <f ca="1" xml:space="preserve">  Customers!AJ$40</f>
        <v>792600.69079844211</v>
      </c>
      <c r="AK25" s="4">
        <f ca="1" xml:space="preserve">  Customers!AK$40</f>
        <v>840625.06071834848</v>
      </c>
      <c r="AL25" s="4">
        <f ca="1" xml:space="preserve">  Customers!AL$40</f>
        <v>891559.26965123916</v>
      </c>
      <c r="AM25" s="4">
        <f ca="1" xml:space="preserve">  Customers!AM$40</f>
        <v>943786.97904966772</v>
      </c>
      <c r="AN25" s="4">
        <f ca="1" xml:space="preserve">  Customers!AN$40</f>
        <v>1000971.8598502229</v>
      </c>
      <c r="AO25" s="4">
        <f ca="1" xml:space="preserve">  Customers!AO$40</f>
        <v>1059608.9801964266</v>
      </c>
      <c r="AP25" s="4">
        <f ca="1" xml:space="preserve">  Customers!AP$40</f>
        <v>1124199.3047167214</v>
      </c>
      <c r="AQ25" s="4">
        <f ca="1" xml:space="preserve">  Customers!AQ$40</f>
        <v>1192328.586656197</v>
      </c>
      <c r="AR25" s="4">
        <f ca="1" xml:space="preserve">  Customers!AR$40</f>
        <v>1257479.7590464526</v>
      </c>
      <c r="AS25" s="4">
        <f ca="1" xml:space="preserve">  Customers!AS$40</f>
        <v>1333646.7800789829</v>
      </c>
      <c r="AT25" s="4">
        <f ca="1" xml:space="preserve">  Customers!AT$40</f>
        <v>1411746.6769341626</v>
      </c>
      <c r="AU25" s="4">
        <f ca="1" xml:space="preserve">  Customers!AU$40</f>
        <v>1497540.6931030371</v>
      </c>
      <c r="AV25" s="4">
        <f ca="1" xml:space="preserve">  Customers!AV$40</f>
        <v>1585261.0219687682</v>
      </c>
      <c r="AW25" s="4">
        <f ca="1" xml:space="preserve">  Customers!AW$40</f>
        <v>1681306.9265193231</v>
      </c>
      <c r="AX25" s="4">
        <f ca="1" xml:space="preserve">  Customers!AX$40</f>
        <v>1783171.9462436785</v>
      </c>
      <c r="AY25" s="4">
        <f ca="1" xml:space="preserve">  Customers!AY$40</f>
        <v>1887623.4861854594</v>
      </c>
      <c r="AZ25" s="4">
        <f ca="1" xml:space="preserve">  Customers!AZ$40</f>
        <v>2001988.5686268944</v>
      </c>
      <c r="BA25" s="4">
        <f ca="1" xml:space="preserve">  Customers!BA$40</f>
        <v>2119257.5684711263</v>
      </c>
      <c r="BB25" s="4">
        <f ca="1" xml:space="preserve">  Customers!BB$40</f>
        <v>2248514.3194654267</v>
      </c>
      <c r="BC25" s="4">
        <f ca="1" xml:space="preserve">  Customers!BC$40</f>
        <v>2384772.0544056888</v>
      </c>
      <c r="BD25" s="4">
        <f ca="1" xml:space="preserve">  Customers!BD$40</f>
        <v>2514927.0477343956</v>
      </c>
      <c r="BE25" s="4">
        <f ca="1" xml:space="preserve">  Customers!BE$40</f>
        <v>2667329.1298056832</v>
      </c>
      <c r="BF25" s="4">
        <f ca="1" xml:space="preserve">  Customers!BF$40</f>
        <v>2823602.7186174272</v>
      </c>
      <c r="BG25" s="4">
        <f ca="1" xml:space="preserve">  Customers!BG$40</f>
        <v>2994710.2402737383</v>
      </c>
      <c r="BH25" s="4">
        <f ca="1" xml:space="preserve">  Customers!BH$40</f>
        <v>3170164.4474740345</v>
      </c>
      <c r="BI25" s="4">
        <f ca="1" xml:space="preserve">  Customers!BI$40</f>
        <v>3362273.266312262</v>
      </c>
      <c r="BJ25" s="4">
        <f ca="1" xml:space="preserve">  Customers!BJ$40</f>
        <v>3566023.6891330611</v>
      </c>
      <c r="BK25" s="4">
        <f ca="1" xml:space="preserve">  Customers!BK$40</f>
        <v>3774950.0330127231</v>
      </c>
      <c r="BL25" s="4">
        <f ca="1" xml:space="preserve">  Customers!BL$40</f>
        <v>4003708.2588510769</v>
      </c>
      <c r="BM25" s="4">
        <f ca="1" xml:space="preserve">  Customers!BM$40</f>
        <v>4238277.6850222051</v>
      </c>
      <c r="BN25" s="4">
        <f ca="1" xml:space="preserve">  Customers!BN$40</f>
        <v>4491128.2687327787</v>
      </c>
      <c r="BO25" s="4">
        <f ca="1" xml:space="preserve">  Customers!BO$40</f>
        <v>4763214.4460546756</v>
      </c>
      <c r="BP25" s="4">
        <f ca="1" xml:space="preserve">  Customers!BP$40</f>
        <v>5030895.4583093515</v>
      </c>
      <c r="BQ25" s="4">
        <f ca="1" xml:space="preserve">  Customers!BQ$40</f>
        <v>5335682.3496117182</v>
      </c>
    </row>
    <row r="26" spans="1:69" outlineLevel="1">
      <c r="A26" s="36"/>
      <c r="B26" s="36"/>
      <c r="C26" s="65"/>
      <c r="D26" s="64"/>
      <c r="E26" s="21" t="s">
        <v>88</v>
      </c>
      <c r="F26" s="21"/>
      <c r="G26" s="21" t="s">
        <v>252</v>
      </c>
      <c r="H26" s="3">
        <f t="shared" ref="H26:H27" ca="1" si="6" xml:space="preserve"> SUM( J26:BQ26 )</f>
        <v>4525517.0946845738</v>
      </c>
      <c r="I26" s="21"/>
      <c r="J26" s="3">
        <f t="shared" ref="J26:BQ26" ca="1" si="7" xml:space="preserve">  J25 * $F24</f>
        <v>7200</v>
      </c>
      <c r="K26" s="3">
        <f t="shared" ca="1" si="7"/>
        <v>7636.5891758025509</v>
      </c>
      <c r="L26" s="3">
        <f t="shared" ca="1" si="7"/>
        <v>8084.2850641322384</v>
      </c>
      <c r="M26" s="3">
        <f t="shared" ca="1" si="7"/>
        <v>8574.4949742853441</v>
      </c>
      <c r="N26" s="3">
        <f t="shared" ca="1" si="7"/>
        <v>9094.4299317501118</v>
      </c>
      <c r="O26" s="3">
        <f t="shared" ca="1" si="7"/>
        <v>9627.5918962627675</v>
      </c>
      <c r="P26" s="3">
        <f t="shared" ca="1" si="7"/>
        <v>10211.383897783971</v>
      </c>
      <c r="Q26" s="3">
        <f t="shared" ca="1" si="7"/>
        <v>10810.027412571899</v>
      </c>
      <c r="R26" s="3">
        <f t="shared" ca="1" si="7"/>
        <v>11465.519212357696</v>
      </c>
      <c r="S26" s="3">
        <f t="shared" ca="1" si="7"/>
        <v>12160.758321117633</v>
      </c>
      <c r="T26" s="3">
        <f t="shared" ca="1" si="7"/>
        <v>12828.941541220887</v>
      </c>
      <c r="U26" s="3">
        <f t="shared" ca="1" si="7"/>
        <v>13604.666568363735</v>
      </c>
      <c r="V26" s="3">
        <f t="shared" ca="1" si="7"/>
        <v>14400</v>
      </c>
      <c r="W26" s="3">
        <f t="shared" ca="1" si="7"/>
        <v>15286.43639812469</v>
      </c>
      <c r="X26" s="3">
        <f t="shared" ca="1" si="7"/>
        <v>16181.344275598138</v>
      </c>
      <c r="Y26" s="3">
        <f t="shared" ca="1" si="7"/>
        <v>17161.156582065021</v>
      </c>
      <c r="Z26" s="3">
        <f t="shared" ca="1" si="7"/>
        <v>18200.298455936998</v>
      </c>
      <c r="AA26" s="3">
        <f t="shared" ca="1" si="7"/>
        <v>19265.791422144866</v>
      </c>
      <c r="AB26" s="3">
        <f t="shared" ca="1" si="7"/>
        <v>20432.373086049545</v>
      </c>
      <c r="AC26" s="3">
        <f t="shared" ca="1" si="7"/>
        <v>21628.537525815598</v>
      </c>
      <c r="AD26" s="3">
        <f t="shared" ca="1" si="7"/>
        <v>22950.316780770718</v>
      </c>
      <c r="AE26" s="3">
        <f t="shared" ca="1" si="7"/>
        <v>24340.656529575466</v>
      </c>
      <c r="AF26" s="3">
        <f t="shared" ca="1" si="7"/>
        <v>25668.703300845769</v>
      </c>
      <c r="AG26" s="3">
        <f t="shared" ca="1" si="7"/>
        <v>27223.724037175791</v>
      </c>
      <c r="AH26" s="3">
        <f t="shared" ca="1" si="7"/>
        <v>35298.219847310618</v>
      </c>
      <c r="AI26" s="3">
        <f t="shared" ca="1" si="7"/>
        <v>37436.969865941661</v>
      </c>
      <c r="AJ26" s="3">
        <f t="shared" ca="1" si="7"/>
        <v>39630.034539922111</v>
      </c>
      <c r="AK26" s="3">
        <f t="shared" ca="1" si="7"/>
        <v>42031.253035917427</v>
      </c>
      <c r="AL26" s="3">
        <f t="shared" ca="1" si="7"/>
        <v>44577.963482561958</v>
      </c>
      <c r="AM26" s="3">
        <f t="shared" ca="1" si="7"/>
        <v>47189.348952483386</v>
      </c>
      <c r="AN26" s="3">
        <f t="shared" ca="1" si="7"/>
        <v>50048.592992511149</v>
      </c>
      <c r="AO26" s="3">
        <f t="shared" ca="1" si="7"/>
        <v>52980.449009821335</v>
      </c>
      <c r="AP26" s="3">
        <f t="shared" ca="1" si="7"/>
        <v>56209.965235836076</v>
      </c>
      <c r="AQ26" s="3">
        <f t="shared" ca="1" si="7"/>
        <v>59616.42933280985</v>
      </c>
      <c r="AR26" s="3">
        <f t="shared" ca="1" si="7"/>
        <v>62873.987952322634</v>
      </c>
      <c r="AS26" s="3">
        <f t="shared" ca="1" si="7"/>
        <v>66682.33900394915</v>
      </c>
      <c r="AT26" s="3">
        <f t="shared" ca="1" si="7"/>
        <v>70587.333846708134</v>
      </c>
      <c r="AU26" s="3">
        <f t="shared" ca="1" si="7"/>
        <v>74877.03465515186</v>
      </c>
      <c r="AV26" s="3">
        <f t="shared" ca="1" si="7"/>
        <v>79263.051098438416</v>
      </c>
      <c r="AW26" s="3">
        <f t="shared" ca="1" si="7"/>
        <v>84065.346325966166</v>
      </c>
      <c r="AX26" s="3">
        <f t="shared" ca="1" si="7"/>
        <v>89158.597312183934</v>
      </c>
      <c r="AY26" s="3">
        <f t="shared" ca="1" si="7"/>
        <v>94381.174309272974</v>
      </c>
      <c r="AZ26" s="3">
        <f t="shared" ca="1" si="7"/>
        <v>100099.42843134473</v>
      </c>
      <c r="BA26" s="3">
        <f t="shared" ca="1" si="7"/>
        <v>105962.87842355632</v>
      </c>
      <c r="BB26" s="3">
        <f t="shared" ca="1" si="7"/>
        <v>112425.71597327135</v>
      </c>
      <c r="BC26" s="3">
        <f t="shared" ca="1" si="7"/>
        <v>119238.60272028444</v>
      </c>
      <c r="BD26" s="3">
        <f t="shared" ca="1" si="7"/>
        <v>125746.35238671978</v>
      </c>
      <c r="BE26" s="3">
        <f t="shared" ca="1" si="7"/>
        <v>133366.45649028415</v>
      </c>
      <c r="BF26" s="3">
        <f t="shared" ca="1" si="7"/>
        <v>141180.13593087136</v>
      </c>
      <c r="BG26" s="3">
        <f t="shared" ca="1" si="7"/>
        <v>149735.51201368691</v>
      </c>
      <c r="BH26" s="3">
        <f t="shared" ca="1" si="7"/>
        <v>158508.22237370175</v>
      </c>
      <c r="BI26" s="3">
        <f t="shared" ca="1" si="7"/>
        <v>168113.66331561311</v>
      </c>
      <c r="BJ26" s="3">
        <f t="shared" ca="1" si="7"/>
        <v>178301.18445665308</v>
      </c>
      <c r="BK26" s="3">
        <f t="shared" ca="1" si="7"/>
        <v>188747.50165063617</v>
      </c>
      <c r="BL26" s="3">
        <f t="shared" ca="1" si="7"/>
        <v>200185.41294255387</v>
      </c>
      <c r="BM26" s="3">
        <f t="shared" ca="1" si="7"/>
        <v>211913.88425111026</v>
      </c>
      <c r="BN26" s="3">
        <f t="shared" ca="1" si="7"/>
        <v>224556.41343663895</v>
      </c>
      <c r="BO26" s="3">
        <f t="shared" ca="1" si="7"/>
        <v>238160.7223027338</v>
      </c>
      <c r="BP26" s="3">
        <f t="shared" ca="1" si="7"/>
        <v>251544.77291546759</v>
      </c>
      <c r="BQ26" s="3">
        <f t="shared" ca="1" si="7"/>
        <v>266784.11748058593</v>
      </c>
    </row>
    <row r="27" spans="1:69" outlineLevel="1">
      <c r="A27" s="36"/>
      <c r="B27" s="36"/>
      <c r="C27" s="65"/>
      <c r="D27" s="64"/>
      <c r="E27" s="21" t="str">
        <f xml:space="preserve"> LEFT($E$26, LEN($E$26) - 3 )</f>
        <v xml:space="preserve">Variable Operating expense </v>
      </c>
      <c r="F27" s="21"/>
      <c r="G27" s="21" t="str">
        <f xml:space="preserve"> G$26</f>
        <v>GBP</v>
      </c>
      <c r="H27" s="3">
        <f t="shared" ca="1" si="6"/>
        <v>-4525517.0946845738</v>
      </c>
      <c r="I27" s="21"/>
      <c r="J27" s="3">
        <f t="shared" ref="J27:BQ27" ca="1" si="8" xml:space="preserve"> -1 * J26</f>
        <v>-7200</v>
      </c>
      <c r="K27" s="3">
        <f t="shared" ca="1" si="8"/>
        <v>-7636.5891758025509</v>
      </c>
      <c r="L27" s="3">
        <f t="shared" ca="1" si="8"/>
        <v>-8084.2850641322384</v>
      </c>
      <c r="M27" s="3">
        <f t="shared" ca="1" si="8"/>
        <v>-8574.4949742853441</v>
      </c>
      <c r="N27" s="3">
        <f t="shared" ca="1" si="8"/>
        <v>-9094.4299317501118</v>
      </c>
      <c r="O27" s="3">
        <f t="shared" ca="1" si="8"/>
        <v>-9627.5918962627675</v>
      </c>
      <c r="P27" s="3">
        <f t="shared" ca="1" si="8"/>
        <v>-10211.383897783971</v>
      </c>
      <c r="Q27" s="3">
        <f t="shared" ca="1" si="8"/>
        <v>-10810.027412571899</v>
      </c>
      <c r="R27" s="3">
        <f t="shared" ca="1" si="8"/>
        <v>-11465.519212357696</v>
      </c>
      <c r="S27" s="3">
        <f t="shared" ca="1" si="8"/>
        <v>-12160.758321117633</v>
      </c>
      <c r="T27" s="3">
        <f t="shared" ca="1" si="8"/>
        <v>-12828.941541220887</v>
      </c>
      <c r="U27" s="3">
        <f t="shared" ca="1" si="8"/>
        <v>-13604.666568363735</v>
      </c>
      <c r="V27" s="3">
        <f t="shared" ca="1" si="8"/>
        <v>-14400</v>
      </c>
      <c r="W27" s="3">
        <f t="shared" ca="1" si="8"/>
        <v>-15286.43639812469</v>
      </c>
      <c r="X27" s="3">
        <f t="shared" ca="1" si="8"/>
        <v>-16181.344275598138</v>
      </c>
      <c r="Y27" s="3">
        <f t="shared" ca="1" si="8"/>
        <v>-17161.156582065021</v>
      </c>
      <c r="Z27" s="3">
        <f t="shared" ca="1" si="8"/>
        <v>-18200.298455936998</v>
      </c>
      <c r="AA27" s="3">
        <f t="shared" ca="1" si="8"/>
        <v>-19265.791422144866</v>
      </c>
      <c r="AB27" s="3">
        <f t="shared" ca="1" si="8"/>
        <v>-20432.373086049545</v>
      </c>
      <c r="AC27" s="3">
        <f t="shared" ca="1" si="8"/>
        <v>-21628.537525815598</v>
      </c>
      <c r="AD27" s="3">
        <f t="shared" ca="1" si="8"/>
        <v>-22950.316780770718</v>
      </c>
      <c r="AE27" s="3">
        <f t="shared" ca="1" si="8"/>
        <v>-24340.656529575466</v>
      </c>
      <c r="AF27" s="3">
        <f t="shared" ca="1" si="8"/>
        <v>-25668.703300845769</v>
      </c>
      <c r="AG27" s="3">
        <f t="shared" ca="1" si="8"/>
        <v>-27223.724037175791</v>
      </c>
      <c r="AH27" s="3">
        <f t="shared" ca="1" si="8"/>
        <v>-35298.219847310618</v>
      </c>
      <c r="AI27" s="3">
        <f t="shared" ca="1" si="8"/>
        <v>-37436.969865941661</v>
      </c>
      <c r="AJ27" s="3">
        <f t="shared" ca="1" si="8"/>
        <v>-39630.034539922111</v>
      </c>
      <c r="AK27" s="3">
        <f t="shared" ca="1" si="8"/>
        <v>-42031.253035917427</v>
      </c>
      <c r="AL27" s="3">
        <f t="shared" ca="1" si="8"/>
        <v>-44577.963482561958</v>
      </c>
      <c r="AM27" s="3">
        <f t="shared" ca="1" si="8"/>
        <v>-47189.348952483386</v>
      </c>
      <c r="AN27" s="3">
        <f t="shared" ca="1" si="8"/>
        <v>-50048.592992511149</v>
      </c>
      <c r="AO27" s="3">
        <f t="shared" ca="1" si="8"/>
        <v>-52980.449009821335</v>
      </c>
      <c r="AP27" s="3">
        <f t="shared" ca="1" si="8"/>
        <v>-56209.965235836076</v>
      </c>
      <c r="AQ27" s="3">
        <f t="shared" ca="1" si="8"/>
        <v>-59616.42933280985</v>
      </c>
      <c r="AR27" s="3">
        <f t="shared" ca="1" si="8"/>
        <v>-62873.987952322634</v>
      </c>
      <c r="AS27" s="3">
        <f t="shared" ca="1" si="8"/>
        <v>-66682.33900394915</v>
      </c>
      <c r="AT27" s="3">
        <f t="shared" ca="1" si="8"/>
        <v>-70587.333846708134</v>
      </c>
      <c r="AU27" s="3">
        <f t="shared" ca="1" si="8"/>
        <v>-74877.03465515186</v>
      </c>
      <c r="AV27" s="3">
        <f t="shared" ca="1" si="8"/>
        <v>-79263.051098438416</v>
      </c>
      <c r="AW27" s="3">
        <f t="shared" ca="1" si="8"/>
        <v>-84065.346325966166</v>
      </c>
      <c r="AX27" s="3">
        <f t="shared" ca="1" si="8"/>
        <v>-89158.597312183934</v>
      </c>
      <c r="AY27" s="3">
        <f t="shared" ca="1" si="8"/>
        <v>-94381.174309272974</v>
      </c>
      <c r="AZ27" s="3">
        <f t="shared" ca="1" si="8"/>
        <v>-100099.42843134473</v>
      </c>
      <c r="BA27" s="3">
        <f t="shared" ca="1" si="8"/>
        <v>-105962.87842355632</v>
      </c>
      <c r="BB27" s="3">
        <f t="shared" ca="1" si="8"/>
        <v>-112425.71597327135</v>
      </c>
      <c r="BC27" s="3">
        <f t="shared" ca="1" si="8"/>
        <v>-119238.60272028444</v>
      </c>
      <c r="BD27" s="3">
        <f t="shared" ca="1" si="8"/>
        <v>-125746.35238671978</v>
      </c>
      <c r="BE27" s="3">
        <f t="shared" ca="1" si="8"/>
        <v>-133366.45649028415</v>
      </c>
      <c r="BF27" s="3">
        <f t="shared" ca="1" si="8"/>
        <v>-141180.13593087136</v>
      </c>
      <c r="BG27" s="3">
        <f t="shared" ca="1" si="8"/>
        <v>-149735.51201368691</v>
      </c>
      <c r="BH27" s="3">
        <f t="shared" ca="1" si="8"/>
        <v>-158508.22237370175</v>
      </c>
      <c r="BI27" s="3">
        <f t="shared" ca="1" si="8"/>
        <v>-168113.66331561311</v>
      </c>
      <c r="BJ27" s="3">
        <f t="shared" ca="1" si="8"/>
        <v>-178301.18445665308</v>
      </c>
      <c r="BK27" s="3">
        <f t="shared" ca="1" si="8"/>
        <v>-188747.50165063617</v>
      </c>
      <c r="BL27" s="3">
        <f t="shared" ca="1" si="8"/>
        <v>-200185.41294255387</v>
      </c>
      <c r="BM27" s="3">
        <f t="shared" ca="1" si="8"/>
        <v>-211913.88425111026</v>
      </c>
      <c r="BN27" s="3">
        <f t="shared" ca="1" si="8"/>
        <v>-224556.41343663895</v>
      </c>
      <c r="BO27" s="3">
        <f t="shared" ca="1" si="8"/>
        <v>-238160.7223027338</v>
      </c>
      <c r="BP27" s="3">
        <f t="shared" ca="1" si="8"/>
        <v>-251544.77291546759</v>
      </c>
      <c r="BQ27" s="3">
        <f t="shared" ca="1" si="8"/>
        <v>-266784.11748058593</v>
      </c>
    </row>
    <row r="30" spans="1:69">
      <c r="B30" s="27" t="s">
        <v>265</v>
      </c>
    </row>
  </sheetData>
  <conditionalFormatting sqref="F2:F3">
    <cfRule type="cellIs" dxfId="210" priority="1" stopIfTrue="1" operator="notEqual">
      <formula>0</formula>
    </cfRule>
    <cfRule type="cellIs" dxfId="209" priority="2" stopIfTrue="1" operator="equal">
      <formula>""</formula>
    </cfRule>
  </conditionalFormatting>
  <conditionalFormatting sqref="J3:BQ3">
    <cfRule type="cellIs" dxfId="208" priority="8" operator="equal">
      <formula>"PPA ext."</formula>
    </cfRule>
    <cfRule type="cellIs" dxfId="207" priority="9" operator="equal">
      <formula>"Delay"</formula>
    </cfRule>
    <cfRule type="cellIs" dxfId="206" priority="10" operator="equal">
      <formula>"Fin Close"</formula>
    </cfRule>
    <cfRule type="cellIs" dxfId="205" priority="11" stopIfTrue="1" operator="equal">
      <formula>"Construction"</formula>
    </cfRule>
    <cfRule type="cellIs" dxfId="204"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Q55"/>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6.5429687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8164062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Working Capital</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258</v>
      </c>
    </row>
    <row r="9" spans="1:69" outlineLevel="1">
      <c r="A9" s="18"/>
      <c r="B9" s="18"/>
      <c r="C9" s="30"/>
      <c r="D9" s="31"/>
      <c r="E9" s="44" t="str">
        <f xml:space="preserve">  InpC!E$84</f>
        <v>VAT rate</v>
      </c>
      <c r="F9" s="44">
        <f xml:space="preserve">  InpC!F$84</f>
        <v>0.2</v>
      </c>
      <c r="G9" s="44" t="str">
        <f xml:space="preserve">  InpC!G$84</f>
        <v>%</v>
      </c>
      <c r="M9" s="58"/>
    </row>
    <row r="10" spans="1:69" outlineLevel="1">
      <c r="A10" s="18"/>
      <c r="B10" s="18"/>
      <c r="C10" s="30"/>
      <c r="D10" s="31"/>
      <c r="E10" s="4" t="str">
        <f xml:space="preserve">  InpC!E$33</f>
        <v>Order lead time (months)</v>
      </c>
      <c r="F10" s="4">
        <f xml:space="preserve">  InpC!F$33</f>
        <v>6</v>
      </c>
      <c r="G10" s="4" t="str">
        <f xml:space="preserve">  InpC!G$33</f>
        <v>Months</v>
      </c>
      <c r="M10" s="2"/>
    </row>
    <row r="11" spans="1:69" outlineLevel="1">
      <c r="A11" s="18"/>
      <c r="B11" s="18"/>
      <c r="C11" s="30"/>
      <c r="D11" s="31"/>
      <c r="E11" s="4" t="str">
        <f xml:space="preserve">  InpC!E$34</f>
        <v>Supplier price per unit</v>
      </c>
      <c r="F11" s="4">
        <f xml:space="preserve">  InpC!F$34</f>
        <v>35</v>
      </c>
      <c r="G11" s="4" t="str">
        <f xml:space="preserve">  InpC!G$34</f>
        <v>GBP</v>
      </c>
      <c r="M11" s="2"/>
    </row>
    <row r="12" spans="1:69" outlineLevel="1">
      <c r="A12" s="18"/>
      <c r="B12" s="18"/>
      <c r="C12" s="30"/>
      <c r="D12" s="31"/>
      <c r="E12" s="44" t="str">
        <f xml:space="preserve">  InpC!E$32</f>
        <v>Supplier order deposit</v>
      </c>
      <c r="F12" s="44">
        <f xml:space="preserve">  InpC!F$32</f>
        <v>0.3</v>
      </c>
      <c r="G12" s="44" t="str">
        <f xml:space="preserve">  InpC!G$32</f>
        <v>%</v>
      </c>
      <c r="M12" s="58"/>
    </row>
    <row r="13" spans="1:69" outlineLevel="1">
      <c r="A13" s="18"/>
      <c r="B13" s="18"/>
      <c r="C13" s="30"/>
      <c r="D13" s="31"/>
      <c r="E13" s="4" t="str">
        <f xml:space="preserve">  Inventory!E$26</f>
        <v>Units ordered</v>
      </c>
      <c r="F13" s="4">
        <f xml:space="preserve">  Inventory!F$26</f>
        <v>0</v>
      </c>
      <c r="G13" s="4" t="str">
        <f xml:space="preserve">  Inventory!G$26</f>
        <v>Units</v>
      </c>
      <c r="H13" s="4">
        <f ca="1" xml:space="preserve">  Inventory!H$26</f>
        <v>165000</v>
      </c>
      <c r="I13" s="4">
        <f xml:space="preserve">  Inventory!I$26</f>
        <v>0</v>
      </c>
      <c r="J13" s="4">
        <f ca="1" xml:space="preserve">  Inventory!J$26</f>
        <v>5000</v>
      </c>
      <c r="K13" s="4">
        <f ca="1" xml:space="preserve">  Inventory!K$26</f>
        <v>0</v>
      </c>
      <c r="L13" s="4">
        <f ca="1" xml:space="preserve">  Inventory!L$26</f>
        <v>0</v>
      </c>
      <c r="M13" s="4">
        <f ca="1" xml:space="preserve">  Inventory!M$26</f>
        <v>0</v>
      </c>
      <c r="N13" s="4">
        <f ca="1" xml:space="preserve">  Inventory!N$26</f>
        <v>0</v>
      </c>
      <c r="O13" s="4">
        <f ca="1" xml:space="preserve">  Inventory!O$26</f>
        <v>0</v>
      </c>
      <c r="P13" s="4">
        <f ca="1" xml:space="preserve">  Inventory!P$26</f>
        <v>5000</v>
      </c>
      <c r="Q13" s="4">
        <f ca="1" xml:space="preserve">  Inventory!Q$26</f>
        <v>0</v>
      </c>
      <c r="R13" s="4">
        <f ca="1" xml:space="preserve">  Inventory!R$26</f>
        <v>0</v>
      </c>
      <c r="S13" s="4">
        <f ca="1" xml:space="preserve">  Inventory!S$26</f>
        <v>0</v>
      </c>
      <c r="T13" s="4">
        <f ca="1" xml:space="preserve">  Inventory!T$26</f>
        <v>0</v>
      </c>
      <c r="U13" s="4">
        <f ca="1" xml:space="preserve">  Inventory!U$26</f>
        <v>0</v>
      </c>
      <c r="V13" s="4">
        <f ca="1" xml:space="preserve">  Inventory!V$26</f>
        <v>5000</v>
      </c>
      <c r="W13" s="4">
        <f ca="1" xml:space="preserve">  Inventory!W$26</f>
        <v>0</v>
      </c>
      <c r="X13" s="4">
        <f ca="1" xml:space="preserve">  Inventory!X$26</f>
        <v>0</v>
      </c>
      <c r="Y13" s="4">
        <f ca="1" xml:space="preserve">  Inventory!Y$26</f>
        <v>0</v>
      </c>
      <c r="Z13" s="4">
        <f ca="1" xml:space="preserve">  Inventory!Z$26</f>
        <v>5000</v>
      </c>
      <c r="AA13" s="4">
        <f ca="1" xml:space="preserve">  Inventory!AA$26</f>
        <v>0</v>
      </c>
      <c r="AB13" s="4">
        <f ca="1" xml:space="preserve">  Inventory!AB$26</f>
        <v>0</v>
      </c>
      <c r="AC13" s="4">
        <f ca="1" xml:space="preserve">  Inventory!AC$26</f>
        <v>0</v>
      </c>
      <c r="AD13" s="4">
        <f ca="1" xml:space="preserve">  Inventory!AD$26</f>
        <v>5000</v>
      </c>
      <c r="AE13" s="4">
        <f ca="1" xml:space="preserve">  Inventory!AE$26</f>
        <v>0</v>
      </c>
      <c r="AF13" s="4">
        <f ca="1" xml:space="preserve">  Inventory!AF$26</f>
        <v>0</v>
      </c>
      <c r="AG13" s="4">
        <f ca="1" xml:space="preserve">  Inventory!AG$26</f>
        <v>5000</v>
      </c>
      <c r="AH13" s="4">
        <f ca="1" xml:space="preserve">  Inventory!AH$26</f>
        <v>0</v>
      </c>
      <c r="AI13" s="4">
        <f ca="1" xml:space="preserve">  Inventory!AI$26</f>
        <v>5000</v>
      </c>
      <c r="AJ13" s="4">
        <f ca="1" xml:space="preserve">  Inventory!AJ$26</f>
        <v>0</v>
      </c>
      <c r="AK13" s="4">
        <f ca="1" xml:space="preserve">  Inventory!AK$26</f>
        <v>0</v>
      </c>
      <c r="AL13" s="4">
        <f ca="1" xml:space="preserve">  Inventory!AL$26</f>
        <v>5000</v>
      </c>
      <c r="AM13" s="4">
        <f ca="1" xml:space="preserve">  Inventory!AM$26</f>
        <v>0</v>
      </c>
      <c r="AN13" s="4">
        <f ca="1" xml:space="preserve">  Inventory!AN$26</f>
        <v>0</v>
      </c>
      <c r="AO13" s="4">
        <f ca="1" xml:space="preserve">  Inventory!AO$26</f>
        <v>5000</v>
      </c>
      <c r="AP13" s="4">
        <f ca="1" xml:space="preserve">  Inventory!AP$26</f>
        <v>0</v>
      </c>
      <c r="AQ13" s="4">
        <f ca="1" xml:space="preserve">  Inventory!AQ$26</f>
        <v>5000</v>
      </c>
      <c r="AR13" s="4">
        <f ca="1" xml:space="preserve">  Inventory!AR$26</f>
        <v>0</v>
      </c>
      <c r="AS13" s="4">
        <f ca="1" xml:space="preserve">  Inventory!AS$26</f>
        <v>5000</v>
      </c>
      <c r="AT13" s="4">
        <f ca="1" xml:space="preserve">  Inventory!AT$26</f>
        <v>5000</v>
      </c>
      <c r="AU13" s="4">
        <f ca="1" xml:space="preserve">  Inventory!AU$26</f>
        <v>0</v>
      </c>
      <c r="AV13" s="4">
        <f ca="1" xml:space="preserve">  Inventory!AV$26</f>
        <v>5000</v>
      </c>
      <c r="AW13" s="4">
        <f ca="1" xml:space="preserve">  Inventory!AW$26</f>
        <v>5000</v>
      </c>
      <c r="AX13" s="4">
        <f ca="1" xml:space="preserve">  Inventory!AX$26</f>
        <v>0</v>
      </c>
      <c r="AY13" s="4">
        <f ca="1" xml:space="preserve">  Inventory!AY$26</f>
        <v>5000</v>
      </c>
      <c r="AZ13" s="4">
        <f ca="1" xml:space="preserve">  Inventory!AZ$26</f>
        <v>5000</v>
      </c>
      <c r="BA13" s="4">
        <f ca="1" xml:space="preserve">  Inventory!BA$26</f>
        <v>5000</v>
      </c>
      <c r="BB13" s="4">
        <f ca="1" xml:space="preserve">  Inventory!BB$26</f>
        <v>5000</v>
      </c>
      <c r="BC13" s="4">
        <f ca="1" xml:space="preserve">  Inventory!BC$26</f>
        <v>5000</v>
      </c>
      <c r="BD13" s="4">
        <f ca="1" xml:space="preserve">  Inventory!BD$26</f>
        <v>5000</v>
      </c>
      <c r="BE13" s="4">
        <f ca="1" xml:space="preserve">  Inventory!BE$26</f>
        <v>5000</v>
      </c>
      <c r="BF13" s="4">
        <f ca="1" xml:space="preserve">  Inventory!BF$26</f>
        <v>5000</v>
      </c>
      <c r="BG13" s="4">
        <f ca="1" xml:space="preserve">  Inventory!BG$26</f>
        <v>5000</v>
      </c>
      <c r="BH13" s="4">
        <f ca="1" xml:space="preserve">  Inventory!BH$26</f>
        <v>5000</v>
      </c>
      <c r="BI13" s="4">
        <f ca="1" xml:space="preserve">  Inventory!BI$26</f>
        <v>5000</v>
      </c>
      <c r="BJ13" s="4">
        <f ca="1" xml:space="preserve">  Inventory!BJ$26</f>
        <v>5000</v>
      </c>
      <c r="BK13" s="4">
        <f ca="1" xml:space="preserve">  Inventory!BK$26</f>
        <v>5000</v>
      </c>
      <c r="BL13" s="4">
        <f ca="1" xml:space="preserve">  Inventory!BL$26</f>
        <v>5000</v>
      </c>
      <c r="BM13" s="4">
        <f ca="1" xml:space="preserve">  Inventory!BM$26</f>
        <v>5000</v>
      </c>
      <c r="BN13" s="4">
        <f ca="1" xml:space="preserve">  Inventory!BN$26</f>
        <v>5000</v>
      </c>
      <c r="BO13" s="4">
        <f ca="1" xml:space="preserve">  Inventory!BO$26</f>
        <v>5000</v>
      </c>
      <c r="BP13" s="4">
        <f ca="1" xml:space="preserve">  Inventory!BP$26</f>
        <v>5000</v>
      </c>
      <c r="BQ13" s="4">
        <f ca="1" xml:space="preserve">  Inventory!BQ$26</f>
        <v>5000</v>
      </c>
    </row>
    <row r="14" spans="1:69" outlineLevel="1">
      <c r="E14" s="46" t="s">
        <v>301</v>
      </c>
      <c r="G14" s="46" t="s">
        <v>252</v>
      </c>
      <c r="H14" s="2">
        <f t="shared" ref="H14:H15" ca="1" si="0" xml:space="preserve"> SUM( J14:BQ14 )</f>
        <v>5701499.9999999991</v>
      </c>
      <c r="J14" s="2">
        <f ca="1" xml:space="preserve">  ( 1 + $F9 ) * ( IF( Time!J28 &lt; 1 + $F10, 0, OFFSET( J13, 0, - 1 * ( $F10 ) ) ) * $F11 * ( 1 - $F12 ) ) + ( J13 * $F11 * $F12 )</f>
        <v>52500</v>
      </c>
      <c r="K14" s="2">
        <f ca="1" xml:space="preserve">  ( 1 + $F9 ) * ( IF( Time!K28 &lt; 1 + $F10, 0, OFFSET( K13, 0, - 1 * ( $F10 ) ) ) * $F11 * ( 1 - $F12 ) ) + ( K13 * $F11 * $F12 )</f>
        <v>0</v>
      </c>
      <c r="L14" s="2">
        <f ca="1" xml:space="preserve">  ( 1 + $F9 ) * ( IF( Time!L28 &lt; 1 + $F10, 0, OFFSET( L13, 0, - 1 * ( $F10 ) ) ) * $F11 * ( 1 - $F12 ) ) + ( L13 * $F11 * $F12 )</f>
        <v>0</v>
      </c>
      <c r="M14" s="2">
        <f ca="1" xml:space="preserve">  ( 1 + $F9 ) * ( IF( Time!M28 &lt; 1 + $F10, 0, OFFSET( M13, 0, - 1 * ( $F10 ) ) ) * $F11 * ( 1 - $F12 ) ) + ( M13 * $F11 * $F12 )</f>
        <v>0</v>
      </c>
      <c r="N14" s="2">
        <f ca="1" xml:space="preserve">  ( 1 + $F9 ) * ( IF( Time!N28 &lt; 1 + $F10, 0, OFFSET( N13, 0, - 1 * ( $F10 ) ) ) * $F11 * ( 1 - $F12 ) ) + ( N13 * $F11 * $F12 )</f>
        <v>0</v>
      </c>
      <c r="O14" s="2">
        <f ca="1" xml:space="preserve">  ( 1 + $F9 ) * ( IF( Time!O28 &lt; 1 + $F10, 0, OFFSET( O13, 0, - 1 * ( $F10 ) ) ) * $F11 * ( 1 - $F12 ) ) + ( O13 * $F11 * $F12 )</f>
        <v>0</v>
      </c>
      <c r="P14" s="2">
        <f ca="1" xml:space="preserve">  ( 1 + $F9 ) * ( IF( Time!P28 &lt; 1 + $F10, 0, OFFSET( P13, 0, - 1 * ( $F10 ) ) ) * $F11 * ( 1 - $F12 ) ) + ( P13 * $F11 * $F12 )</f>
        <v>199499.99999999997</v>
      </c>
      <c r="Q14" s="2">
        <f ca="1" xml:space="preserve">  ( 1 + $F9 ) * ( IF( Time!Q28 &lt; 1 + $F10, 0, OFFSET( Q13, 0, - 1 * ( $F10 ) ) ) * $F11 * ( 1 - $F12 ) ) + ( Q13 * $F11 * $F12 )</f>
        <v>0</v>
      </c>
      <c r="R14" s="2">
        <f ca="1" xml:space="preserve">  ( 1 + $F9 ) * ( IF( Time!R28 &lt; 1 + $F10, 0, OFFSET( R13, 0, - 1 * ( $F10 ) ) ) * $F11 * ( 1 - $F12 ) ) + ( R13 * $F11 * $F12 )</f>
        <v>0</v>
      </c>
      <c r="S14" s="2">
        <f ca="1" xml:space="preserve">  ( 1 + $F9 ) * ( IF( Time!S28 &lt; 1 + $F10, 0, OFFSET( S13, 0, - 1 * ( $F10 ) ) ) * $F11 * ( 1 - $F12 ) ) + ( S13 * $F11 * $F12 )</f>
        <v>0</v>
      </c>
      <c r="T14" s="2">
        <f ca="1" xml:space="preserve">  ( 1 + $F9 ) * ( IF( Time!T28 &lt; 1 + $F10, 0, OFFSET( T13, 0, - 1 * ( $F10 ) ) ) * $F11 * ( 1 - $F12 ) ) + ( T13 * $F11 * $F12 )</f>
        <v>0</v>
      </c>
      <c r="U14" s="2">
        <f ca="1" xml:space="preserve">  ( 1 + $F9 ) * ( IF( Time!U28 &lt; 1 + $F10, 0, OFFSET( U13, 0, - 1 * ( $F10 ) ) ) * $F11 * ( 1 - $F12 ) ) + ( U13 * $F11 * $F12 )</f>
        <v>0</v>
      </c>
      <c r="V14" s="2">
        <f ca="1" xml:space="preserve">  ( 1 + $F9 ) * ( IF( Time!V28 &lt; 1 + $F10, 0, OFFSET( V13, 0, - 1 * ( $F10 ) ) ) * $F11 * ( 1 - $F12 ) ) + ( V13 * $F11 * $F12 )</f>
        <v>199499.99999999997</v>
      </c>
      <c r="W14" s="2">
        <f ca="1" xml:space="preserve">  ( 1 + $F9 ) * ( IF( Time!W28 &lt; 1 + $F10, 0, OFFSET( W13, 0, - 1 * ( $F10 ) ) ) * $F11 * ( 1 - $F12 ) ) + ( W13 * $F11 * $F12 )</f>
        <v>0</v>
      </c>
      <c r="X14" s="2">
        <f ca="1" xml:space="preserve">  ( 1 + $F9 ) * ( IF( Time!X28 &lt; 1 + $F10, 0, OFFSET( X13, 0, - 1 * ( $F10 ) ) ) * $F11 * ( 1 - $F12 ) ) + ( X13 * $F11 * $F12 )</f>
        <v>0</v>
      </c>
      <c r="Y14" s="2">
        <f ca="1" xml:space="preserve">  ( 1 + $F9 ) * ( IF( Time!Y28 &lt; 1 + $F10, 0, OFFSET( Y13, 0, - 1 * ( $F10 ) ) ) * $F11 * ( 1 - $F12 ) ) + ( Y13 * $F11 * $F12 )</f>
        <v>0</v>
      </c>
      <c r="Z14" s="2">
        <f ca="1" xml:space="preserve">  ( 1 + $F9 ) * ( IF( Time!Z28 &lt; 1 + $F10, 0, OFFSET( Z13, 0, - 1 * ( $F10 ) ) ) * $F11 * ( 1 - $F12 ) ) + ( Z13 * $F11 * $F12 )</f>
        <v>52500</v>
      </c>
      <c r="AA14" s="2">
        <f ca="1" xml:space="preserve">  ( 1 + $F9 ) * ( IF( Time!AA28 &lt; 1 + $F10, 0, OFFSET( AA13, 0, - 1 * ( $F10 ) ) ) * $F11 * ( 1 - $F12 ) ) + ( AA13 * $F11 * $F12 )</f>
        <v>0</v>
      </c>
      <c r="AB14" s="2">
        <f ca="1" xml:space="preserve">  ( 1 + $F9 ) * ( IF( Time!AB28 &lt; 1 + $F10, 0, OFFSET( AB13, 0, - 1 * ( $F10 ) ) ) * $F11 * ( 1 - $F12 ) ) + ( AB13 * $F11 * $F12 )</f>
        <v>146999.99999999997</v>
      </c>
      <c r="AC14" s="2">
        <f ca="1" xml:space="preserve">  ( 1 + $F9 ) * ( IF( Time!AC28 &lt; 1 + $F10, 0, OFFSET( AC13, 0, - 1 * ( $F10 ) ) ) * $F11 * ( 1 - $F12 ) ) + ( AC13 * $F11 * $F12 )</f>
        <v>0</v>
      </c>
      <c r="AD14" s="2">
        <f ca="1" xml:space="preserve">  ( 1 + $F9 ) * ( IF( Time!AD28 &lt; 1 + $F10, 0, OFFSET( AD13, 0, - 1 * ( $F10 ) ) ) * $F11 * ( 1 - $F12 ) ) + ( AD13 * $F11 * $F12 )</f>
        <v>52500</v>
      </c>
      <c r="AE14" s="2">
        <f ca="1" xml:space="preserve">  ( 1 + $F9 ) * ( IF( Time!AE28 &lt; 1 + $F10, 0, OFFSET( AE13, 0, - 1 * ( $F10 ) ) ) * $F11 * ( 1 - $F12 ) ) + ( AE13 * $F11 * $F12 )</f>
        <v>0</v>
      </c>
      <c r="AF14" s="2">
        <f ca="1" xml:space="preserve">  ( 1 + $F9 ) * ( IF( Time!AF28 &lt; 1 + $F10, 0, OFFSET( AF13, 0, - 1 * ( $F10 ) ) ) * $F11 * ( 1 - $F12 ) ) + ( AF13 * $F11 * $F12 )</f>
        <v>146999.99999999997</v>
      </c>
      <c r="AG14" s="2">
        <f ca="1" xml:space="preserve">  ( 1 + $F9 ) * ( IF( Time!AG28 &lt; 1 + $F10, 0, OFFSET( AG13, 0, - 1 * ( $F10 ) ) ) * $F11 * ( 1 - $F12 ) ) + ( AG13 * $F11 * $F12 )</f>
        <v>52500</v>
      </c>
      <c r="AH14" s="2">
        <f ca="1" xml:space="preserve">  ( 1 + $F9 ) * ( IF( Time!AH28 &lt; 1 + $F10, 0, OFFSET( AH13, 0, - 1 * ( $F10 ) ) ) * $F11 * ( 1 - $F12 ) ) + ( AH13 * $F11 * $F12 )</f>
        <v>0</v>
      </c>
      <c r="AI14" s="2">
        <f ca="1" xml:space="preserve">  ( 1 + $F9 ) * ( IF( Time!AI28 &lt; 1 + $F10, 0, OFFSET( AI13, 0, - 1 * ( $F10 ) ) ) * $F11 * ( 1 - $F12 ) ) + ( AI13 * $F11 * $F12 )</f>
        <v>52500</v>
      </c>
      <c r="AJ14" s="2">
        <f ca="1" xml:space="preserve">  ( 1 + $F9 ) * ( IF( Time!AJ28 &lt; 1 + $F10, 0, OFFSET( AJ13, 0, - 1 * ( $F10 ) ) ) * $F11 * ( 1 - $F12 ) ) + ( AJ13 * $F11 * $F12 )</f>
        <v>146999.99999999997</v>
      </c>
      <c r="AK14" s="2">
        <f ca="1" xml:space="preserve">  ( 1 + $F9 ) * ( IF( Time!AK28 &lt; 1 + $F10, 0, OFFSET( AK13, 0, - 1 * ( $F10 ) ) ) * $F11 * ( 1 - $F12 ) ) + ( AK13 * $F11 * $F12 )</f>
        <v>0</v>
      </c>
      <c r="AL14" s="2">
        <f ca="1" xml:space="preserve">  ( 1 + $F9 ) * ( IF( Time!AL28 &lt; 1 + $F10, 0, OFFSET( AL13, 0, - 1 * ( $F10 ) ) ) * $F11 * ( 1 - $F12 ) ) + ( AL13 * $F11 * $F12 )</f>
        <v>52500</v>
      </c>
      <c r="AM14" s="2">
        <f ca="1" xml:space="preserve">  ( 1 + $F9 ) * ( IF( Time!AM28 &lt; 1 + $F10, 0, OFFSET( AM13, 0, - 1 * ( $F10 ) ) ) * $F11 * ( 1 - $F12 ) ) + ( AM13 * $F11 * $F12 )</f>
        <v>146999.99999999997</v>
      </c>
      <c r="AN14" s="2">
        <f ca="1" xml:space="preserve">  ( 1 + $F9 ) * ( IF( Time!AN28 &lt; 1 + $F10, 0, OFFSET( AN13, 0, - 1 * ( $F10 ) ) ) * $F11 * ( 1 - $F12 ) ) + ( AN13 * $F11 * $F12 )</f>
        <v>0</v>
      </c>
      <c r="AO14" s="2">
        <f ca="1" xml:space="preserve">  ( 1 + $F9 ) * ( IF( Time!AO28 &lt; 1 + $F10, 0, OFFSET( AO13, 0, - 1 * ( $F10 ) ) ) * $F11 * ( 1 - $F12 ) ) + ( AO13 * $F11 * $F12 )</f>
        <v>199499.99999999997</v>
      </c>
      <c r="AP14" s="2">
        <f ca="1" xml:space="preserve">  ( 1 + $F9 ) * ( IF( Time!AP28 &lt; 1 + $F10, 0, OFFSET( AP13, 0, - 1 * ( $F10 ) ) ) * $F11 * ( 1 - $F12 ) ) + ( AP13 * $F11 * $F12 )</f>
        <v>0</v>
      </c>
      <c r="AQ14" s="2">
        <f ca="1" xml:space="preserve">  ( 1 + $F9 ) * ( IF( Time!AQ28 &lt; 1 + $F10, 0, OFFSET( AQ13, 0, - 1 * ( $F10 ) ) ) * $F11 * ( 1 - $F12 ) ) + ( AQ13 * $F11 * $F12 )</f>
        <v>52500</v>
      </c>
      <c r="AR14" s="2">
        <f ca="1" xml:space="preserve">  ( 1 + $F9 ) * ( IF( Time!AR28 &lt; 1 + $F10, 0, OFFSET( AR13, 0, - 1 * ( $F10 ) ) ) * $F11 * ( 1 - $F12 ) ) + ( AR13 * $F11 * $F12 )</f>
        <v>146999.99999999997</v>
      </c>
      <c r="AS14" s="2">
        <f ca="1" xml:space="preserve">  ( 1 + $F9 ) * ( IF( Time!AS28 &lt; 1 + $F10, 0, OFFSET( AS13, 0, - 1 * ( $F10 ) ) ) * $F11 * ( 1 - $F12 ) ) + ( AS13 * $F11 * $F12 )</f>
        <v>52500</v>
      </c>
      <c r="AT14" s="2">
        <f ca="1" xml:space="preserve">  ( 1 + $F9 ) * ( IF( Time!AT28 &lt; 1 + $F10, 0, OFFSET( AT13, 0, - 1 * ( $F10 ) ) ) * $F11 * ( 1 - $F12 ) ) + ( AT13 * $F11 * $F12 )</f>
        <v>52500</v>
      </c>
      <c r="AU14" s="2">
        <f ca="1" xml:space="preserve">  ( 1 + $F9 ) * ( IF( Time!AU28 &lt; 1 + $F10, 0, OFFSET( AU13, 0, - 1 * ( $F10 ) ) ) * $F11 * ( 1 - $F12 ) ) + ( AU13 * $F11 * $F12 )</f>
        <v>146999.99999999997</v>
      </c>
      <c r="AV14" s="2">
        <f ca="1" xml:space="preserve">  ( 1 + $F9 ) * ( IF( Time!AV28 &lt; 1 + $F10, 0, OFFSET( AV13, 0, - 1 * ( $F10 ) ) ) * $F11 * ( 1 - $F12 ) ) + ( AV13 * $F11 * $F12 )</f>
        <v>52500</v>
      </c>
      <c r="AW14" s="2">
        <f ca="1" xml:space="preserve">  ( 1 + $F9 ) * ( IF( Time!AW28 &lt; 1 + $F10, 0, OFFSET( AW13, 0, - 1 * ( $F10 ) ) ) * $F11 * ( 1 - $F12 ) ) + ( AW13 * $F11 * $F12 )</f>
        <v>199499.99999999997</v>
      </c>
      <c r="AX14" s="2">
        <f ca="1" xml:space="preserve">  ( 1 + $F9 ) * ( IF( Time!AX28 &lt; 1 + $F10, 0, OFFSET( AX13, 0, - 1 * ( $F10 ) ) ) * $F11 * ( 1 - $F12 ) ) + ( AX13 * $F11 * $F12 )</f>
        <v>0</v>
      </c>
      <c r="AY14" s="2">
        <f ca="1" xml:space="preserve">  ( 1 + $F9 ) * ( IF( Time!AY28 &lt; 1 + $F10, 0, OFFSET( AY13, 0, - 1 * ( $F10 ) ) ) * $F11 * ( 1 - $F12 ) ) + ( AY13 * $F11 * $F12 )</f>
        <v>199499.99999999997</v>
      </c>
      <c r="AZ14" s="2">
        <f ca="1" xml:space="preserve">  ( 1 + $F9 ) * ( IF( Time!AZ28 &lt; 1 + $F10, 0, OFFSET( AZ13, 0, - 1 * ( $F10 ) ) ) * $F11 * ( 1 - $F12 ) ) + ( AZ13 * $F11 * $F12 )</f>
        <v>199499.99999999997</v>
      </c>
      <c r="BA14" s="2">
        <f ca="1" xml:space="preserve">  ( 1 + $F9 ) * ( IF( Time!BA28 &lt; 1 + $F10, 0, OFFSET( BA13, 0, - 1 * ( $F10 ) ) ) * $F11 * ( 1 - $F12 ) ) + ( BA13 * $F11 * $F12 )</f>
        <v>52500</v>
      </c>
      <c r="BB14" s="2">
        <f ca="1" xml:space="preserve">  ( 1 + $F9 ) * ( IF( Time!BB28 &lt; 1 + $F10, 0, OFFSET( BB13, 0, - 1 * ( $F10 ) ) ) * $F11 * ( 1 - $F12 ) ) + ( BB13 * $F11 * $F12 )</f>
        <v>199499.99999999997</v>
      </c>
      <c r="BC14" s="2">
        <f ca="1" xml:space="preserve">  ( 1 + $F9 ) * ( IF( Time!BC28 &lt; 1 + $F10, 0, OFFSET( BC13, 0, - 1 * ( $F10 ) ) ) * $F11 * ( 1 - $F12 ) ) + ( BC13 * $F11 * $F12 )</f>
        <v>199499.99999999997</v>
      </c>
      <c r="BD14" s="2">
        <f ca="1" xml:space="preserve">  ( 1 + $F9 ) * ( IF( Time!BD28 &lt; 1 + $F10, 0, OFFSET( BD13, 0, - 1 * ( $F10 ) ) ) * $F11 * ( 1 - $F12 ) ) + ( BD13 * $F11 * $F12 )</f>
        <v>52500</v>
      </c>
      <c r="BE14" s="2">
        <f ca="1" xml:space="preserve">  ( 1 + $F9 ) * ( IF( Time!BE28 &lt; 1 + $F10, 0, OFFSET( BE13, 0, - 1 * ( $F10 ) ) ) * $F11 * ( 1 - $F12 ) ) + ( BE13 * $F11 * $F12 )</f>
        <v>199499.99999999997</v>
      </c>
      <c r="BF14" s="2">
        <f ca="1" xml:space="preserve">  ( 1 + $F9 ) * ( IF( Time!BF28 &lt; 1 + $F10, 0, OFFSET( BF13, 0, - 1 * ( $F10 ) ) ) * $F11 * ( 1 - $F12 ) ) + ( BF13 * $F11 * $F12 )</f>
        <v>199499.99999999997</v>
      </c>
      <c r="BG14" s="2">
        <f ca="1" xml:space="preserve">  ( 1 + $F9 ) * ( IF( Time!BG28 &lt; 1 + $F10, 0, OFFSET( BG13, 0, - 1 * ( $F10 ) ) ) * $F11 * ( 1 - $F12 ) ) + ( BG13 * $F11 * $F12 )</f>
        <v>199499.99999999997</v>
      </c>
      <c r="BH14" s="2">
        <f ca="1" xml:space="preserve">  ( 1 + $F9 ) * ( IF( Time!BH28 &lt; 1 + $F10, 0, OFFSET( BH13, 0, - 1 * ( $F10 ) ) ) * $F11 * ( 1 - $F12 ) ) + ( BH13 * $F11 * $F12 )</f>
        <v>199499.99999999997</v>
      </c>
      <c r="BI14" s="2">
        <f ca="1" xml:space="preserve">  ( 1 + $F9 ) * ( IF( Time!BI28 &lt; 1 + $F10, 0, OFFSET( BI13, 0, - 1 * ( $F10 ) ) ) * $F11 * ( 1 - $F12 ) ) + ( BI13 * $F11 * $F12 )</f>
        <v>199499.99999999997</v>
      </c>
      <c r="BJ14" s="2">
        <f ca="1" xml:space="preserve">  ( 1 + $F9 ) * ( IF( Time!BJ28 &lt; 1 + $F10, 0, OFFSET( BJ13, 0, - 1 * ( $F10 ) ) ) * $F11 * ( 1 - $F12 ) ) + ( BJ13 * $F11 * $F12 )</f>
        <v>199499.99999999997</v>
      </c>
      <c r="BK14" s="2">
        <f ca="1" xml:space="preserve">  ( 1 + $F9 ) * ( IF( Time!BK28 &lt; 1 + $F10, 0, OFFSET( BK13, 0, - 1 * ( $F10 ) ) ) * $F11 * ( 1 - $F12 ) ) + ( BK13 * $F11 * $F12 )</f>
        <v>199499.99999999997</v>
      </c>
      <c r="BL14" s="2">
        <f ca="1" xml:space="preserve">  ( 1 + $F9 ) * ( IF( Time!BL28 &lt; 1 + $F10, 0, OFFSET( BL13, 0, - 1 * ( $F10 ) ) ) * $F11 * ( 1 - $F12 ) ) + ( BL13 * $F11 * $F12 )</f>
        <v>199499.99999999997</v>
      </c>
      <c r="BM14" s="2">
        <f ca="1" xml:space="preserve">  ( 1 + $F9 ) * ( IF( Time!BM28 &lt; 1 + $F10, 0, OFFSET( BM13, 0, - 1 * ( $F10 ) ) ) * $F11 * ( 1 - $F12 ) ) + ( BM13 * $F11 * $F12 )</f>
        <v>199499.99999999997</v>
      </c>
      <c r="BN14" s="2">
        <f ca="1" xml:space="preserve">  ( 1 + $F9 ) * ( IF( Time!BN28 &lt; 1 + $F10, 0, OFFSET( BN13, 0, - 1 * ( $F10 ) ) ) * $F11 * ( 1 - $F12 ) ) + ( BN13 * $F11 * $F12 )</f>
        <v>199499.99999999997</v>
      </c>
      <c r="BO14" s="2">
        <f ca="1" xml:space="preserve">  ( 1 + $F9 ) * ( IF( Time!BO28 &lt; 1 + $F10, 0, OFFSET( BO13, 0, - 1 * ( $F10 ) ) ) * $F11 * ( 1 - $F12 ) ) + ( BO13 * $F11 * $F12 )</f>
        <v>199499.99999999997</v>
      </c>
      <c r="BP14" s="2">
        <f ca="1" xml:space="preserve">  ( 1 + $F9 ) * ( IF( Time!BP28 &lt; 1 + $F10, 0, OFFSET( BP13, 0, - 1 * ( $F10 ) ) ) * $F11 * ( 1 - $F12 ) ) + ( BP13 * $F11 * $F12 )</f>
        <v>199499.99999999997</v>
      </c>
      <c r="BQ14" s="2">
        <f ca="1" xml:space="preserve">  ( 1 + $F9 ) * ( IF( Time!BQ28 &lt; 1 + $F10, 0, OFFSET( BQ13, 0, - 1 * ( $F10 ) ) ) * $F11 * ( 1 - $F12 ) ) + ( BQ13 * $F11 * $F12 )</f>
        <v>199499.99999999997</v>
      </c>
    </row>
    <row r="15" spans="1:69" outlineLevel="1">
      <c r="A15" s="36"/>
      <c r="B15" s="36"/>
      <c r="C15" s="65"/>
      <c r="D15" s="64"/>
      <c r="E15" s="21" t="str">
        <f xml:space="preserve"> LEFT($E$14, LEN($E$14) - 3 )</f>
        <v xml:space="preserve">Cash out on Inventory </v>
      </c>
      <c r="F15" s="21"/>
      <c r="G15" s="21" t="str">
        <f xml:space="preserve"> G$14</f>
        <v>GBP</v>
      </c>
      <c r="H15" s="3">
        <f t="shared" ca="1" si="0"/>
        <v>-5701499.9999999991</v>
      </c>
      <c r="I15" s="21"/>
      <c r="J15" s="3">
        <f t="shared" ref="J15:BQ15" ca="1" si="1" xml:space="preserve"> -1 * J14</f>
        <v>-52500</v>
      </c>
      <c r="K15" s="3">
        <f t="shared" ca="1" si="1"/>
        <v>0</v>
      </c>
      <c r="L15" s="3">
        <f t="shared" ca="1" si="1"/>
        <v>0</v>
      </c>
      <c r="M15" s="3">
        <f t="shared" ca="1" si="1"/>
        <v>0</v>
      </c>
      <c r="N15" s="3">
        <f t="shared" ca="1" si="1"/>
        <v>0</v>
      </c>
      <c r="O15" s="3">
        <f t="shared" ca="1" si="1"/>
        <v>0</v>
      </c>
      <c r="P15" s="3">
        <f t="shared" ca="1" si="1"/>
        <v>-199499.99999999997</v>
      </c>
      <c r="Q15" s="3">
        <f t="shared" ca="1" si="1"/>
        <v>0</v>
      </c>
      <c r="R15" s="3">
        <f t="shared" ca="1" si="1"/>
        <v>0</v>
      </c>
      <c r="S15" s="3">
        <f t="shared" ca="1" si="1"/>
        <v>0</v>
      </c>
      <c r="T15" s="3">
        <f t="shared" ca="1" si="1"/>
        <v>0</v>
      </c>
      <c r="U15" s="3">
        <f t="shared" ca="1" si="1"/>
        <v>0</v>
      </c>
      <c r="V15" s="3">
        <f t="shared" ca="1" si="1"/>
        <v>-199499.99999999997</v>
      </c>
      <c r="W15" s="3">
        <f t="shared" ca="1" si="1"/>
        <v>0</v>
      </c>
      <c r="X15" s="3">
        <f t="shared" ca="1" si="1"/>
        <v>0</v>
      </c>
      <c r="Y15" s="3">
        <f t="shared" ca="1" si="1"/>
        <v>0</v>
      </c>
      <c r="Z15" s="3">
        <f t="shared" ca="1" si="1"/>
        <v>-52500</v>
      </c>
      <c r="AA15" s="3">
        <f t="shared" ca="1" si="1"/>
        <v>0</v>
      </c>
      <c r="AB15" s="3">
        <f t="shared" ca="1" si="1"/>
        <v>-146999.99999999997</v>
      </c>
      <c r="AC15" s="3">
        <f t="shared" ca="1" si="1"/>
        <v>0</v>
      </c>
      <c r="AD15" s="3">
        <f t="shared" ca="1" si="1"/>
        <v>-52500</v>
      </c>
      <c r="AE15" s="3">
        <f t="shared" ca="1" si="1"/>
        <v>0</v>
      </c>
      <c r="AF15" s="3">
        <f t="shared" ca="1" si="1"/>
        <v>-146999.99999999997</v>
      </c>
      <c r="AG15" s="3">
        <f t="shared" ca="1" si="1"/>
        <v>-52500</v>
      </c>
      <c r="AH15" s="3">
        <f t="shared" ca="1" si="1"/>
        <v>0</v>
      </c>
      <c r="AI15" s="3">
        <f t="shared" ca="1" si="1"/>
        <v>-52500</v>
      </c>
      <c r="AJ15" s="3">
        <f t="shared" ca="1" si="1"/>
        <v>-146999.99999999997</v>
      </c>
      <c r="AK15" s="3">
        <f t="shared" ca="1" si="1"/>
        <v>0</v>
      </c>
      <c r="AL15" s="3">
        <f t="shared" ca="1" si="1"/>
        <v>-52500</v>
      </c>
      <c r="AM15" s="3">
        <f t="shared" ca="1" si="1"/>
        <v>-146999.99999999997</v>
      </c>
      <c r="AN15" s="3">
        <f t="shared" ca="1" si="1"/>
        <v>0</v>
      </c>
      <c r="AO15" s="3">
        <f t="shared" ca="1" si="1"/>
        <v>-199499.99999999997</v>
      </c>
      <c r="AP15" s="3">
        <f t="shared" ca="1" si="1"/>
        <v>0</v>
      </c>
      <c r="AQ15" s="3">
        <f t="shared" ca="1" si="1"/>
        <v>-52500</v>
      </c>
      <c r="AR15" s="3">
        <f t="shared" ca="1" si="1"/>
        <v>-146999.99999999997</v>
      </c>
      <c r="AS15" s="3">
        <f t="shared" ca="1" si="1"/>
        <v>-52500</v>
      </c>
      <c r="AT15" s="3">
        <f t="shared" ca="1" si="1"/>
        <v>-52500</v>
      </c>
      <c r="AU15" s="3">
        <f t="shared" ca="1" si="1"/>
        <v>-146999.99999999997</v>
      </c>
      <c r="AV15" s="3">
        <f t="shared" ca="1" si="1"/>
        <v>-52500</v>
      </c>
      <c r="AW15" s="3">
        <f t="shared" ca="1" si="1"/>
        <v>-199499.99999999997</v>
      </c>
      <c r="AX15" s="3">
        <f t="shared" ca="1" si="1"/>
        <v>0</v>
      </c>
      <c r="AY15" s="3">
        <f t="shared" ca="1" si="1"/>
        <v>-199499.99999999997</v>
      </c>
      <c r="AZ15" s="3">
        <f t="shared" ca="1" si="1"/>
        <v>-199499.99999999997</v>
      </c>
      <c r="BA15" s="3">
        <f t="shared" ca="1" si="1"/>
        <v>-52500</v>
      </c>
      <c r="BB15" s="3">
        <f t="shared" ca="1" si="1"/>
        <v>-199499.99999999997</v>
      </c>
      <c r="BC15" s="3">
        <f t="shared" ca="1" si="1"/>
        <v>-199499.99999999997</v>
      </c>
      <c r="BD15" s="3">
        <f t="shared" ca="1" si="1"/>
        <v>-52500</v>
      </c>
      <c r="BE15" s="3">
        <f t="shared" ca="1" si="1"/>
        <v>-199499.99999999997</v>
      </c>
      <c r="BF15" s="3">
        <f t="shared" ca="1" si="1"/>
        <v>-199499.99999999997</v>
      </c>
      <c r="BG15" s="3">
        <f t="shared" ca="1" si="1"/>
        <v>-199499.99999999997</v>
      </c>
      <c r="BH15" s="3">
        <f t="shared" ca="1" si="1"/>
        <v>-199499.99999999997</v>
      </c>
      <c r="BI15" s="3">
        <f t="shared" ca="1" si="1"/>
        <v>-199499.99999999997</v>
      </c>
      <c r="BJ15" s="3">
        <f t="shared" ca="1" si="1"/>
        <v>-199499.99999999997</v>
      </c>
      <c r="BK15" s="3">
        <f t="shared" ca="1" si="1"/>
        <v>-199499.99999999997</v>
      </c>
      <c r="BL15" s="3">
        <f t="shared" ca="1" si="1"/>
        <v>-199499.99999999997</v>
      </c>
      <c r="BM15" s="3">
        <f t="shared" ca="1" si="1"/>
        <v>-199499.99999999997</v>
      </c>
      <c r="BN15" s="3">
        <f t="shared" ca="1" si="1"/>
        <v>-199499.99999999997</v>
      </c>
      <c r="BO15" s="3">
        <f t="shared" ca="1" si="1"/>
        <v>-199499.99999999997</v>
      </c>
      <c r="BP15" s="3">
        <f t="shared" ca="1" si="1"/>
        <v>-199499.99999999997</v>
      </c>
      <c r="BQ15" s="3">
        <f t="shared" ca="1" si="1"/>
        <v>-199499.99999999997</v>
      </c>
    </row>
    <row r="18" spans="1:69">
      <c r="B18" s="27" t="s">
        <v>61</v>
      </c>
    </row>
    <row r="19" spans="1:69" outlineLevel="1">
      <c r="A19" s="18"/>
      <c r="B19" s="18"/>
      <c r="C19" s="30"/>
      <c r="D19" s="31"/>
      <c r="E19" s="4" t="str">
        <f xml:space="preserve">  InpC!E$19</f>
        <v>Customer payment terms (months)</v>
      </c>
      <c r="F19" s="4">
        <f xml:space="preserve">  InpC!F$19</f>
        <v>2</v>
      </c>
      <c r="G19" s="4" t="str">
        <f xml:space="preserve">  InpC!G$19</f>
        <v>Months</v>
      </c>
      <c r="M19" s="2"/>
    </row>
    <row r="20" spans="1:69" outlineLevel="1">
      <c r="A20" s="18"/>
      <c r="B20" s="18"/>
      <c r="C20" s="30"/>
      <c r="D20" s="31"/>
      <c r="E20" s="4" t="str">
        <f xml:space="preserve">  Income!E$12</f>
        <v>New Deferred Income from customer orders</v>
      </c>
      <c r="F20" s="4">
        <f xml:space="preserve">  Income!F$12</f>
        <v>0</v>
      </c>
      <c r="G20" s="4" t="str">
        <f xml:space="preserve">  Income!G$12</f>
        <v>GBP</v>
      </c>
      <c r="H20" s="4">
        <f ca="1" xml:space="preserve">  Income!H$12</f>
        <v>53374910.85979531</v>
      </c>
      <c r="I20" s="4">
        <f xml:space="preserve">  Income!I$12</f>
        <v>0</v>
      </c>
      <c r="J20" s="4">
        <f ca="1" xml:space="preserve">  Income!J$12</f>
        <v>0</v>
      </c>
      <c r="K20" s="4">
        <f ca="1" xml:space="preserve">  Income!K$12</f>
        <v>0</v>
      </c>
      <c r="L20" s="4">
        <f ca="1" xml:space="preserve">  Income!L$12</f>
        <v>0</v>
      </c>
      <c r="M20" s="4">
        <f ca="1" xml:space="preserve">  Income!M$12</f>
        <v>0</v>
      </c>
      <c r="N20" s="4">
        <f ca="1" xml:space="preserve">  Income!N$12</f>
        <v>0</v>
      </c>
      <c r="O20" s="4">
        <f ca="1" xml:space="preserve">  Income!O$12</f>
        <v>0</v>
      </c>
      <c r="P20" s="4">
        <f ca="1" xml:space="preserve">  Income!P$12</f>
        <v>0</v>
      </c>
      <c r="Q20" s="4">
        <f ca="1" xml:space="preserve">  Income!Q$12</f>
        <v>604287.74940016971</v>
      </c>
      <c r="R20" s="4">
        <f ca="1" xml:space="preserve">  Income!R$12</f>
        <v>108100.27412571901</v>
      </c>
      <c r="S20" s="4">
        <f ca="1" xml:space="preserve">  Income!S$12</f>
        <v>7611.9764741112449</v>
      </c>
      <c r="T20" s="4">
        <f ca="1" xml:space="preserve">  Income!T$12</f>
        <v>0</v>
      </c>
      <c r="U20" s="4">
        <f ca="1" xml:space="preserve">  Income!U$12</f>
        <v>0</v>
      </c>
      <c r="V20" s="4">
        <f ca="1" xml:space="preserve">  Income!V$12</f>
        <v>0</v>
      </c>
      <c r="W20" s="4">
        <f ca="1" xml:space="preserve">  Income!W$12</f>
        <v>636986.87995648826</v>
      </c>
      <c r="X20" s="4">
        <f ca="1" xml:space="preserve">  Income!X$12</f>
        <v>83013.120043511706</v>
      </c>
      <c r="Y20" s="4">
        <f ca="1" xml:space="preserve">  Income!Y$12</f>
        <v>0</v>
      </c>
      <c r="Z20" s="4">
        <f ca="1" xml:space="preserve">  Income!Z$12</f>
        <v>0</v>
      </c>
      <c r="AA20" s="4">
        <f ca="1" xml:space="preserve">  Income!AA$12</f>
        <v>0</v>
      </c>
      <c r="AB20" s="4">
        <f ca="1" xml:space="preserve">  Income!AB$12</f>
        <v>0</v>
      </c>
      <c r="AC20" s="4">
        <f ca="1" xml:space="preserve">  Income!AC$12</f>
        <v>1324287.7494001696</v>
      </c>
      <c r="AD20" s="4">
        <f ca="1" xml:space="preserve">  Income!AD$12</f>
        <v>108100.27412571901</v>
      </c>
      <c r="AE20" s="4">
        <f ca="1" xml:space="preserve">  Income!AE$12</f>
        <v>7611.9764741112449</v>
      </c>
      <c r="AF20" s="4">
        <f ca="1" xml:space="preserve">  Income!AF$12</f>
        <v>0</v>
      </c>
      <c r="AG20" s="4">
        <f ca="1" xml:space="preserve">  Income!AG$12</f>
        <v>720000</v>
      </c>
      <c r="AH20" s="4">
        <f ca="1" xml:space="preserve">  Income!AH$12</f>
        <v>0</v>
      </c>
      <c r="AI20" s="4">
        <f ca="1" xml:space="preserve">  Income!AI$12</f>
        <v>780986.87995648826</v>
      </c>
      <c r="AJ20" s="4">
        <f ca="1" xml:space="preserve">  Income!AJ$12</f>
        <v>235744.90355956272</v>
      </c>
      <c r="AK20" s="4">
        <f ca="1" xml:space="preserve">  Income!AK$12</f>
        <v>881685.70128264476</v>
      </c>
      <c r="AL20" s="4">
        <f ca="1" xml:space="preserve">  Income!AL$12</f>
        <v>171489.89948570688</v>
      </c>
      <c r="AM20" s="4">
        <f ca="1" xml:space="preserve">  Income!AM$12</f>
        <v>181888.59863500224</v>
      </c>
      <c r="AN20" s="4">
        <f ca="1" xml:space="preserve">  Income!AN$12</f>
        <v>912551.8379252553</v>
      </c>
      <c r="AO20" s="4">
        <f ca="1" xml:space="preserve">  Income!AO$12</f>
        <v>924227.67795567936</v>
      </c>
      <c r="AP20" s="4">
        <f ca="1" xml:space="preserve">  Income!AP$12</f>
        <v>936200.54825143795</v>
      </c>
      <c r="AQ20" s="4">
        <f ca="1" xml:space="preserve">  Income!AQ$12</f>
        <v>229310.38424715391</v>
      </c>
      <c r="AR20" s="4">
        <f ca="1" xml:space="preserve">  Income!AR$12</f>
        <v>243215.16642235266</v>
      </c>
      <c r="AS20" s="4">
        <f ca="1" xml:space="preserve">  Income!AS$12</f>
        <v>1696578.8308244175</v>
      </c>
      <c r="AT20" s="4">
        <f ca="1" xml:space="preserve">  Income!AT$12</f>
        <v>272093.33136727469</v>
      </c>
      <c r="AU20" s="4">
        <f ca="1" xml:space="preserve">  Income!AU$12</f>
        <v>432000</v>
      </c>
      <c r="AV20" s="4">
        <f ca="1" xml:space="preserve">  Income!AV$12</f>
        <v>1178460.5114785447</v>
      </c>
      <c r="AW20" s="4">
        <f ca="1" xml:space="preserve">  Income!AW$12</f>
        <v>1205312.5867946076</v>
      </c>
      <c r="AX20" s="4">
        <f ca="1" xml:space="preserve">  Income!AX$12</f>
        <v>1234713.0311270072</v>
      </c>
      <c r="AY20" s="4">
        <f ca="1" xml:space="preserve">  Income!AY$12</f>
        <v>545894.56775374222</v>
      </c>
      <c r="AZ20" s="4">
        <f ca="1" xml:space="preserve">  Income!AZ$12</f>
        <v>2017867.6663681525</v>
      </c>
      <c r="BA20" s="4">
        <f ca="1" xml:space="preserve">  Income!BA$12</f>
        <v>1332875.1396766703</v>
      </c>
      <c r="BB20" s="4">
        <f ca="1" xml:space="preserve">  Income!BB$12</f>
        <v>1368771.2987677499</v>
      </c>
      <c r="BC20" s="4">
        <f ca="1" xml:space="preserve">  Income!BC$12</f>
        <v>1408316.7198625684</v>
      </c>
      <c r="BD20" s="4">
        <f ca="1" xml:space="preserve">  Income!BD$12</f>
        <v>1450028.2970138618</v>
      </c>
      <c r="BE20" s="4">
        <f ca="1" xml:space="preserve">  Income!BE$12</f>
        <v>1489952.896841333</v>
      </c>
      <c r="BF20" s="4">
        <f ca="1" xml:space="preserve">  Income!BF$12</f>
        <v>1536567.8121107903</v>
      </c>
      <c r="BG20" s="4">
        <f ca="1" xml:space="preserve">  Income!BG$12</f>
        <v>1713964.3969462125</v>
      </c>
      <c r="BH20" s="4">
        <f ca="1" xml:space="preserve">  Income!BH$12</f>
        <v>2494468.1252813269</v>
      </c>
      <c r="BI20" s="4">
        <f ca="1" xml:space="preserve">  Income!BI$12</f>
        <v>1836227.5763104046</v>
      </c>
      <c r="BJ20" s="4">
        <f ca="1" xml:space="preserve">  Income!BJ$12</f>
        <v>2623848.1923596486</v>
      </c>
      <c r="BK20" s="4">
        <f ca="1" xml:space="preserve">  Income!BK$12</f>
        <v>1975565.2387699792</v>
      </c>
      <c r="BL20" s="4">
        <f ca="1" xml:space="preserve">  Income!BL$12</f>
        <v>2769102.8074925654</v>
      </c>
      <c r="BM20" s="4">
        <f ca="1" xml:space="preserve">  Income!BM$12</f>
        <v>2849619.3215712141</v>
      </c>
      <c r="BN20" s="4">
        <f ca="1" xml:space="preserve">  Income!BN$12</f>
        <v>2212179.7307127388</v>
      </c>
      <c r="BO20" s="4">
        <f ca="1" xml:space="preserve">  Income!BO$12</f>
        <v>3023205.6403321358</v>
      </c>
      <c r="BP20" s="4">
        <f ca="1" xml:space="preserve">  Income!BP$12</f>
        <v>3119141.7172477059</v>
      </c>
      <c r="BQ20" s="4">
        <f ca="1" xml:space="preserve">  Income!BQ$12</f>
        <v>2490853.8250633674</v>
      </c>
    </row>
    <row r="21" spans="1:69" outlineLevel="1">
      <c r="A21" s="18"/>
      <c r="B21" s="18"/>
      <c r="C21" s="30"/>
      <c r="D21" s="31"/>
      <c r="E21" s="4" t="str">
        <f xml:space="preserve">  VAT!E$17</f>
        <v>Output VAT</v>
      </c>
      <c r="F21" s="4">
        <f xml:space="preserve">  VAT!F$17</f>
        <v>0</v>
      </c>
      <c r="G21" s="4" t="str">
        <f xml:space="preserve">  VAT!G$17</f>
        <v>GBP</v>
      </c>
      <c r="H21" s="4">
        <f ca="1" xml:space="preserve">  VAT!H$17</f>
        <v>10674982.171959061</v>
      </c>
      <c r="I21" s="4">
        <f xml:space="preserve">  VAT!I$17</f>
        <v>0</v>
      </c>
      <c r="J21" s="4">
        <f ca="1" xml:space="preserve">  VAT!J$17</f>
        <v>0</v>
      </c>
      <c r="K21" s="4">
        <f ca="1" xml:space="preserve">  VAT!K$17</f>
        <v>0</v>
      </c>
      <c r="L21" s="4">
        <f ca="1" xml:space="preserve">  VAT!L$17</f>
        <v>0</v>
      </c>
      <c r="M21" s="4">
        <f ca="1" xml:space="preserve">  VAT!M$17</f>
        <v>0</v>
      </c>
      <c r="N21" s="4">
        <f ca="1" xml:space="preserve">  VAT!N$17</f>
        <v>0</v>
      </c>
      <c r="O21" s="4">
        <f ca="1" xml:space="preserve">  VAT!O$17</f>
        <v>0</v>
      </c>
      <c r="P21" s="4">
        <f ca="1" xml:space="preserve">  VAT!P$17</f>
        <v>0</v>
      </c>
      <c r="Q21" s="4">
        <f ca="1" xml:space="preserve">  VAT!Q$17</f>
        <v>120857.54988003394</v>
      </c>
      <c r="R21" s="4">
        <f ca="1" xml:space="preserve">  VAT!R$17</f>
        <v>21620.054825143801</v>
      </c>
      <c r="S21" s="4">
        <f ca="1" xml:space="preserve">  VAT!S$17</f>
        <v>1522.3952948222491</v>
      </c>
      <c r="T21" s="4">
        <f ca="1" xml:space="preserve">  VAT!T$17</f>
        <v>0</v>
      </c>
      <c r="U21" s="4">
        <f ca="1" xml:space="preserve">  VAT!U$17</f>
        <v>0</v>
      </c>
      <c r="V21" s="4">
        <f ca="1" xml:space="preserve">  VAT!V$17</f>
        <v>0</v>
      </c>
      <c r="W21" s="4">
        <f ca="1" xml:space="preserve">  VAT!W$17</f>
        <v>127397.37599129765</v>
      </c>
      <c r="X21" s="4">
        <f ca="1" xml:space="preserve">  VAT!X$17</f>
        <v>16602.624008702343</v>
      </c>
      <c r="Y21" s="4">
        <f ca="1" xml:space="preserve">  VAT!Y$17</f>
        <v>0</v>
      </c>
      <c r="Z21" s="4">
        <f ca="1" xml:space="preserve">  VAT!Z$17</f>
        <v>0</v>
      </c>
      <c r="AA21" s="4">
        <f ca="1" xml:space="preserve">  VAT!AA$17</f>
        <v>0</v>
      </c>
      <c r="AB21" s="4">
        <f ca="1" xml:space="preserve">  VAT!AB$17</f>
        <v>0</v>
      </c>
      <c r="AC21" s="4">
        <f ca="1" xml:space="preserve">  VAT!AC$17</f>
        <v>264857.54988003394</v>
      </c>
      <c r="AD21" s="4">
        <f ca="1" xml:space="preserve">  VAT!AD$17</f>
        <v>21620.054825143801</v>
      </c>
      <c r="AE21" s="4">
        <f ca="1" xml:space="preserve">  VAT!AE$17</f>
        <v>1522.3952948222491</v>
      </c>
      <c r="AF21" s="4">
        <f ca="1" xml:space="preserve">  VAT!AF$17</f>
        <v>0</v>
      </c>
      <c r="AG21" s="4">
        <f ca="1" xml:space="preserve">  VAT!AG$17</f>
        <v>144000</v>
      </c>
      <c r="AH21" s="4">
        <f ca="1" xml:space="preserve">  VAT!AH$17</f>
        <v>0</v>
      </c>
      <c r="AI21" s="4">
        <f ca="1" xml:space="preserve">  VAT!AI$17</f>
        <v>156197.37599129765</v>
      </c>
      <c r="AJ21" s="4">
        <f ca="1" xml:space="preserve">  VAT!AJ$17</f>
        <v>47148.980711912547</v>
      </c>
      <c r="AK21" s="4">
        <f ca="1" xml:space="preserve">  VAT!AK$17</f>
        <v>176337.14025652898</v>
      </c>
      <c r="AL21" s="4">
        <f ca="1" xml:space="preserve">  VAT!AL$17</f>
        <v>34297.979897141377</v>
      </c>
      <c r="AM21" s="4">
        <f ca="1" xml:space="preserve">  VAT!AM$17</f>
        <v>36377.719727000447</v>
      </c>
      <c r="AN21" s="4">
        <f ca="1" xml:space="preserve">  VAT!AN$17</f>
        <v>182510.36758505108</v>
      </c>
      <c r="AO21" s="4">
        <f ca="1" xml:space="preserve">  VAT!AO$17</f>
        <v>184845.53559113588</v>
      </c>
      <c r="AP21" s="4">
        <f ca="1" xml:space="preserve">  VAT!AP$17</f>
        <v>187240.1096502876</v>
      </c>
      <c r="AQ21" s="4">
        <f ca="1" xml:space="preserve">  VAT!AQ$17</f>
        <v>45862.076849430785</v>
      </c>
      <c r="AR21" s="4">
        <f ca="1" xml:space="preserve">  VAT!AR$17</f>
        <v>48643.033284470534</v>
      </c>
      <c r="AS21" s="4">
        <f ca="1" xml:space="preserve">  VAT!AS$17</f>
        <v>339315.76616488351</v>
      </c>
      <c r="AT21" s="4">
        <f ca="1" xml:space="preserve">  VAT!AT$17</f>
        <v>54418.666273454939</v>
      </c>
      <c r="AU21" s="4">
        <f ca="1" xml:space="preserve">  VAT!AU$17</f>
        <v>86400</v>
      </c>
      <c r="AV21" s="4">
        <f ca="1" xml:space="preserve">  VAT!AV$17</f>
        <v>235692.10229570896</v>
      </c>
      <c r="AW21" s="4">
        <f ca="1" xml:space="preserve">  VAT!AW$17</f>
        <v>241062.51735892153</v>
      </c>
      <c r="AX21" s="4">
        <f ca="1" xml:space="preserve">  VAT!AX$17</f>
        <v>246942.60622540145</v>
      </c>
      <c r="AY21" s="4">
        <f ca="1" xml:space="preserve">  VAT!AY$17</f>
        <v>109178.91355074845</v>
      </c>
      <c r="AZ21" s="4">
        <f ca="1" xml:space="preserve">  VAT!AZ$17</f>
        <v>403573.53327363054</v>
      </c>
      <c r="BA21" s="4">
        <f ca="1" xml:space="preserve">  VAT!BA$17</f>
        <v>266575.02793533407</v>
      </c>
      <c r="BB21" s="4">
        <f ca="1" xml:space="preserve">  VAT!BB$17</f>
        <v>273754.25975355</v>
      </c>
      <c r="BC21" s="4">
        <f ca="1" xml:space="preserve">  VAT!BC$17</f>
        <v>281663.34397251369</v>
      </c>
      <c r="BD21" s="4">
        <f ca="1" xml:space="preserve">  VAT!BD$17</f>
        <v>290005.65940277238</v>
      </c>
      <c r="BE21" s="4">
        <f ca="1" xml:space="preserve">  VAT!BE$17</f>
        <v>297990.57936826663</v>
      </c>
      <c r="BF21" s="4">
        <f ca="1" xml:space="preserve">  VAT!BF$17</f>
        <v>307313.56242215808</v>
      </c>
      <c r="BG21" s="4">
        <f ca="1" xml:space="preserve">  VAT!BG$17</f>
        <v>342792.8793892425</v>
      </c>
      <c r="BH21" s="4">
        <f ca="1" xml:space="preserve">  VAT!BH$17</f>
        <v>498893.62505626539</v>
      </c>
      <c r="BI21" s="4">
        <f ca="1" xml:space="preserve">  VAT!BI$17</f>
        <v>367245.51526208094</v>
      </c>
      <c r="BJ21" s="4">
        <f ca="1" xml:space="preserve">  VAT!BJ$17</f>
        <v>524769.63847192971</v>
      </c>
      <c r="BK21" s="4">
        <f ca="1" xml:space="preserve">  VAT!BK$17</f>
        <v>395113.04775399587</v>
      </c>
      <c r="BL21" s="4">
        <f ca="1" xml:space="preserve">  VAT!BL$17</f>
        <v>553820.5614985131</v>
      </c>
      <c r="BM21" s="4">
        <f ca="1" xml:space="preserve">  VAT!BM$17</f>
        <v>569923.86431424285</v>
      </c>
      <c r="BN21" s="4">
        <f ca="1" xml:space="preserve">  VAT!BN$17</f>
        <v>442435.94614254776</v>
      </c>
      <c r="BO21" s="4">
        <f ca="1" xml:space="preserve">  VAT!BO$17</f>
        <v>604641.12806642719</v>
      </c>
      <c r="BP21" s="4">
        <f ca="1" xml:space="preserve">  VAT!BP$17</f>
        <v>623828.34344954125</v>
      </c>
      <c r="BQ21" s="4">
        <f ca="1" xml:space="preserve">  VAT!BQ$17</f>
        <v>498170.76501267351</v>
      </c>
    </row>
    <row r="22" spans="1:69" outlineLevel="1">
      <c r="A22" s="36"/>
      <c r="B22" s="36"/>
      <c r="C22" s="65"/>
      <c r="D22" s="64"/>
      <c r="E22" s="21" t="s">
        <v>61</v>
      </c>
      <c r="F22" s="21"/>
      <c r="G22" s="21" t="s">
        <v>252</v>
      </c>
      <c r="H22" s="3">
        <f ca="1" xml:space="preserve"> SUM( J22:BQ22 )</f>
        <v>57317898.380981073</v>
      </c>
      <c r="I22" s="21"/>
      <c r="J22" s="3">
        <f ca="1" xml:space="preserve">  IF( Time!J28 &lt; 1 + $F19, 0, OFFSET( J20, 0, - 1 * ( $F19 ) ) ) + IF( Time!J28 &lt; 1 + $F19, 0, OFFSET( J21, 0, - 1 * ( $F19 ) ) )</f>
        <v>0</v>
      </c>
      <c r="K22" s="3">
        <f ca="1" xml:space="preserve">  IF( Time!K28 &lt; 1 + $F19, 0, OFFSET( K20, 0, - 1 * ( $F19 ) ) ) + IF( Time!K28 &lt; 1 + $F19, 0, OFFSET( K21, 0, - 1 * ( $F19 ) ) )</f>
        <v>0</v>
      </c>
      <c r="L22" s="3">
        <f ca="1" xml:space="preserve">  IF( Time!L28 &lt; 1 + $F19, 0, OFFSET( L20, 0, - 1 * ( $F19 ) ) ) + IF( Time!L28 &lt; 1 + $F19, 0, OFFSET( L21, 0, - 1 * ( $F19 ) ) )</f>
        <v>0</v>
      </c>
      <c r="M22" s="3">
        <f ca="1" xml:space="preserve">  IF( Time!M28 &lt; 1 + $F19, 0, OFFSET( M20, 0, - 1 * ( $F19 ) ) ) + IF( Time!M28 &lt; 1 + $F19, 0, OFFSET( M21, 0, - 1 * ( $F19 ) ) )</f>
        <v>0</v>
      </c>
      <c r="N22" s="3">
        <f ca="1" xml:space="preserve">  IF( Time!N28 &lt; 1 + $F19, 0, OFFSET( N20, 0, - 1 * ( $F19 ) ) ) + IF( Time!N28 &lt; 1 + $F19, 0, OFFSET( N21, 0, - 1 * ( $F19 ) ) )</f>
        <v>0</v>
      </c>
      <c r="O22" s="3">
        <f ca="1" xml:space="preserve">  IF( Time!O28 &lt; 1 + $F19, 0, OFFSET( O20, 0, - 1 * ( $F19 ) ) ) + IF( Time!O28 &lt; 1 + $F19, 0, OFFSET( O21, 0, - 1 * ( $F19 ) ) )</f>
        <v>0</v>
      </c>
      <c r="P22" s="3">
        <f ca="1" xml:space="preserve">  IF( Time!P28 &lt; 1 + $F19, 0, OFFSET( P20, 0, - 1 * ( $F19 ) ) ) + IF( Time!P28 &lt; 1 + $F19, 0, OFFSET( P21, 0, - 1 * ( $F19 ) ) )</f>
        <v>0</v>
      </c>
      <c r="Q22" s="3">
        <f ca="1" xml:space="preserve">  IF( Time!Q28 &lt; 1 + $F19, 0, OFFSET( Q20, 0, - 1 * ( $F19 ) ) ) + IF( Time!Q28 &lt; 1 + $F19, 0, OFFSET( Q21, 0, - 1 * ( $F19 ) ) )</f>
        <v>0</v>
      </c>
      <c r="R22" s="3">
        <f ca="1" xml:space="preserve">  IF( Time!R28 &lt; 1 + $F19, 0, OFFSET( R20, 0, - 1 * ( $F19 ) ) ) + IF( Time!R28 &lt; 1 + $F19, 0, OFFSET( R21, 0, - 1 * ( $F19 ) ) )</f>
        <v>0</v>
      </c>
      <c r="S22" s="3">
        <f ca="1" xml:space="preserve">  IF( Time!S28 &lt; 1 + $F19, 0, OFFSET( S20, 0, - 1 * ( $F19 ) ) ) + IF( Time!S28 &lt; 1 + $F19, 0, OFFSET( S21, 0, - 1 * ( $F19 ) ) )</f>
        <v>725145.29928020365</v>
      </c>
      <c r="T22" s="3">
        <f ca="1" xml:space="preserve">  IF( Time!T28 &lt; 1 + $F19, 0, OFFSET( T20, 0, - 1 * ( $F19 ) ) ) + IF( Time!T28 &lt; 1 + $F19, 0, OFFSET( T21, 0, - 1 * ( $F19 ) ) )</f>
        <v>129720.32895086281</v>
      </c>
      <c r="U22" s="3">
        <f ca="1" xml:space="preserve">  IF( Time!U28 &lt; 1 + $F19, 0, OFFSET( U20, 0, - 1 * ( $F19 ) ) ) + IF( Time!U28 &lt; 1 + $F19, 0, OFFSET( U21, 0, - 1 * ( $F19 ) ) )</f>
        <v>9134.3717689334935</v>
      </c>
      <c r="V22" s="3">
        <f ca="1" xml:space="preserve">  IF( Time!V28 &lt; 1 + $F19, 0, OFFSET( V20, 0, - 1 * ( $F19 ) ) ) + IF( Time!V28 &lt; 1 + $F19, 0, OFFSET( V21, 0, - 1 * ( $F19 ) ) )</f>
        <v>0</v>
      </c>
      <c r="W22" s="3">
        <f ca="1" xml:space="preserve">  IF( Time!W28 &lt; 1 + $F19, 0, OFFSET( W20, 0, - 1 * ( $F19 ) ) ) + IF( Time!W28 &lt; 1 + $F19, 0, OFFSET( W21, 0, - 1 * ( $F19 ) ) )</f>
        <v>0</v>
      </c>
      <c r="X22" s="3">
        <f ca="1" xml:space="preserve">  IF( Time!X28 &lt; 1 + $F19, 0, OFFSET( X20, 0, - 1 * ( $F19 ) ) ) + IF( Time!X28 &lt; 1 + $F19, 0, OFFSET( X21, 0, - 1 * ( $F19 ) ) )</f>
        <v>0</v>
      </c>
      <c r="Y22" s="3">
        <f ca="1" xml:space="preserve">  IF( Time!Y28 &lt; 1 + $F19, 0, OFFSET( Y20, 0, - 1 * ( $F19 ) ) ) + IF( Time!Y28 &lt; 1 + $F19, 0, OFFSET( Y21, 0, - 1 * ( $F19 ) ) )</f>
        <v>764384.25594778592</v>
      </c>
      <c r="Z22" s="3">
        <f ca="1" xml:space="preserve">  IF( Time!Z28 &lt; 1 + $F19, 0, OFFSET( Z20, 0, - 1 * ( $F19 ) ) ) + IF( Time!Z28 &lt; 1 + $F19, 0, OFFSET( Z21, 0, - 1 * ( $F19 ) ) )</f>
        <v>99615.744052214053</v>
      </c>
      <c r="AA22" s="3">
        <f ca="1" xml:space="preserve">  IF( Time!AA28 &lt; 1 + $F19, 0, OFFSET( AA20, 0, - 1 * ( $F19 ) ) ) + IF( Time!AA28 &lt; 1 + $F19, 0, OFFSET( AA21, 0, - 1 * ( $F19 ) ) )</f>
        <v>0</v>
      </c>
      <c r="AB22" s="3">
        <f ca="1" xml:space="preserve">  IF( Time!AB28 &lt; 1 + $F19, 0, OFFSET( AB20, 0, - 1 * ( $F19 ) ) ) + IF( Time!AB28 &lt; 1 + $F19, 0, OFFSET( AB21, 0, - 1 * ( $F19 ) ) )</f>
        <v>0</v>
      </c>
      <c r="AC22" s="3">
        <f ca="1" xml:space="preserve">  IF( Time!AC28 &lt; 1 + $F19, 0, OFFSET( AC20, 0, - 1 * ( $F19 ) ) ) + IF( Time!AC28 &lt; 1 + $F19, 0, OFFSET( AC21, 0, - 1 * ( $F19 ) ) )</f>
        <v>0</v>
      </c>
      <c r="AD22" s="3">
        <f ca="1" xml:space="preserve">  IF( Time!AD28 &lt; 1 + $F19, 0, OFFSET( AD20, 0, - 1 * ( $F19 ) ) ) + IF( Time!AD28 &lt; 1 + $F19, 0, OFFSET( AD21, 0, - 1 * ( $F19 ) ) )</f>
        <v>0</v>
      </c>
      <c r="AE22" s="3">
        <f ca="1" xml:space="preserve">  IF( Time!AE28 &lt; 1 + $F19, 0, OFFSET( AE20, 0, - 1 * ( $F19 ) ) ) + IF( Time!AE28 &lt; 1 + $F19, 0, OFFSET( AE21, 0, - 1 * ( $F19 ) ) )</f>
        <v>1589145.2992802034</v>
      </c>
      <c r="AF22" s="3">
        <f ca="1" xml:space="preserve">  IF( Time!AF28 &lt; 1 + $F19, 0, OFFSET( AF20, 0, - 1 * ( $F19 ) ) ) + IF( Time!AF28 &lt; 1 + $F19, 0, OFFSET( AF21, 0, - 1 * ( $F19 ) ) )</f>
        <v>129720.32895086281</v>
      </c>
      <c r="AG22" s="3">
        <f ca="1" xml:space="preserve">  IF( Time!AG28 &lt; 1 + $F19, 0, OFFSET( AG20, 0, - 1 * ( $F19 ) ) ) + IF( Time!AG28 &lt; 1 + $F19, 0, OFFSET( AG21, 0, - 1 * ( $F19 ) ) )</f>
        <v>9134.3717689334935</v>
      </c>
      <c r="AH22" s="3">
        <f ca="1" xml:space="preserve">  IF( Time!AH28 &lt; 1 + $F19, 0, OFFSET( AH20, 0, - 1 * ( $F19 ) ) ) + IF( Time!AH28 &lt; 1 + $F19, 0, OFFSET( AH21, 0, - 1 * ( $F19 ) ) )</f>
        <v>0</v>
      </c>
      <c r="AI22" s="3">
        <f ca="1" xml:space="preserve">  IF( Time!AI28 &lt; 1 + $F19, 0, OFFSET( AI20, 0, - 1 * ( $F19 ) ) ) + IF( Time!AI28 &lt; 1 + $F19, 0, OFFSET( AI21, 0, - 1 * ( $F19 ) ) )</f>
        <v>864000</v>
      </c>
      <c r="AJ22" s="3">
        <f ca="1" xml:space="preserve">  IF( Time!AJ28 &lt; 1 + $F19, 0, OFFSET( AJ20, 0, - 1 * ( $F19 ) ) ) + IF( Time!AJ28 &lt; 1 + $F19, 0, OFFSET( AJ21, 0, - 1 * ( $F19 ) ) )</f>
        <v>0</v>
      </c>
      <c r="AK22" s="3">
        <f ca="1" xml:space="preserve">  IF( Time!AK28 &lt; 1 + $F19, 0, OFFSET( AK20, 0, - 1 * ( $F19 ) ) ) + IF( Time!AK28 &lt; 1 + $F19, 0, OFFSET( AK21, 0, - 1 * ( $F19 ) ) )</f>
        <v>937184.25594778592</v>
      </c>
      <c r="AL22" s="3">
        <f ca="1" xml:space="preserve">  IF( Time!AL28 &lt; 1 + $F19, 0, OFFSET( AL20, 0, - 1 * ( $F19 ) ) ) + IF( Time!AL28 &lt; 1 + $F19, 0, OFFSET( AL21, 0, - 1 * ( $F19 ) ) )</f>
        <v>282893.88427147525</v>
      </c>
      <c r="AM22" s="3">
        <f ca="1" xml:space="preserve">  IF( Time!AM28 &lt; 1 + $F19, 0, OFFSET( AM20, 0, - 1 * ( $F19 ) ) ) + IF( Time!AM28 &lt; 1 + $F19, 0, OFFSET( AM21, 0, - 1 * ( $F19 ) ) )</f>
        <v>1058022.8415391739</v>
      </c>
      <c r="AN22" s="3">
        <f ca="1" xml:space="preserve">  IF( Time!AN28 &lt; 1 + $F19, 0, OFFSET( AN20, 0, - 1 * ( $F19 ) ) ) + IF( Time!AN28 &lt; 1 + $F19, 0, OFFSET( AN21, 0, - 1 * ( $F19 ) ) )</f>
        <v>205787.87938284824</v>
      </c>
      <c r="AO22" s="3">
        <f ca="1" xml:space="preserve">  IF( Time!AO28 &lt; 1 + $F19, 0, OFFSET( AO20, 0, - 1 * ( $F19 ) ) ) + IF( Time!AO28 &lt; 1 + $F19, 0, OFFSET( AO21, 0, - 1 * ( $F19 ) ) )</f>
        <v>218266.3183620027</v>
      </c>
      <c r="AP22" s="3">
        <f ca="1" xml:space="preserve">  IF( Time!AP28 &lt; 1 + $F19, 0, OFFSET( AP20, 0, - 1 * ( $F19 ) ) ) + IF( Time!AP28 &lt; 1 + $F19, 0, OFFSET( AP21, 0, - 1 * ( $F19 ) ) )</f>
        <v>1095062.2055103064</v>
      </c>
      <c r="AQ22" s="3">
        <f ca="1" xml:space="preserve">  IF( Time!AQ28 &lt; 1 + $F19, 0, OFFSET( AQ20, 0, - 1 * ( $F19 ) ) ) + IF( Time!AQ28 &lt; 1 + $F19, 0, OFFSET( AQ21, 0, - 1 * ( $F19 ) ) )</f>
        <v>1109073.2135468153</v>
      </c>
      <c r="AR22" s="3">
        <f ca="1" xml:space="preserve">  IF( Time!AR28 &lt; 1 + $F19, 0, OFFSET( AR20, 0, - 1 * ( $F19 ) ) ) + IF( Time!AR28 &lt; 1 + $F19, 0, OFFSET( AR21, 0, - 1 * ( $F19 ) ) )</f>
        <v>1123440.6579017255</v>
      </c>
      <c r="AS22" s="3">
        <f ca="1" xml:space="preserve">  IF( Time!AS28 &lt; 1 + $F19, 0, OFFSET( AS20, 0, - 1 * ( $F19 ) ) ) + IF( Time!AS28 &lt; 1 + $F19, 0, OFFSET( AS21, 0, - 1 * ( $F19 ) ) )</f>
        <v>275172.46109658468</v>
      </c>
      <c r="AT22" s="3">
        <f ca="1" xml:space="preserve">  IF( Time!AT28 &lt; 1 + $F19, 0, OFFSET( AT20, 0, - 1 * ( $F19 ) ) ) + IF( Time!AT28 &lt; 1 + $F19, 0, OFFSET( AT21, 0, - 1 * ( $F19 ) ) )</f>
        <v>291858.19970682322</v>
      </c>
      <c r="AU22" s="3">
        <f ca="1" xml:space="preserve">  IF( Time!AU28 &lt; 1 + $F19, 0, OFFSET( AU20, 0, - 1 * ( $F19 ) ) ) + IF( Time!AU28 &lt; 1 + $F19, 0, OFFSET( AU21, 0, - 1 * ( $F19 ) ) )</f>
        <v>2035894.596989301</v>
      </c>
      <c r="AV22" s="3">
        <f ca="1" xml:space="preserve">  IF( Time!AV28 &lt; 1 + $F19, 0, OFFSET( AV20, 0, - 1 * ( $F19 ) ) ) + IF( Time!AV28 &lt; 1 + $F19, 0, OFFSET( AV21, 0, - 1 * ( $F19 ) ) )</f>
        <v>326511.99764072965</v>
      </c>
      <c r="AW22" s="3">
        <f ca="1" xml:space="preserve">  IF( Time!AW28 &lt; 1 + $F19, 0, OFFSET( AW20, 0, - 1 * ( $F19 ) ) ) + IF( Time!AW28 &lt; 1 + $F19, 0, OFFSET( AW21, 0, - 1 * ( $F19 ) ) )</f>
        <v>518400</v>
      </c>
      <c r="AX22" s="3">
        <f ca="1" xml:space="preserve">  IF( Time!AX28 &lt; 1 + $F19, 0, OFFSET( AX20, 0, - 1 * ( $F19 ) ) ) + IF( Time!AX28 &lt; 1 + $F19, 0, OFFSET( AX21, 0, - 1 * ( $F19 ) ) )</f>
        <v>1414152.6137742535</v>
      </c>
      <c r="AY22" s="3">
        <f ca="1" xml:space="preserve">  IF( Time!AY28 &lt; 1 + $F19, 0, OFFSET( AY20, 0, - 1 * ( $F19 ) ) ) + IF( Time!AY28 &lt; 1 + $F19, 0, OFFSET( AY21, 0, - 1 * ( $F19 ) ) )</f>
        <v>1446375.104153529</v>
      </c>
      <c r="AZ22" s="3">
        <f ca="1" xml:space="preserve">  IF( Time!AZ28 &lt; 1 + $F19, 0, OFFSET( AZ20, 0, - 1 * ( $F19 ) ) ) + IF( Time!AZ28 &lt; 1 + $F19, 0, OFFSET( AZ21, 0, - 1 * ( $F19 ) ) )</f>
        <v>1481655.6373524086</v>
      </c>
      <c r="BA22" s="3">
        <f ca="1" xml:space="preserve">  IF( Time!BA28 &lt; 1 + $F19, 0, OFFSET( BA20, 0, - 1 * ( $F19 ) ) ) + IF( Time!BA28 &lt; 1 + $F19, 0, OFFSET( BA21, 0, - 1 * ( $F19 ) ) )</f>
        <v>655073.48130449071</v>
      </c>
      <c r="BB22" s="3">
        <f ca="1" xml:space="preserve">  IF( Time!BB28 &lt; 1 + $F19, 0, OFFSET( BB20, 0, - 1 * ( $F19 ) ) ) + IF( Time!BB28 &lt; 1 + $F19, 0, OFFSET( BB21, 0, - 1 * ( $F19 ) ) )</f>
        <v>2421441.1996417828</v>
      </c>
      <c r="BC22" s="3">
        <f ca="1" xml:space="preserve">  IF( Time!BC28 &lt; 1 + $F19, 0, OFFSET( BC20, 0, - 1 * ( $F19 ) ) ) + IF( Time!BC28 &lt; 1 + $F19, 0, OFFSET( BC21, 0, - 1 * ( $F19 ) ) )</f>
        <v>1599450.1676120043</v>
      </c>
      <c r="BD22" s="3">
        <f ca="1" xml:space="preserve">  IF( Time!BD28 &lt; 1 + $F19, 0, OFFSET( BD20, 0, - 1 * ( $F19 ) ) ) + IF( Time!BD28 &lt; 1 + $F19, 0, OFFSET( BD21, 0, - 1 * ( $F19 ) ) )</f>
        <v>1642525.5585212999</v>
      </c>
      <c r="BE22" s="3">
        <f ca="1" xml:space="preserve">  IF( Time!BE28 &lt; 1 + $F19, 0, OFFSET( BE20, 0, - 1 * ( $F19 ) ) ) + IF( Time!BE28 &lt; 1 + $F19, 0, OFFSET( BE21, 0, - 1 * ( $F19 ) ) )</f>
        <v>1689980.0638350821</v>
      </c>
      <c r="BF22" s="3">
        <f ca="1" xml:space="preserve">  IF( Time!BF28 &lt; 1 + $F19, 0, OFFSET( BF20, 0, - 1 * ( $F19 ) ) ) + IF( Time!BF28 &lt; 1 + $F19, 0, OFFSET( BF21, 0, - 1 * ( $F19 ) ) )</f>
        <v>1740033.9564166341</v>
      </c>
      <c r="BG22" s="3">
        <f ca="1" xml:space="preserve">  IF( Time!BG28 &lt; 1 + $F19, 0, OFFSET( BG20, 0, - 1 * ( $F19 ) ) ) + IF( Time!BG28 &lt; 1 + $F19, 0, OFFSET( BG21, 0, - 1 * ( $F19 ) ) )</f>
        <v>1787943.4762095995</v>
      </c>
      <c r="BH22" s="3">
        <f ca="1" xml:space="preserve">  IF( Time!BH28 &lt; 1 + $F19, 0, OFFSET( BH20, 0, - 1 * ( $F19 ) ) ) + IF( Time!BH28 &lt; 1 + $F19, 0, OFFSET( BH21, 0, - 1 * ( $F19 ) ) )</f>
        <v>1843881.3745329482</v>
      </c>
      <c r="BI22" s="3">
        <f ca="1" xml:space="preserve">  IF( Time!BI28 &lt; 1 + $F19, 0, OFFSET( BI20, 0, - 1 * ( $F19 ) ) ) + IF( Time!BI28 &lt; 1 + $F19, 0, OFFSET( BI21, 0, - 1 * ( $F19 ) ) )</f>
        <v>2056757.276335455</v>
      </c>
      <c r="BJ22" s="3">
        <f ca="1" xml:space="preserve">  IF( Time!BJ28 &lt; 1 + $F19, 0, OFFSET( BJ20, 0, - 1 * ( $F19 ) ) ) + IF( Time!BJ28 &lt; 1 + $F19, 0, OFFSET( BJ21, 0, - 1 * ( $F19 ) ) )</f>
        <v>2993361.7503375923</v>
      </c>
      <c r="BK22" s="3">
        <f ca="1" xml:space="preserve">  IF( Time!BK28 &lt; 1 + $F19, 0, OFFSET( BK20, 0, - 1 * ( $F19 ) ) ) + IF( Time!BK28 &lt; 1 + $F19, 0, OFFSET( BK21, 0, - 1 * ( $F19 ) ) )</f>
        <v>2203473.0915724854</v>
      </c>
      <c r="BL22" s="3">
        <f ca="1" xml:space="preserve">  IF( Time!BL28 &lt; 1 + $F19, 0, OFFSET( BL20, 0, - 1 * ( $F19 ) ) ) + IF( Time!BL28 &lt; 1 + $F19, 0, OFFSET( BL21, 0, - 1 * ( $F19 ) ) )</f>
        <v>3148617.8308315785</v>
      </c>
      <c r="BM22" s="3">
        <f ca="1" xml:space="preserve">  IF( Time!BM28 &lt; 1 + $F19, 0, OFFSET( BM20, 0, - 1 * ( $F19 ) ) ) + IF( Time!BM28 &lt; 1 + $F19, 0, OFFSET( BM21, 0, - 1 * ( $F19 ) ) )</f>
        <v>2370678.286523975</v>
      </c>
      <c r="BN22" s="3">
        <f ca="1" xml:space="preserve">  IF( Time!BN28 &lt; 1 + $F19, 0, OFFSET( BN20, 0, - 1 * ( $F19 ) ) ) + IF( Time!BN28 &lt; 1 + $F19, 0, OFFSET( BN21, 0, - 1 * ( $F19 ) ) )</f>
        <v>3322923.3689910783</v>
      </c>
      <c r="BO22" s="3">
        <f ca="1" xml:space="preserve">  IF( Time!BO28 &lt; 1 + $F19, 0, OFFSET( BO20, 0, - 1 * ( $F19 ) ) ) + IF( Time!BO28 &lt; 1 + $F19, 0, OFFSET( BO21, 0, - 1 * ( $F19 ) ) )</f>
        <v>3419543.1858854569</v>
      </c>
      <c r="BP22" s="3">
        <f ca="1" xml:space="preserve">  IF( Time!BP28 &lt; 1 + $F19, 0, OFFSET( BP20, 0, - 1 * ( $F19 ) ) ) + IF( Time!BP28 &lt; 1 + $F19, 0, OFFSET( BP21, 0, - 1 * ( $F19 ) ) )</f>
        <v>2654615.6768552866</v>
      </c>
      <c r="BQ22" s="3">
        <f ca="1" xml:space="preserve">  IF( Time!BQ28 &lt; 1 + $F19, 0, OFFSET( BQ20, 0, - 1 * ( $F19 ) ) ) + IF( Time!BQ28 &lt; 1 + $F19, 0, OFFSET( BQ21, 0, - 1 * ( $F19 ) ) )</f>
        <v>3627846.7683985629</v>
      </c>
    </row>
    <row r="25" spans="1:69">
      <c r="B25" s="27" t="s">
        <v>295</v>
      </c>
    </row>
    <row r="26" spans="1:69" s="85" customFormat="1">
      <c r="A26" s="59"/>
      <c r="B26" s="59"/>
      <c r="C26" s="86"/>
      <c r="D26" s="84"/>
      <c r="E26" s="40" t="str">
        <f xml:space="preserve">  InpC!E$51</f>
        <v>Opening Creditors</v>
      </c>
      <c r="F26" s="40">
        <f xml:space="preserve">  InpC!F$51</f>
        <v>0</v>
      </c>
      <c r="G26" s="40" t="str">
        <f xml:space="preserve">  InpC!G$51</f>
        <v>GBP</v>
      </c>
      <c r="M26" s="87"/>
    </row>
    <row r="27" spans="1:69">
      <c r="A27" s="18"/>
      <c r="B27" s="18"/>
      <c r="C27" s="30"/>
      <c r="D27" s="31"/>
      <c r="E27" s="10" t="str">
        <f xml:space="preserve">  Time!E$28</f>
        <v>Period number</v>
      </c>
      <c r="F27" s="10">
        <f xml:space="preserve">  Time!F$28</f>
        <v>0</v>
      </c>
      <c r="G27" s="10" t="str">
        <f xml:space="preserve">  Time!G$28</f>
        <v>Counter</v>
      </c>
      <c r="H27" s="10">
        <f xml:space="preserve">  Time!H$28</f>
        <v>0</v>
      </c>
      <c r="I27" s="10">
        <f xml:space="preserve">  Time!I$28</f>
        <v>0</v>
      </c>
      <c r="J27" s="10">
        <f xml:space="preserve">  Time!J$28</f>
        <v>1</v>
      </c>
      <c r="K27" s="10">
        <f xml:space="preserve">  Time!K$28</f>
        <v>2</v>
      </c>
      <c r="L27" s="10">
        <f xml:space="preserve">  Time!L$28</f>
        <v>3</v>
      </c>
      <c r="M27" s="10">
        <f xml:space="preserve">  Time!M$28</f>
        <v>4</v>
      </c>
      <c r="N27" s="10">
        <f xml:space="preserve">  Time!N$28</f>
        <v>5</v>
      </c>
      <c r="O27" s="10">
        <f xml:space="preserve">  Time!O$28</f>
        <v>6</v>
      </c>
      <c r="P27" s="10">
        <f xml:space="preserve">  Time!P$28</f>
        <v>7</v>
      </c>
      <c r="Q27" s="10">
        <f xml:space="preserve">  Time!Q$28</f>
        <v>8</v>
      </c>
      <c r="R27" s="10">
        <f xml:space="preserve">  Time!R$28</f>
        <v>9</v>
      </c>
      <c r="S27" s="10">
        <f xml:space="preserve">  Time!S$28</f>
        <v>10</v>
      </c>
      <c r="T27" s="10">
        <f xml:space="preserve">  Time!T$28</f>
        <v>11</v>
      </c>
      <c r="U27" s="10">
        <f xml:space="preserve">  Time!U$28</f>
        <v>12</v>
      </c>
      <c r="V27" s="10">
        <f xml:space="preserve">  Time!V$28</f>
        <v>13</v>
      </c>
      <c r="W27" s="10">
        <f xml:space="preserve">  Time!W$28</f>
        <v>14</v>
      </c>
      <c r="X27" s="10">
        <f xml:space="preserve">  Time!X$28</f>
        <v>15</v>
      </c>
      <c r="Y27" s="10">
        <f xml:space="preserve">  Time!Y$28</f>
        <v>16</v>
      </c>
      <c r="Z27" s="10">
        <f xml:space="preserve">  Time!Z$28</f>
        <v>17</v>
      </c>
      <c r="AA27" s="10">
        <f xml:space="preserve">  Time!AA$28</f>
        <v>18</v>
      </c>
      <c r="AB27" s="10">
        <f xml:space="preserve">  Time!AB$28</f>
        <v>19</v>
      </c>
      <c r="AC27" s="10">
        <f xml:space="preserve">  Time!AC$28</f>
        <v>20</v>
      </c>
      <c r="AD27" s="10">
        <f xml:space="preserve">  Time!AD$28</f>
        <v>21</v>
      </c>
      <c r="AE27" s="10">
        <f xml:space="preserve">  Time!AE$28</f>
        <v>22</v>
      </c>
      <c r="AF27" s="10">
        <f xml:space="preserve">  Time!AF$28</f>
        <v>23</v>
      </c>
      <c r="AG27" s="10">
        <f xml:space="preserve">  Time!AG$28</f>
        <v>24</v>
      </c>
      <c r="AH27" s="10">
        <f xml:space="preserve">  Time!AH$28</f>
        <v>25</v>
      </c>
      <c r="AI27" s="10">
        <f xml:space="preserve">  Time!AI$28</f>
        <v>26</v>
      </c>
      <c r="AJ27" s="10">
        <f xml:space="preserve">  Time!AJ$28</f>
        <v>27</v>
      </c>
      <c r="AK27" s="10">
        <f xml:space="preserve">  Time!AK$28</f>
        <v>28</v>
      </c>
      <c r="AL27" s="10">
        <f xml:space="preserve">  Time!AL$28</f>
        <v>29</v>
      </c>
      <c r="AM27" s="10">
        <f xml:space="preserve">  Time!AM$28</f>
        <v>30</v>
      </c>
      <c r="AN27" s="10">
        <f xml:space="preserve">  Time!AN$28</f>
        <v>31</v>
      </c>
      <c r="AO27" s="10">
        <f xml:space="preserve">  Time!AO$28</f>
        <v>32</v>
      </c>
      <c r="AP27" s="10">
        <f xml:space="preserve">  Time!AP$28</f>
        <v>33</v>
      </c>
      <c r="AQ27" s="10">
        <f xml:space="preserve">  Time!AQ$28</f>
        <v>34</v>
      </c>
      <c r="AR27" s="10">
        <f xml:space="preserve">  Time!AR$28</f>
        <v>35</v>
      </c>
      <c r="AS27" s="10">
        <f xml:space="preserve">  Time!AS$28</f>
        <v>36</v>
      </c>
      <c r="AT27" s="10">
        <f xml:space="preserve">  Time!AT$28</f>
        <v>37</v>
      </c>
      <c r="AU27" s="10">
        <f xml:space="preserve">  Time!AU$28</f>
        <v>38</v>
      </c>
      <c r="AV27" s="10">
        <f xml:space="preserve">  Time!AV$28</f>
        <v>39</v>
      </c>
      <c r="AW27" s="10">
        <f xml:space="preserve">  Time!AW$28</f>
        <v>40</v>
      </c>
      <c r="AX27" s="10">
        <f xml:space="preserve">  Time!AX$28</f>
        <v>41</v>
      </c>
      <c r="AY27" s="10">
        <f xml:space="preserve">  Time!AY$28</f>
        <v>42</v>
      </c>
      <c r="AZ27" s="10">
        <f xml:space="preserve">  Time!AZ$28</f>
        <v>43</v>
      </c>
      <c r="BA27" s="10">
        <f xml:space="preserve">  Time!BA$28</f>
        <v>44</v>
      </c>
      <c r="BB27" s="10">
        <f xml:space="preserve">  Time!BB$28</f>
        <v>45</v>
      </c>
      <c r="BC27" s="10">
        <f xml:space="preserve">  Time!BC$28</f>
        <v>46</v>
      </c>
      <c r="BD27" s="10">
        <f xml:space="preserve">  Time!BD$28</f>
        <v>47</v>
      </c>
      <c r="BE27" s="10">
        <f xml:space="preserve">  Time!BE$28</f>
        <v>48</v>
      </c>
      <c r="BF27" s="10">
        <f xml:space="preserve">  Time!BF$28</f>
        <v>49</v>
      </c>
      <c r="BG27" s="10">
        <f xml:space="preserve">  Time!BG$28</f>
        <v>50</v>
      </c>
      <c r="BH27" s="10">
        <f xml:space="preserve">  Time!BH$28</f>
        <v>51</v>
      </c>
      <c r="BI27" s="10">
        <f xml:space="preserve">  Time!BI$28</f>
        <v>52</v>
      </c>
      <c r="BJ27" s="10">
        <f xml:space="preserve">  Time!BJ$28</f>
        <v>53</v>
      </c>
      <c r="BK27" s="10">
        <f xml:space="preserve">  Time!BK$28</f>
        <v>54</v>
      </c>
      <c r="BL27" s="10">
        <f xml:space="preserve">  Time!BL$28</f>
        <v>55</v>
      </c>
      <c r="BM27" s="10">
        <f xml:space="preserve">  Time!BM$28</f>
        <v>56</v>
      </c>
      <c r="BN27" s="10">
        <f xml:space="preserve">  Time!BN$28</f>
        <v>57</v>
      </c>
      <c r="BO27" s="10">
        <f xml:space="preserve">  Time!BO$28</f>
        <v>58</v>
      </c>
      <c r="BP27" s="10">
        <f xml:space="preserve">  Time!BP$28</f>
        <v>59</v>
      </c>
      <c r="BQ27" s="10">
        <f xml:space="preserve">  Time!BQ$28</f>
        <v>60</v>
      </c>
    </row>
    <row r="28" spans="1:69">
      <c r="E28" s="46" t="s">
        <v>200</v>
      </c>
      <c r="G28" s="46" t="s">
        <v>252</v>
      </c>
      <c r="J28" s="2">
        <f t="shared" ref="J28:BQ28" si="2" xml:space="preserve">  I36</f>
        <v>0</v>
      </c>
      <c r="K28" s="2">
        <f t="shared" ca="1" si="2"/>
        <v>157500</v>
      </c>
      <c r="L28" s="2">
        <f t="shared" ca="1" si="2"/>
        <v>157500</v>
      </c>
      <c r="M28" s="2">
        <f t="shared" ca="1" si="2"/>
        <v>157500</v>
      </c>
      <c r="N28" s="2">
        <f t="shared" ca="1" si="2"/>
        <v>157500</v>
      </c>
      <c r="O28" s="2">
        <f t="shared" ca="1" si="2"/>
        <v>157500</v>
      </c>
      <c r="P28" s="2">
        <f t="shared" ca="1" si="2"/>
        <v>157500.00000000003</v>
      </c>
      <c r="Q28" s="2">
        <f t="shared" ca="1" si="2"/>
        <v>168000</v>
      </c>
      <c r="R28" s="2">
        <f t="shared" ca="1" si="2"/>
        <v>168000</v>
      </c>
      <c r="S28" s="2">
        <f t="shared" ca="1" si="2"/>
        <v>168000</v>
      </c>
      <c r="T28" s="2">
        <f t="shared" ca="1" si="2"/>
        <v>168000</v>
      </c>
      <c r="U28" s="2">
        <f t="shared" ca="1" si="2"/>
        <v>168000</v>
      </c>
      <c r="V28" s="2">
        <f t="shared" ca="1" si="2"/>
        <v>168000</v>
      </c>
      <c r="W28" s="2">
        <f t="shared" ca="1" si="2"/>
        <v>178500</v>
      </c>
      <c r="X28" s="2">
        <f t="shared" ca="1" si="2"/>
        <v>178500</v>
      </c>
      <c r="Y28" s="2">
        <f t="shared" ca="1" si="2"/>
        <v>178500</v>
      </c>
      <c r="Z28" s="2">
        <f t="shared" ca="1" si="2"/>
        <v>178499.99999999997</v>
      </c>
      <c r="AA28" s="2">
        <f t="shared" ca="1" si="2"/>
        <v>336000</v>
      </c>
      <c r="AB28" s="2">
        <f t="shared" ca="1" si="2"/>
        <v>336000</v>
      </c>
      <c r="AC28" s="2">
        <f t="shared" ca="1" si="2"/>
        <v>189000.00000000006</v>
      </c>
      <c r="AD28" s="2">
        <f t="shared" ca="1" si="2"/>
        <v>189000.00000000006</v>
      </c>
      <c r="AE28" s="2">
        <f t="shared" ca="1" si="2"/>
        <v>346500.00000000006</v>
      </c>
      <c r="AF28" s="2">
        <f t="shared" ca="1" si="2"/>
        <v>346500</v>
      </c>
      <c r="AG28" s="2">
        <f t="shared" ca="1" si="2"/>
        <v>199500.00000000003</v>
      </c>
      <c r="AH28" s="2">
        <f t="shared" ca="1" si="2"/>
        <v>357000</v>
      </c>
      <c r="AI28" s="2">
        <f t="shared" ca="1" si="2"/>
        <v>357000</v>
      </c>
      <c r="AJ28" s="2">
        <f t="shared" ca="1" si="2"/>
        <v>514500</v>
      </c>
      <c r="AK28" s="2">
        <f t="shared" ca="1" si="2"/>
        <v>367500</v>
      </c>
      <c r="AL28" s="2">
        <f t="shared" ca="1" si="2"/>
        <v>367499.99999999994</v>
      </c>
      <c r="AM28" s="2">
        <f t="shared" ca="1" si="2"/>
        <v>525000</v>
      </c>
      <c r="AN28" s="2">
        <f t="shared" ca="1" si="2"/>
        <v>378000</v>
      </c>
      <c r="AO28" s="2">
        <f t="shared" ca="1" si="2"/>
        <v>378000.00000000006</v>
      </c>
      <c r="AP28" s="2">
        <f t="shared" ca="1" si="2"/>
        <v>388500</v>
      </c>
      <c r="AQ28" s="2">
        <f t="shared" ca="1" si="2"/>
        <v>388500</v>
      </c>
      <c r="AR28" s="2">
        <f t="shared" ca="1" si="2"/>
        <v>546000</v>
      </c>
      <c r="AS28" s="2">
        <f t="shared" ca="1" si="2"/>
        <v>398999.99999999994</v>
      </c>
      <c r="AT28" s="2">
        <f t="shared" ca="1" si="2"/>
        <v>556500.00000000012</v>
      </c>
      <c r="AU28" s="2">
        <f t="shared" ca="1" si="2"/>
        <v>714000.00000000023</v>
      </c>
      <c r="AV28" s="2">
        <f t="shared" ca="1" si="2"/>
        <v>567000.00000000023</v>
      </c>
      <c r="AW28" s="2">
        <f t="shared" ca="1" si="2"/>
        <v>724500.00000000023</v>
      </c>
      <c r="AX28" s="2">
        <f t="shared" ca="1" si="2"/>
        <v>735000.00000000035</v>
      </c>
      <c r="AY28" s="2">
        <f t="shared" ca="1" si="2"/>
        <v>735000.00000000035</v>
      </c>
      <c r="AZ28" s="2">
        <f t="shared" ca="1" si="2"/>
        <v>745500.00000000035</v>
      </c>
      <c r="BA28" s="2">
        <f t="shared" ca="1" si="2"/>
        <v>756000.00000000023</v>
      </c>
      <c r="BB28" s="2">
        <f t="shared" ca="1" si="2"/>
        <v>913500.00000000012</v>
      </c>
      <c r="BC28" s="2">
        <f t="shared" ca="1" si="2"/>
        <v>924000</v>
      </c>
      <c r="BD28" s="2">
        <f t="shared" ca="1" si="2"/>
        <v>934500.00000000012</v>
      </c>
      <c r="BE28" s="2">
        <f t="shared" ca="1" si="2"/>
        <v>1092000</v>
      </c>
      <c r="BF28" s="2">
        <f t="shared" ca="1" si="2"/>
        <v>1102500</v>
      </c>
      <c r="BG28" s="2">
        <f t="shared" ca="1" si="2"/>
        <v>1113000</v>
      </c>
      <c r="BH28" s="2">
        <f t="shared" ca="1" si="2"/>
        <v>1123499.9999999998</v>
      </c>
      <c r="BI28" s="2">
        <f t="shared" ca="1" si="2"/>
        <v>1133999.9999999998</v>
      </c>
      <c r="BJ28" s="2">
        <f t="shared" ca="1" si="2"/>
        <v>1144499.9999999995</v>
      </c>
      <c r="BK28" s="2">
        <f t="shared" ca="1" si="2"/>
        <v>1154999.9999999995</v>
      </c>
      <c r="BL28" s="2">
        <f t="shared" ca="1" si="2"/>
        <v>1165499.9999999995</v>
      </c>
      <c r="BM28" s="2">
        <f t="shared" ca="1" si="2"/>
        <v>1175999.9999999993</v>
      </c>
      <c r="BN28" s="2">
        <f t="shared" ca="1" si="2"/>
        <v>1186499.9999999993</v>
      </c>
      <c r="BO28" s="2">
        <f t="shared" ca="1" si="2"/>
        <v>1196999.9999999991</v>
      </c>
      <c r="BP28" s="2">
        <f t="shared" ca="1" si="2"/>
        <v>1207499.9999999986</v>
      </c>
      <c r="BQ28" s="2">
        <f t="shared" ca="1" si="2"/>
        <v>1217999.9999999986</v>
      </c>
    </row>
    <row r="29" spans="1:69">
      <c r="A29" s="18"/>
      <c r="B29" s="18"/>
      <c r="C29" s="30"/>
      <c r="D29" s="31" t="s">
        <v>216</v>
      </c>
      <c r="E29" s="4" t="str">
        <f xml:space="preserve">  Financials!E$18</f>
        <v>Supplier Invoices</v>
      </c>
      <c r="F29" s="4">
        <f xml:space="preserve">  Financials!F$18</f>
        <v>0</v>
      </c>
      <c r="G29" s="4" t="str">
        <f xml:space="preserve">  Financials!G$18</f>
        <v>GBP</v>
      </c>
      <c r="H29" s="4">
        <f ca="1" xml:space="preserve">  Financials!H$18</f>
        <v>5775000</v>
      </c>
      <c r="I29" s="4">
        <f xml:space="preserve">  Financials!I$18</f>
        <v>0</v>
      </c>
      <c r="J29" s="4">
        <f ca="1" xml:space="preserve">  Financials!J$18</f>
        <v>175000</v>
      </c>
      <c r="K29" s="4">
        <f ca="1" xml:space="preserve">  Financials!K$18</f>
        <v>0</v>
      </c>
      <c r="L29" s="4">
        <f ca="1" xml:space="preserve">  Financials!L$18</f>
        <v>0</v>
      </c>
      <c r="M29" s="4">
        <f ca="1" xml:space="preserve">  Financials!M$18</f>
        <v>0</v>
      </c>
      <c r="N29" s="4">
        <f ca="1" xml:space="preserve">  Financials!N$18</f>
        <v>0</v>
      </c>
      <c r="O29" s="4">
        <f ca="1" xml:space="preserve">  Financials!O$18</f>
        <v>0</v>
      </c>
      <c r="P29" s="4">
        <f ca="1" xml:space="preserve">  Financials!P$18</f>
        <v>175000</v>
      </c>
      <c r="Q29" s="4">
        <f ca="1" xml:space="preserve">  Financials!Q$18</f>
        <v>0</v>
      </c>
      <c r="R29" s="4">
        <f ca="1" xml:space="preserve">  Financials!R$18</f>
        <v>0</v>
      </c>
      <c r="S29" s="4">
        <f ca="1" xml:space="preserve">  Financials!S$18</f>
        <v>0</v>
      </c>
      <c r="T29" s="4">
        <f ca="1" xml:space="preserve">  Financials!T$18</f>
        <v>0</v>
      </c>
      <c r="U29" s="4">
        <f ca="1" xml:space="preserve">  Financials!U$18</f>
        <v>0</v>
      </c>
      <c r="V29" s="4">
        <f ca="1" xml:space="preserve">  Financials!V$18</f>
        <v>175000</v>
      </c>
      <c r="W29" s="4">
        <f ca="1" xml:space="preserve">  Financials!W$18</f>
        <v>0</v>
      </c>
      <c r="X29" s="4">
        <f ca="1" xml:space="preserve">  Financials!X$18</f>
        <v>0</v>
      </c>
      <c r="Y29" s="4">
        <f ca="1" xml:space="preserve">  Financials!Y$18</f>
        <v>0</v>
      </c>
      <c r="Z29" s="4">
        <f ca="1" xml:space="preserve">  Financials!Z$18</f>
        <v>175000</v>
      </c>
      <c r="AA29" s="4">
        <f ca="1" xml:space="preserve">  Financials!AA$18</f>
        <v>0</v>
      </c>
      <c r="AB29" s="4">
        <f ca="1" xml:space="preserve">  Financials!AB$18</f>
        <v>0</v>
      </c>
      <c r="AC29" s="4">
        <f ca="1" xml:space="preserve">  Financials!AC$18</f>
        <v>0</v>
      </c>
      <c r="AD29" s="4">
        <f ca="1" xml:space="preserve">  Financials!AD$18</f>
        <v>175000</v>
      </c>
      <c r="AE29" s="4">
        <f ca="1" xml:space="preserve">  Financials!AE$18</f>
        <v>0</v>
      </c>
      <c r="AF29" s="4">
        <f ca="1" xml:space="preserve">  Financials!AF$18</f>
        <v>0</v>
      </c>
      <c r="AG29" s="4">
        <f ca="1" xml:space="preserve">  Financials!AG$18</f>
        <v>175000</v>
      </c>
      <c r="AH29" s="4">
        <f ca="1" xml:space="preserve">  Financials!AH$18</f>
        <v>0</v>
      </c>
      <c r="AI29" s="4">
        <f ca="1" xml:space="preserve">  Financials!AI$18</f>
        <v>175000</v>
      </c>
      <c r="AJ29" s="4">
        <f ca="1" xml:space="preserve">  Financials!AJ$18</f>
        <v>0</v>
      </c>
      <c r="AK29" s="4">
        <f ca="1" xml:space="preserve">  Financials!AK$18</f>
        <v>0</v>
      </c>
      <c r="AL29" s="4">
        <f ca="1" xml:space="preserve">  Financials!AL$18</f>
        <v>175000</v>
      </c>
      <c r="AM29" s="4">
        <f ca="1" xml:space="preserve">  Financials!AM$18</f>
        <v>0</v>
      </c>
      <c r="AN29" s="4">
        <f ca="1" xml:space="preserve">  Financials!AN$18</f>
        <v>0</v>
      </c>
      <c r="AO29" s="4">
        <f ca="1" xml:space="preserve">  Financials!AO$18</f>
        <v>175000</v>
      </c>
      <c r="AP29" s="4">
        <f ca="1" xml:space="preserve">  Financials!AP$18</f>
        <v>0</v>
      </c>
      <c r="AQ29" s="4">
        <f ca="1" xml:space="preserve">  Financials!AQ$18</f>
        <v>175000</v>
      </c>
      <c r="AR29" s="4">
        <f ca="1" xml:space="preserve">  Financials!AR$18</f>
        <v>0</v>
      </c>
      <c r="AS29" s="4">
        <f ca="1" xml:space="preserve">  Financials!AS$18</f>
        <v>175000</v>
      </c>
      <c r="AT29" s="4">
        <f ca="1" xml:space="preserve">  Financials!AT$18</f>
        <v>175000</v>
      </c>
      <c r="AU29" s="4">
        <f ca="1" xml:space="preserve">  Financials!AU$18</f>
        <v>0</v>
      </c>
      <c r="AV29" s="4">
        <f ca="1" xml:space="preserve">  Financials!AV$18</f>
        <v>175000</v>
      </c>
      <c r="AW29" s="4">
        <f ca="1" xml:space="preserve">  Financials!AW$18</f>
        <v>175000</v>
      </c>
      <c r="AX29" s="4">
        <f ca="1" xml:space="preserve">  Financials!AX$18</f>
        <v>0</v>
      </c>
      <c r="AY29" s="4">
        <f ca="1" xml:space="preserve">  Financials!AY$18</f>
        <v>175000</v>
      </c>
      <c r="AZ29" s="4">
        <f ca="1" xml:space="preserve">  Financials!AZ$18</f>
        <v>175000</v>
      </c>
      <c r="BA29" s="4">
        <f ca="1" xml:space="preserve">  Financials!BA$18</f>
        <v>175000</v>
      </c>
      <c r="BB29" s="4">
        <f ca="1" xml:space="preserve">  Financials!BB$18</f>
        <v>175000</v>
      </c>
      <c r="BC29" s="4">
        <f ca="1" xml:space="preserve">  Financials!BC$18</f>
        <v>175000</v>
      </c>
      <c r="BD29" s="4">
        <f ca="1" xml:space="preserve">  Financials!BD$18</f>
        <v>175000</v>
      </c>
      <c r="BE29" s="4">
        <f ca="1" xml:space="preserve">  Financials!BE$18</f>
        <v>175000</v>
      </c>
      <c r="BF29" s="4">
        <f ca="1" xml:space="preserve">  Financials!BF$18</f>
        <v>175000</v>
      </c>
      <c r="BG29" s="4">
        <f ca="1" xml:space="preserve">  Financials!BG$18</f>
        <v>175000</v>
      </c>
      <c r="BH29" s="4">
        <f ca="1" xml:space="preserve">  Financials!BH$18</f>
        <v>175000</v>
      </c>
      <c r="BI29" s="4">
        <f ca="1" xml:space="preserve">  Financials!BI$18</f>
        <v>175000</v>
      </c>
      <c r="BJ29" s="4">
        <f ca="1" xml:space="preserve">  Financials!BJ$18</f>
        <v>175000</v>
      </c>
      <c r="BK29" s="4">
        <f ca="1" xml:space="preserve">  Financials!BK$18</f>
        <v>175000</v>
      </c>
      <c r="BL29" s="4">
        <f ca="1" xml:space="preserve">  Financials!BL$18</f>
        <v>175000</v>
      </c>
      <c r="BM29" s="4">
        <f ca="1" xml:space="preserve">  Financials!BM$18</f>
        <v>175000</v>
      </c>
      <c r="BN29" s="4">
        <f ca="1" xml:space="preserve">  Financials!BN$18</f>
        <v>175000</v>
      </c>
      <c r="BO29" s="4">
        <f ca="1" xml:space="preserve">  Financials!BO$18</f>
        <v>175000</v>
      </c>
      <c r="BP29" s="4">
        <f ca="1" xml:space="preserve">  Financials!BP$18</f>
        <v>175000</v>
      </c>
      <c r="BQ29" s="4">
        <f ca="1" xml:space="preserve">  Financials!BQ$18</f>
        <v>175000</v>
      </c>
    </row>
    <row r="30" spans="1:69">
      <c r="A30" s="18"/>
      <c r="B30" s="18"/>
      <c r="C30" s="30"/>
      <c r="D30" s="31" t="s">
        <v>216</v>
      </c>
      <c r="E30" s="4" t="str">
        <f xml:space="preserve">  Inventory!E$11</f>
        <v>VAT on inventory</v>
      </c>
      <c r="F30" s="4">
        <f xml:space="preserve">  Inventory!F$11</f>
        <v>0</v>
      </c>
      <c r="G30" s="4" t="str">
        <f xml:space="preserve">  Inventory!G$11</f>
        <v>GBP</v>
      </c>
      <c r="H30" s="4">
        <f ca="1" xml:space="preserve">  Inventory!H$11</f>
        <v>1155000</v>
      </c>
      <c r="I30" s="4">
        <f xml:space="preserve">  Inventory!I$11</f>
        <v>0</v>
      </c>
      <c r="J30" s="4">
        <f ca="1" xml:space="preserve">  Inventory!J$11</f>
        <v>35000</v>
      </c>
      <c r="K30" s="4">
        <f ca="1" xml:space="preserve">  Inventory!K$11</f>
        <v>0</v>
      </c>
      <c r="L30" s="4">
        <f ca="1" xml:space="preserve">  Inventory!L$11</f>
        <v>0</v>
      </c>
      <c r="M30" s="4">
        <f ca="1" xml:space="preserve">  Inventory!M$11</f>
        <v>0</v>
      </c>
      <c r="N30" s="4">
        <f ca="1" xml:space="preserve">  Inventory!N$11</f>
        <v>0</v>
      </c>
      <c r="O30" s="4">
        <f ca="1" xml:space="preserve">  Inventory!O$11</f>
        <v>0</v>
      </c>
      <c r="P30" s="4">
        <f ca="1" xml:space="preserve">  Inventory!P$11</f>
        <v>35000</v>
      </c>
      <c r="Q30" s="4">
        <f ca="1" xml:space="preserve">  Inventory!Q$11</f>
        <v>0</v>
      </c>
      <c r="R30" s="4">
        <f ca="1" xml:space="preserve">  Inventory!R$11</f>
        <v>0</v>
      </c>
      <c r="S30" s="4">
        <f ca="1" xml:space="preserve">  Inventory!S$11</f>
        <v>0</v>
      </c>
      <c r="T30" s="4">
        <f ca="1" xml:space="preserve">  Inventory!T$11</f>
        <v>0</v>
      </c>
      <c r="U30" s="4">
        <f ca="1" xml:space="preserve">  Inventory!U$11</f>
        <v>0</v>
      </c>
      <c r="V30" s="4">
        <f ca="1" xml:space="preserve">  Inventory!V$11</f>
        <v>35000</v>
      </c>
      <c r="W30" s="4">
        <f ca="1" xml:space="preserve">  Inventory!W$11</f>
        <v>0</v>
      </c>
      <c r="X30" s="4">
        <f ca="1" xml:space="preserve">  Inventory!X$11</f>
        <v>0</v>
      </c>
      <c r="Y30" s="4">
        <f ca="1" xml:space="preserve">  Inventory!Y$11</f>
        <v>0</v>
      </c>
      <c r="Z30" s="4">
        <f ca="1" xml:space="preserve">  Inventory!Z$11</f>
        <v>35000</v>
      </c>
      <c r="AA30" s="4">
        <f ca="1" xml:space="preserve">  Inventory!AA$11</f>
        <v>0</v>
      </c>
      <c r="AB30" s="4">
        <f ca="1" xml:space="preserve">  Inventory!AB$11</f>
        <v>0</v>
      </c>
      <c r="AC30" s="4">
        <f ca="1" xml:space="preserve">  Inventory!AC$11</f>
        <v>0</v>
      </c>
      <c r="AD30" s="4">
        <f ca="1" xml:space="preserve">  Inventory!AD$11</f>
        <v>35000</v>
      </c>
      <c r="AE30" s="4">
        <f ca="1" xml:space="preserve">  Inventory!AE$11</f>
        <v>0</v>
      </c>
      <c r="AF30" s="4">
        <f ca="1" xml:space="preserve">  Inventory!AF$11</f>
        <v>0</v>
      </c>
      <c r="AG30" s="4">
        <f ca="1" xml:space="preserve">  Inventory!AG$11</f>
        <v>35000</v>
      </c>
      <c r="AH30" s="4">
        <f ca="1" xml:space="preserve">  Inventory!AH$11</f>
        <v>0</v>
      </c>
      <c r="AI30" s="4">
        <f ca="1" xml:space="preserve">  Inventory!AI$11</f>
        <v>35000</v>
      </c>
      <c r="AJ30" s="4">
        <f ca="1" xml:space="preserve">  Inventory!AJ$11</f>
        <v>0</v>
      </c>
      <c r="AK30" s="4">
        <f ca="1" xml:space="preserve">  Inventory!AK$11</f>
        <v>0</v>
      </c>
      <c r="AL30" s="4">
        <f ca="1" xml:space="preserve">  Inventory!AL$11</f>
        <v>35000</v>
      </c>
      <c r="AM30" s="4">
        <f ca="1" xml:space="preserve">  Inventory!AM$11</f>
        <v>0</v>
      </c>
      <c r="AN30" s="4">
        <f ca="1" xml:space="preserve">  Inventory!AN$11</f>
        <v>0</v>
      </c>
      <c r="AO30" s="4">
        <f ca="1" xml:space="preserve">  Inventory!AO$11</f>
        <v>35000</v>
      </c>
      <c r="AP30" s="4">
        <f ca="1" xml:space="preserve">  Inventory!AP$11</f>
        <v>0</v>
      </c>
      <c r="AQ30" s="4">
        <f ca="1" xml:space="preserve">  Inventory!AQ$11</f>
        <v>35000</v>
      </c>
      <c r="AR30" s="4">
        <f ca="1" xml:space="preserve">  Inventory!AR$11</f>
        <v>0</v>
      </c>
      <c r="AS30" s="4">
        <f ca="1" xml:space="preserve">  Inventory!AS$11</f>
        <v>35000</v>
      </c>
      <c r="AT30" s="4">
        <f ca="1" xml:space="preserve">  Inventory!AT$11</f>
        <v>35000</v>
      </c>
      <c r="AU30" s="4">
        <f ca="1" xml:space="preserve">  Inventory!AU$11</f>
        <v>0</v>
      </c>
      <c r="AV30" s="4">
        <f ca="1" xml:space="preserve">  Inventory!AV$11</f>
        <v>35000</v>
      </c>
      <c r="AW30" s="4">
        <f ca="1" xml:space="preserve">  Inventory!AW$11</f>
        <v>35000</v>
      </c>
      <c r="AX30" s="4">
        <f ca="1" xml:space="preserve">  Inventory!AX$11</f>
        <v>0</v>
      </c>
      <c r="AY30" s="4">
        <f ca="1" xml:space="preserve">  Inventory!AY$11</f>
        <v>35000</v>
      </c>
      <c r="AZ30" s="4">
        <f ca="1" xml:space="preserve">  Inventory!AZ$11</f>
        <v>35000</v>
      </c>
      <c r="BA30" s="4">
        <f ca="1" xml:space="preserve">  Inventory!BA$11</f>
        <v>35000</v>
      </c>
      <c r="BB30" s="4">
        <f ca="1" xml:space="preserve">  Inventory!BB$11</f>
        <v>35000</v>
      </c>
      <c r="BC30" s="4">
        <f ca="1" xml:space="preserve">  Inventory!BC$11</f>
        <v>35000</v>
      </c>
      <c r="BD30" s="4">
        <f ca="1" xml:space="preserve">  Inventory!BD$11</f>
        <v>35000</v>
      </c>
      <c r="BE30" s="4">
        <f ca="1" xml:space="preserve">  Inventory!BE$11</f>
        <v>35000</v>
      </c>
      <c r="BF30" s="4">
        <f ca="1" xml:space="preserve">  Inventory!BF$11</f>
        <v>35000</v>
      </c>
      <c r="BG30" s="4">
        <f ca="1" xml:space="preserve">  Inventory!BG$11</f>
        <v>35000</v>
      </c>
      <c r="BH30" s="4">
        <f ca="1" xml:space="preserve">  Inventory!BH$11</f>
        <v>35000</v>
      </c>
      <c r="BI30" s="4">
        <f ca="1" xml:space="preserve">  Inventory!BI$11</f>
        <v>35000</v>
      </c>
      <c r="BJ30" s="4">
        <f ca="1" xml:space="preserve">  Inventory!BJ$11</f>
        <v>35000</v>
      </c>
      <c r="BK30" s="4">
        <f ca="1" xml:space="preserve">  Inventory!BK$11</f>
        <v>35000</v>
      </c>
      <c r="BL30" s="4">
        <f ca="1" xml:space="preserve">  Inventory!BL$11</f>
        <v>35000</v>
      </c>
      <c r="BM30" s="4">
        <f ca="1" xml:space="preserve">  Inventory!BM$11</f>
        <v>35000</v>
      </c>
      <c r="BN30" s="4">
        <f ca="1" xml:space="preserve">  Inventory!BN$11</f>
        <v>35000</v>
      </c>
      <c r="BO30" s="4">
        <f ca="1" xml:space="preserve">  Inventory!BO$11</f>
        <v>35000</v>
      </c>
      <c r="BP30" s="4">
        <f ca="1" xml:space="preserve">  Inventory!BP$11</f>
        <v>35000</v>
      </c>
      <c r="BQ30" s="4">
        <f ca="1" xml:space="preserve">  Inventory!BQ$11</f>
        <v>35000</v>
      </c>
    </row>
    <row r="31" spans="1:69">
      <c r="D31" s="88" t="s">
        <v>216</v>
      </c>
      <c r="E31" s="2" t="str">
        <f t="shared" ref="E31:BQ31" si="3" xml:space="preserve">  E$51</f>
        <v>Cash out on Operating Expense POS</v>
      </c>
      <c r="F31" s="2">
        <f t="shared" si="3"/>
        <v>0</v>
      </c>
      <c r="G31" s="2" t="str">
        <f t="shared" si="3"/>
        <v>GBP</v>
      </c>
      <c r="H31" s="2">
        <f t="shared" ca="1" si="3"/>
        <v>8739047.4483311232</v>
      </c>
      <c r="I31" s="2">
        <f t="shared" si="3"/>
        <v>0</v>
      </c>
      <c r="J31" s="2">
        <f t="shared" ca="1" si="3"/>
        <v>57420</v>
      </c>
      <c r="K31" s="2">
        <f t="shared" ca="1" si="3"/>
        <v>57900.248093382812</v>
      </c>
      <c r="L31" s="2">
        <f t="shared" ca="1" si="3"/>
        <v>58392.713570545457</v>
      </c>
      <c r="M31" s="2">
        <f t="shared" ca="1" si="3"/>
        <v>60135.501037377995</v>
      </c>
      <c r="N31" s="2">
        <f t="shared" ca="1" si="3"/>
        <v>60707.429490589246</v>
      </c>
      <c r="O31" s="2">
        <f t="shared" ca="1" si="3"/>
        <v>61293.907651553171</v>
      </c>
      <c r="P31" s="2">
        <f t="shared" ca="1" si="3"/>
        <v>63168.899023067454</v>
      </c>
      <c r="Q31" s="2">
        <f t="shared" ca="1" si="3"/>
        <v>63827.406889334176</v>
      </c>
      <c r="R31" s="2">
        <f t="shared" ca="1" si="3"/>
        <v>64548.447869098556</v>
      </c>
      <c r="S31" s="2">
        <f t="shared" ca="1" si="3"/>
        <v>66576.006186044033</v>
      </c>
      <c r="T31" s="2">
        <f t="shared" ca="1" si="3"/>
        <v>67311.007728157609</v>
      </c>
      <c r="U31" s="2">
        <f t="shared" ca="1" si="3"/>
        <v>68164.305258014734</v>
      </c>
      <c r="V31" s="2">
        <f t="shared" ca="1" si="3"/>
        <v>70290.000000000015</v>
      </c>
      <c r="W31" s="2">
        <f t="shared" ca="1" si="3"/>
        <v>71265.080037937165</v>
      </c>
      <c r="X31" s="2">
        <f t="shared" ca="1" si="3"/>
        <v>72249.478703157962</v>
      </c>
      <c r="Y31" s="2">
        <f t="shared" ca="1" si="3"/>
        <v>74656.623774612905</v>
      </c>
      <c r="Z31" s="2">
        <f t="shared" ca="1" si="3"/>
        <v>75799.679835872084</v>
      </c>
      <c r="AA31" s="2">
        <f t="shared" ca="1" si="3"/>
        <v>76971.722098700731</v>
      </c>
      <c r="AB31" s="2">
        <f t="shared" ca="1" si="3"/>
        <v>79609.318711038621</v>
      </c>
      <c r="AC31" s="2">
        <f t="shared" ca="1" si="3"/>
        <v>80925.099594781292</v>
      </c>
      <c r="AD31" s="2">
        <f t="shared" ca="1" si="3"/>
        <v>82379.056775231918</v>
      </c>
      <c r="AE31" s="2">
        <f t="shared" ca="1" si="3"/>
        <v>85300.141550678149</v>
      </c>
      <c r="AF31" s="2">
        <f t="shared" ca="1" si="3"/>
        <v>86760.992999075475</v>
      </c>
      <c r="AG31" s="2">
        <f t="shared" ca="1" si="3"/>
        <v>88471.515809038494</v>
      </c>
      <c r="AH31" s="2">
        <f t="shared" ca="1" si="3"/>
        <v>98728.250638101817</v>
      </c>
      <c r="AI31" s="2">
        <f t="shared" ca="1" si="3"/>
        <v>101080.87565859596</v>
      </c>
      <c r="AJ31" s="2">
        <f t="shared" ca="1" si="3"/>
        <v>103493.24679997447</v>
      </c>
      <c r="AK31" s="2">
        <f t="shared" ca="1" si="3"/>
        <v>107589.67236776305</v>
      </c>
      <c r="AL31" s="2">
        <f t="shared" ca="1" si="3"/>
        <v>110391.05385907202</v>
      </c>
      <c r="AM31" s="2">
        <f t="shared" ca="1" si="3"/>
        <v>113263.57787598559</v>
      </c>
      <c r="AN31" s="2">
        <f t="shared" ca="1" si="3"/>
        <v>117899.1782137165</v>
      </c>
      <c r="AO31" s="2">
        <f t="shared" ca="1" si="3"/>
        <v>121124.21983275771</v>
      </c>
      <c r="AP31" s="2">
        <f t="shared" ca="1" si="3"/>
        <v>124676.68768137394</v>
      </c>
      <c r="AQ31" s="2">
        <f t="shared" ca="1" si="3"/>
        <v>129954.29390566153</v>
      </c>
      <c r="AR31" s="2">
        <f t="shared" ca="1" si="3"/>
        <v>133537.6083871256</v>
      </c>
      <c r="AS31" s="2">
        <f t="shared" ca="1" si="3"/>
        <v>137726.79454391476</v>
      </c>
      <c r="AT31" s="2">
        <f t="shared" ca="1" si="3"/>
        <v>143534.86543012649</v>
      </c>
      <c r="AU31" s="2">
        <f t="shared" ca="1" si="3"/>
        <v>148253.53631941459</v>
      </c>
      <c r="AV31" s="2">
        <f t="shared" ca="1" si="3"/>
        <v>153078.1544070298</v>
      </c>
      <c r="AW31" s="2">
        <f t="shared" ca="1" si="3"/>
        <v>159961.60770347869</v>
      </c>
      <c r="AX31" s="2">
        <f t="shared" ca="1" si="3"/>
        <v>165564.18378831822</v>
      </c>
      <c r="AY31" s="2">
        <f t="shared" ca="1" si="3"/>
        <v>171309.01848511616</v>
      </c>
      <c r="AZ31" s="2">
        <f t="shared" ca="1" si="3"/>
        <v>179238.9250168936</v>
      </c>
      <c r="BA31" s="2">
        <f t="shared" ca="1" si="3"/>
        <v>185688.72000832635</v>
      </c>
      <c r="BB31" s="2">
        <f t="shared" ca="1" si="3"/>
        <v>192797.84131301288</v>
      </c>
      <c r="BC31" s="2">
        <f t="shared" ca="1" si="3"/>
        <v>201975.15822232151</v>
      </c>
      <c r="BD31" s="2">
        <f t="shared" ca="1" si="3"/>
        <v>209133.68285540037</v>
      </c>
      <c r="BE31" s="2">
        <f t="shared" ca="1" si="3"/>
        <v>217515.7973693212</v>
      </c>
      <c r="BF31" s="2">
        <f t="shared" ca="1" si="3"/>
        <v>227774.88243204652</v>
      </c>
      <c r="BG31" s="2">
        <f t="shared" ca="1" si="3"/>
        <v>237185.79612314366</v>
      </c>
      <c r="BH31" s="2">
        <f t="shared" ca="1" si="3"/>
        <v>246835.77751915995</v>
      </c>
      <c r="BI31" s="2">
        <f t="shared" ca="1" si="3"/>
        <v>259163.00499886635</v>
      </c>
      <c r="BJ31" s="2">
        <f t="shared" ca="1" si="3"/>
        <v>270369.27825401031</v>
      </c>
      <c r="BK31" s="2">
        <f t="shared" ca="1" si="3"/>
        <v>281860.22716739168</v>
      </c>
      <c r="BL31" s="2">
        <f t="shared" ca="1" si="3"/>
        <v>296245.97162889544</v>
      </c>
      <c r="BM31" s="2">
        <f t="shared" ca="1" si="3"/>
        <v>309147.29006830743</v>
      </c>
      <c r="BN31" s="2">
        <f t="shared" ca="1" si="3"/>
        <v>323054.07217238902</v>
      </c>
      <c r="BO31" s="2">
        <f t="shared" ca="1" si="3"/>
        <v>339853.80807572545</v>
      </c>
      <c r="BP31" s="2">
        <f t="shared" ca="1" si="3"/>
        <v>354576.26374973258</v>
      </c>
      <c r="BQ31" s="2">
        <f t="shared" ca="1" si="3"/>
        <v>371339.54277136282</v>
      </c>
    </row>
    <row r="32" spans="1:69">
      <c r="D32" s="88" t="s">
        <v>293</v>
      </c>
      <c r="E32" s="2" t="str">
        <f t="shared" ref="E32:BQ32" si="4" xml:space="preserve">  E$14</f>
        <v>Cash out on Inventory POS</v>
      </c>
      <c r="F32" s="2">
        <f t="shared" si="4"/>
        <v>0</v>
      </c>
      <c r="G32" s="2" t="str">
        <f t="shared" si="4"/>
        <v>GBP</v>
      </c>
      <c r="H32" s="2">
        <f t="shared" ca="1" si="4"/>
        <v>5701499.9999999991</v>
      </c>
      <c r="I32" s="2">
        <f t="shared" si="4"/>
        <v>0</v>
      </c>
      <c r="J32" s="2">
        <f t="shared" ca="1" si="4"/>
        <v>52500</v>
      </c>
      <c r="K32" s="2">
        <f t="shared" ca="1" si="4"/>
        <v>0</v>
      </c>
      <c r="L32" s="2">
        <f t="shared" ca="1" si="4"/>
        <v>0</v>
      </c>
      <c r="M32" s="2">
        <f t="shared" ca="1" si="4"/>
        <v>0</v>
      </c>
      <c r="N32" s="2">
        <f t="shared" ca="1" si="4"/>
        <v>0</v>
      </c>
      <c r="O32" s="2">
        <f t="shared" ca="1" si="4"/>
        <v>0</v>
      </c>
      <c r="P32" s="2">
        <f t="shared" ca="1" si="4"/>
        <v>199499.99999999997</v>
      </c>
      <c r="Q32" s="2">
        <f t="shared" ca="1" si="4"/>
        <v>0</v>
      </c>
      <c r="R32" s="2">
        <f t="shared" ca="1" si="4"/>
        <v>0</v>
      </c>
      <c r="S32" s="2">
        <f t="shared" ca="1" si="4"/>
        <v>0</v>
      </c>
      <c r="T32" s="2">
        <f t="shared" ca="1" si="4"/>
        <v>0</v>
      </c>
      <c r="U32" s="2">
        <f t="shared" ca="1" si="4"/>
        <v>0</v>
      </c>
      <c r="V32" s="2">
        <f t="shared" ca="1" si="4"/>
        <v>199499.99999999997</v>
      </c>
      <c r="W32" s="2">
        <f t="shared" ca="1" si="4"/>
        <v>0</v>
      </c>
      <c r="X32" s="2">
        <f t="shared" ca="1" si="4"/>
        <v>0</v>
      </c>
      <c r="Y32" s="2">
        <f t="shared" ca="1" si="4"/>
        <v>0</v>
      </c>
      <c r="Z32" s="2">
        <f t="shared" ca="1" si="4"/>
        <v>52500</v>
      </c>
      <c r="AA32" s="2">
        <f t="shared" ca="1" si="4"/>
        <v>0</v>
      </c>
      <c r="AB32" s="2">
        <f t="shared" ca="1" si="4"/>
        <v>146999.99999999997</v>
      </c>
      <c r="AC32" s="2">
        <f t="shared" ca="1" si="4"/>
        <v>0</v>
      </c>
      <c r="AD32" s="2">
        <f t="shared" ca="1" si="4"/>
        <v>52500</v>
      </c>
      <c r="AE32" s="2">
        <f t="shared" ca="1" si="4"/>
        <v>0</v>
      </c>
      <c r="AF32" s="2">
        <f t="shared" ca="1" si="4"/>
        <v>146999.99999999997</v>
      </c>
      <c r="AG32" s="2">
        <f t="shared" ca="1" si="4"/>
        <v>52500</v>
      </c>
      <c r="AH32" s="2">
        <f t="shared" ca="1" si="4"/>
        <v>0</v>
      </c>
      <c r="AI32" s="2">
        <f t="shared" ca="1" si="4"/>
        <v>52500</v>
      </c>
      <c r="AJ32" s="2">
        <f t="shared" ca="1" si="4"/>
        <v>146999.99999999997</v>
      </c>
      <c r="AK32" s="2">
        <f t="shared" ca="1" si="4"/>
        <v>0</v>
      </c>
      <c r="AL32" s="2">
        <f t="shared" ca="1" si="4"/>
        <v>52500</v>
      </c>
      <c r="AM32" s="2">
        <f t="shared" ca="1" si="4"/>
        <v>146999.99999999997</v>
      </c>
      <c r="AN32" s="2">
        <f t="shared" ca="1" si="4"/>
        <v>0</v>
      </c>
      <c r="AO32" s="2">
        <f t="shared" ca="1" si="4"/>
        <v>199499.99999999997</v>
      </c>
      <c r="AP32" s="2">
        <f t="shared" ca="1" si="4"/>
        <v>0</v>
      </c>
      <c r="AQ32" s="2">
        <f t="shared" ca="1" si="4"/>
        <v>52500</v>
      </c>
      <c r="AR32" s="2">
        <f t="shared" ca="1" si="4"/>
        <v>146999.99999999997</v>
      </c>
      <c r="AS32" s="2">
        <f t="shared" ca="1" si="4"/>
        <v>52500</v>
      </c>
      <c r="AT32" s="2">
        <f t="shared" ca="1" si="4"/>
        <v>52500</v>
      </c>
      <c r="AU32" s="2">
        <f t="shared" ca="1" si="4"/>
        <v>146999.99999999997</v>
      </c>
      <c r="AV32" s="2">
        <f t="shared" ca="1" si="4"/>
        <v>52500</v>
      </c>
      <c r="AW32" s="2">
        <f t="shared" ca="1" si="4"/>
        <v>199499.99999999997</v>
      </c>
      <c r="AX32" s="2">
        <f t="shared" ca="1" si="4"/>
        <v>0</v>
      </c>
      <c r="AY32" s="2">
        <f t="shared" ca="1" si="4"/>
        <v>199499.99999999997</v>
      </c>
      <c r="AZ32" s="2">
        <f t="shared" ca="1" si="4"/>
        <v>199499.99999999997</v>
      </c>
      <c r="BA32" s="2">
        <f t="shared" ca="1" si="4"/>
        <v>52500</v>
      </c>
      <c r="BB32" s="2">
        <f t="shared" ca="1" si="4"/>
        <v>199499.99999999997</v>
      </c>
      <c r="BC32" s="2">
        <f t="shared" ca="1" si="4"/>
        <v>199499.99999999997</v>
      </c>
      <c r="BD32" s="2">
        <f t="shared" ca="1" si="4"/>
        <v>52500</v>
      </c>
      <c r="BE32" s="2">
        <f t="shared" ca="1" si="4"/>
        <v>199499.99999999997</v>
      </c>
      <c r="BF32" s="2">
        <f t="shared" ca="1" si="4"/>
        <v>199499.99999999997</v>
      </c>
      <c r="BG32" s="2">
        <f t="shared" ca="1" si="4"/>
        <v>199499.99999999997</v>
      </c>
      <c r="BH32" s="2">
        <f t="shared" ca="1" si="4"/>
        <v>199499.99999999997</v>
      </c>
      <c r="BI32" s="2">
        <f t="shared" ca="1" si="4"/>
        <v>199499.99999999997</v>
      </c>
      <c r="BJ32" s="2">
        <f t="shared" ca="1" si="4"/>
        <v>199499.99999999997</v>
      </c>
      <c r="BK32" s="2">
        <f t="shared" ca="1" si="4"/>
        <v>199499.99999999997</v>
      </c>
      <c r="BL32" s="2">
        <f t="shared" ca="1" si="4"/>
        <v>199499.99999999997</v>
      </c>
      <c r="BM32" s="2">
        <f t="shared" ca="1" si="4"/>
        <v>199499.99999999997</v>
      </c>
      <c r="BN32" s="2">
        <f t="shared" ca="1" si="4"/>
        <v>199499.99999999997</v>
      </c>
      <c r="BO32" s="2">
        <f t="shared" ca="1" si="4"/>
        <v>199499.99999999997</v>
      </c>
      <c r="BP32" s="2">
        <f t="shared" ca="1" si="4"/>
        <v>199499.99999999997</v>
      </c>
      <c r="BQ32" s="2">
        <f t="shared" ca="1" si="4"/>
        <v>199499.99999999997</v>
      </c>
    </row>
    <row r="33" spans="1:69">
      <c r="A33" s="18"/>
      <c r="B33" s="18"/>
      <c r="C33" s="30"/>
      <c r="D33" s="31" t="s">
        <v>293</v>
      </c>
      <c r="E33" s="4" t="str">
        <f xml:space="preserve">  Expense!E$19</f>
        <v>Fixed operating expense POS</v>
      </c>
      <c r="F33" s="4">
        <f xml:space="preserve">  Expense!F$19</f>
        <v>0</v>
      </c>
      <c r="G33" s="4" t="str">
        <f xml:space="preserve">  Expense!G$19</f>
        <v>GBP</v>
      </c>
      <c r="H33" s="4">
        <f xml:space="preserve">  Expense!H$19</f>
        <v>3419071.4947073567</v>
      </c>
      <c r="I33" s="4">
        <f xml:space="preserve">  Expense!I$19</f>
        <v>0</v>
      </c>
      <c r="J33" s="4">
        <f xml:space="preserve">  Expense!J$19</f>
        <v>45000</v>
      </c>
      <c r="K33" s="4">
        <f xml:space="preserve">  Expense!K$19</f>
        <v>45000</v>
      </c>
      <c r="L33" s="4">
        <f xml:space="preserve">  Expense!L$19</f>
        <v>45000</v>
      </c>
      <c r="M33" s="4">
        <f xml:space="preserve">  Expense!M$19</f>
        <v>46094.142332421929</v>
      </c>
      <c r="N33" s="4">
        <f xml:space="preserve">  Expense!N$19</f>
        <v>46094.142332421929</v>
      </c>
      <c r="O33" s="4">
        <f xml:space="preserve">  Expense!O$19</f>
        <v>46094.142332421929</v>
      </c>
      <c r="P33" s="4">
        <f xml:space="preserve">  Expense!P$19</f>
        <v>47214.887941368259</v>
      </c>
      <c r="Q33" s="4">
        <f xml:space="preserve">  Expense!Q$19</f>
        <v>47214.887941368259</v>
      </c>
      <c r="R33" s="4">
        <f xml:space="preserve">  Expense!R$19</f>
        <v>47214.887941368259</v>
      </c>
      <c r="S33" s="4">
        <f xml:space="preserve">  Expense!S$19</f>
        <v>48362.883666195121</v>
      </c>
      <c r="T33" s="4">
        <f xml:space="preserve">  Expense!T$19</f>
        <v>48362.883666195121</v>
      </c>
      <c r="U33" s="4">
        <f xml:space="preserve">  Expense!U$19</f>
        <v>48362.883666195121</v>
      </c>
      <c r="V33" s="4">
        <f xml:space="preserve">  Expense!V$19</f>
        <v>49500.000000000007</v>
      </c>
      <c r="W33" s="4">
        <f xml:space="preserve">  Expense!W$19</f>
        <v>49500.000000000007</v>
      </c>
      <c r="X33" s="4">
        <f xml:space="preserve">  Expense!X$19</f>
        <v>49500.000000000007</v>
      </c>
      <c r="Y33" s="4">
        <f xml:space="preserve">  Expense!Y$19</f>
        <v>50708.501394855797</v>
      </c>
      <c r="Z33" s="4">
        <f xml:space="preserve">  Expense!Z$19</f>
        <v>50708.501394855797</v>
      </c>
      <c r="AA33" s="4">
        <f xml:space="preserve">  Expense!AA$19</f>
        <v>50708.501394855797</v>
      </c>
      <c r="AB33" s="4">
        <f xml:space="preserve">  Expense!AB$19</f>
        <v>51939.73483307648</v>
      </c>
      <c r="AC33" s="4">
        <f xml:space="preserve">  Expense!AC$19</f>
        <v>51939.73483307648</v>
      </c>
      <c r="AD33" s="4">
        <f xml:space="preserve">  Expense!AD$19</f>
        <v>51939.73483307648</v>
      </c>
      <c r="AE33" s="4">
        <f xml:space="preserve">  Expense!AE$19</f>
        <v>53204.926698313757</v>
      </c>
      <c r="AF33" s="4">
        <f xml:space="preserve">  Expense!AF$19</f>
        <v>53204.926698313757</v>
      </c>
      <c r="AG33" s="4">
        <f xml:space="preserve">  Expense!AG$19</f>
        <v>53204.926698313757</v>
      </c>
      <c r="AH33" s="4">
        <f xml:space="preserve">  Expense!AH$19</f>
        <v>54454.735278236491</v>
      </c>
      <c r="AI33" s="4">
        <f xml:space="preserve">  Expense!AI$19</f>
        <v>54454.735278236491</v>
      </c>
      <c r="AJ33" s="4">
        <f xml:space="preserve">  Expense!AJ$19</f>
        <v>54454.735278236491</v>
      </c>
      <c r="AK33" s="4">
        <f xml:space="preserve">  Expense!AK$19</f>
        <v>55777.540025685339</v>
      </c>
      <c r="AL33" s="4">
        <f xml:space="preserve">  Expense!AL$19</f>
        <v>55777.540025685339</v>
      </c>
      <c r="AM33" s="4">
        <f xml:space="preserve">  Expense!AM$19</f>
        <v>55777.540025685339</v>
      </c>
      <c r="AN33" s="4">
        <f xml:space="preserve">  Expense!AN$19</f>
        <v>57132.478110867487</v>
      </c>
      <c r="AO33" s="4">
        <f xml:space="preserve">  Expense!AO$19</f>
        <v>57132.478110867487</v>
      </c>
      <c r="AP33" s="4">
        <f xml:space="preserve">  Expense!AP$19</f>
        <v>57132.478110867487</v>
      </c>
      <c r="AQ33" s="4">
        <f xml:space="preserve">  Expense!AQ$19</f>
        <v>58523.837854155172</v>
      </c>
      <c r="AR33" s="4">
        <f xml:space="preserve">  Expense!AR$19</f>
        <v>58523.837854155172</v>
      </c>
      <c r="AS33" s="4">
        <f xml:space="preserve">  Expense!AS$19</f>
        <v>58523.837854155172</v>
      </c>
      <c r="AT33" s="4">
        <f xml:space="preserve">  Expense!AT$19</f>
        <v>59898.907453406857</v>
      </c>
      <c r="AU33" s="4">
        <f xml:space="preserve">  Expense!AU$19</f>
        <v>59898.907453406857</v>
      </c>
      <c r="AV33" s="4">
        <f xml:space="preserve">  Expense!AV$19</f>
        <v>59898.907453406857</v>
      </c>
      <c r="AW33" s="4">
        <f xml:space="preserve">  Expense!AW$19</f>
        <v>61354.297040832636</v>
      </c>
      <c r="AX33" s="4">
        <f xml:space="preserve">  Expense!AX$19</f>
        <v>61354.297040832636</v>
      </c>
      <c r="AY33" s="4">
        <f xml:space="preserve">  Expense!AY$19</f>
        <v>61354.297040832636</v>
      </c>
      <c r="AZ33" s="4">
        <f xml:space="preserve">  Expense!AZ$19</f>
        <v>62845.048856740366</v>
      </c>
      <c r="BA33" s="4">
        <f xml:space="preserve">  Expense!BA$19</f>
        <v>62845.048856740366</v>
      </c>
      <c r="BB33" s="4">
        <f xml:space="preserve">  Expense!BB$19</f>
        <v>62845.048856740366</v>
      </c>
      <c r="BC33" s="4">
        <f xml:space="preserve">  Expense!BC$19</f>
        <v>64375.177481826024</v>
      </c>
      <c r="BD33" s="4">
        <f xml:space="preserve">  Expense!BD$19</f>
        <v>64375.177481826024</v>
      </c>
      <c r="BE33" s="4">
        <f xml:space="preserve">  Expense!BE$19</f>
        <v>64375.177481826024</v>
      </c>
      <c r="BF33" s="4">
        <f xml:space="preserve">  Expense!BF$19</f>
        <v>65887.939007352761</v>
      </c>
      <c r="BG33" s="4">
        <f xml:space="preserve">  Expense!BG$19</f>
        <v>65887.939007352761</v>
      </c>
      <c r="BH33" s="4">
        <f xml:space="preserve">  Expense!BH$19</f>
        <v>65887.939007352761</v>
      </c>
      <c r="BI33" s="4">
        <f xml:space="preserve">  Expense!BI$19</f>
        <v>67489.068501538102</v>
      </c>
      <c r="BJ33" s="4">
        <f xml:space="preserve">  Expense!BJ$19</f>
        <v>67489.068501538102</v>
      </c>
      <c r="BK33" s="4">
        <f xml:space="preserve">  Expense!BK$19</f>
        <v>67489.068501538102</v>
      </c>
      <c r="BL33" s="4">
        <f xml:space="preserve">  Expense!BL$19</f>
        <v>69129.106720078344</v>
      </c>
      <c r="BM33" s="4">
        <f xml:space="preserve">  Expense!BM$19</f>
        <v>69129.106720078344</v>
      </c>
      <c r="BN33" s="4">
        <f xml:space="preserve">  Expense!BN$19</f>
        <v>69129.106720078344</v>
      </c>
      <c r="BO33" s="4">
        <f xml:space="preserve">  Expense!BO$19</f>
        <v>70797.285038834758</v>
      </c>
      <c r="BP33" s="4">
        <f xml:space="preserve">  Expense!BP$19</f>
        <v>70797.285038834758</v>
      </c>
      <c r="BQ33" s="4">
        <f xml:space="preserve">  Expense!BQ$19</f>
        <v>70797.285038834758</v>
      </c>
    </row>
    <row r="34" spans="1:69">
      <c r="A34" s="18"/>
      <c r="B34" s="18"/>
      <c r="C34" s="30"/>
      <c r="D34" s="31" t="s">
        <v>293</v>
      </c>
      <c r="E34" s="4" t="str">
        <f xml:space="preserve">  Expense!E$26</f>
        <v>Variable Operating expense POS</v>
      </c>
      <c r="F34" s="4">
        <f xml:space="preserve">  Expense!F$26</f>
        <v>0</v>
      </c>
      <c r="G34" s="4" t="str">
        <f xml:space="preserve">  Expense!G$26</f>
        <v>GBP</v>
      </c>
      <c r="H34" s="4">
        <f ca="1" xml:space="preserve">  Expense!H$26</f>
        <v>4525517.0946845738</v>
      </c>
      <c r="I34" s="4">
        <f xml:space="preserve">  Expense!I$26</f>
        <v>0</v>
      </c>
      <c r="J34" s="4">
        <f ca="1" xml:space="preserve">  Expense!J$26</f>
        <v>7200</v>
      </c>
      <c r="K34" s="4">
        <f ca="1" xml:space="preserve">  Expense!K$26</f>
        <v>7636.5891758025509</v>
      </c>
      <c r="L34" s="4">
        <f ca="1" xml:space="preserve">  Expense!L$26</f>
        <v>8084.2850641322384</v>
      </c>
      <c r="M34" s="4">
        <f ca="1" xml:space="preserve">  Expense!M$26</f>
        <v>8574.4949742853441</v>
      </c>
      <c r="N34" s="4">
        <f ca="1" xml:space="preserve">  Expense!N$26</f>
        <v>9094.4299317501118</v>
      </c>
      <c r="O34" s="4">
        <f ca="1" xml:space="preserve">  Expense!O$26</f>
        <v>9627.5918962627675</v>
      </c>
      <c r="P34" s="4">
        <f ca="1" xml:space="preserve">  Expense!P$26</f>
        <v>10211.383897783971</v>
      </c>
      <c r="Q34" s="4">
        <f ca="1" xml:space="preserve">  Expense!Q$26</f>
        <v>10810.027412571899</v>
      </c>
      <c r="R34" s="4">
        <f ca="1" xml:space="preserve">  Expense!R$26</f>
        <v>11465.519212357696</v>
      </c>
      <c r="S34" s="4">
        <f ca="1" xml:space="preserve">  Expense!S$26</f>
        <v>12160.758321117633</v>
      </c>
      <c r="T34" s="4">
        <f ca="1" xml:space="preserve">  Expense!T$26</f>
        <v>12828.941541220887</v>
      </c>
      <c r="U34" s="4">
        <f ca="1" xml:space="preserve">  Expense!U$26</f>
        <v>13604.666568363735</v>
      </c>
      <c r="V34" s="4">
        <f ca="1" xml:space="preserve">  Expense!V$26</f>
        <v>14400</v>
      </c>
      <c r="W34" s="4">
        <f ca="1" xml:space="preserve">  Expense!W$26</f>
        <v>15286.43639812469</v>
      </c>
      <c r="X34" s="4">
        <f ca="1" xml:space="preserve">  Expense!X$26</f>
        <v>16181.344275598138</v>
      </c>
      <c r="Y34" s="4">
        <f ca="1" xml:space="preserve">  Expense!Y$26</f>
        <v>17161.156582065021</v>
      </c>
      <c r="Z34" s="4">
        <f ca="1" xml:space="preserve">  Expense!Z$26</f>
        <v>18200.298455936998</v>
      </c>
      <c r="AA34" s="4">
        <f ca="1" xml:space="preserve">  Expense!AA$26</f>
        <v>19265.791422144866</v>
      </c>
      <c r="AB34" s="4">
        <f ca="1" xml:space="preserve">  Expense!AB$26</f>
        <v>20432.373086049545</v>
      </c>
      <c r="AC34" s="4">
        <f ca="1" xml:space="preserve">  Expense!AC$26</f>
        <v>21628.537525815598</v>
      </c>
      <c r="AD34" s="4">
        <f ca="1" xml:space="preserve">  Expense!AD$26</f>
        <v>22950.316780770718</v>
      </c>
      <c r="AE34" s="4">
        <f ca="1" xml:space="preserve">  Expense!AE$26</f>
        <v>24340.656529575466</v>
      </c>
      <c r="AF34" s="4">
        <f ca="1" xml:space="preserve">  Expense!AF$26</f>
        <v>25668.703300845769</v>
      </c>
      <c r="AG34" s="4">
        <f ca="1" xml:space="preserve">  Expense!AG$26</f>
        <v>27223.724037175791</v>
      </c>
      <c r="AH34" s="4">
        <f ca="1" xml:space="preserve">  Expense!AH$26</f>
        <v>35298.219847310618</v>
      </c>
      <c r="AI34" s="4">
        <f ca="1" xml:space="preserve">  Expense!AI$26</f>
        <v>37436.969865941661</v>
      </c>
      <c r="AJ34" s="4">
        <f ca="1" xml:space="preserve">  Expense!AJ$26</f>
        <v>39630.034539922111</v>
      </c>
      <c r="AK34" s="4">
        <f ca="1" xml:space="preserve">  Expense!AK$26</f>
        <v>42031.253035917427</v>
      </c>
      <c r="AL34" s="4">
        <f ca="1" xml:space="preserve">  Expense!AL$26</f>
        <v>44577.963482561958</v>
      </c>
      <c r="AM34" s="4">
        <f ca="1" xml:space="preserve">  Expense!AM$26</f>
        <v>47189.348952483386</v>
      </c>
      <c r="AN34" s="4">
        <f ca="1" xml:space="preserve">  Expense!AN$26</f>
        <v>50048.592992511149</v>
      </c>
      <c r="AO34" s="4">
        <f ca="1" xml:space="preserve">  Expense!AO$26</f>
        <v>52980.449009821335</v>
      </c>
      <c r="AP34" s="4">
        <f ca="1" xml:space="preserve">  Expense!AP$26</f>
        <v>56209.965235836076</v>
      </c>
      <c r="AQ34" s="4">
        <f ca="1" xml:space="preserve">  Expense!AQ$26</f>
        <v>59616.42933280985</v>
      </c>
      <c r="AR34" s="4">
        <f ca="1" xml:space="preserve">  Expense!AR$26</f>
        <v>62873.987952322634</v>
      </c>
      <c r="AS34" s="4">
        <f ca="1" xml:space="preserve">  Expense!AS$26</f>
        <v>66682.33900394915</v>
      </c>
      <c r="AT34" s="4">
        <f ca="1" xml:space="preserve">  Expense!AT$26</f>
        <v>70587.333846708134</v>
      </c>
      <c r="AU34" s="4">
        <f ca="1" xml:space="preserve">  Expense!AU$26</f>
        <v>74877.03465515186</v>
      </c>
      <c r="AV34" s="4">
        <f ca="1" xml:space="preserve">  Expense!AV$26</f>
        <v>79263.051098438416</v>
      </c>
      <c r="AW34" s="4">
        <f ca="1" xml:space="preserve">  Expense!AW$26</f>
        <v>84065.346325966166</v>
      </c>
      <c r="AX34" s="4">
        <f ca="1" xml:space="preserve">  Expense!AX$26</f>
        <v>89158.597312183934</v>
      </c>
      <c r="AY34" s="4">
        <f ca="1" xml:space="preserve">  Expense!AY$26</f>
        <v>94381.174309272974</v>
      </c>
      <c r="AZ34" s="4">
        <f ca="1" xml:space="preserve">  Expense!AZ$26</f>
        <v>100099.42843134473</v>
      </c>
      <c r="BA34" s="4">
        <f ca="1" xml:space="preserve">  Expense!BA$26</f>
        <v>105962.87842355632</v>
      </c>
      <c r="BB34" s="4">
        <f ca="1" xml:space="preserve">  Expense!BB$26</f>
        <v>112425.71597327135</v>
      </c>
      <c r="BC34" s="4">
        <f ca="1" xml:space="preserve">  Expense!BC$26</f>
        <v>119238.60272028444</v>
      </c>
      <c r="BD34" s="4">
        <f ca="1" xml:space="preserve">  Expense!BD$26</f>
        <v>125746.35238671978</v>
      </c>
      <c r="BE34" s="4">
        <f ca="1" xml:space="preserve">  Expense!BE$26</f>
        <v>133366.45649028415</v>
      </c>
      <c r="BF34" s="4">
        <f ca="1" xml:space="preserve">  Expense!BF$26</f>
        <v>141180.13593087136</v>
      </c>
      <c r="BG34" s="4">
        <f ca="1" xml:space="preserve">  Expense!BG$26</f>
        <v>149735.51201368691</v>
      </c>
      <c r="BH34" s="4">
        <f ca="1" xml:space="preserve">  Expense!BH$26</f>
        <v>158508.22237370175</v>
      </c>
      <c r="BI34" s="4">
        <f ca="1" xml:space="preserve">  Expense!BI$26</f>
        <v>168113.66331561311</v>
      </c>
      <c r="BJ34" s="4">
        <f ca="1" xml:space="preserve">  Expense!BJ$26</f>
        <v>178301.18445665308</v>
      </c>
      <c r="BK34" s="4">
        <f ca="1" xml:space="preserve">  Expense!BK$26</f>
        <v>188747.50165063617</v>
      </c>
      <c r="BL34" s="4">
        <f ca="1" xml:space="preserve">  Expense!BL$26</f>
        <v>200185.41294255387</v>
      </c>
      <c r="BM34" s="4">
        <f ca="1" xml:space="preserve">  Expense!BM$26</f>
        <v>211913.88425111026</v>
      </c>
      <c r="BN34" s="4">
        <f ca="1" xml:space="preserve">  Expense!BN$26</f>
        <v>224556.41343663895</v>
      </c>
      <c r="BO34" s="4">
        <f ca="1" xml:space="preserve">  Expense!BO$26</f>
        <v>238160.7223027338</v>
      </c>
      <c r="BP34" s="4">
        <f ca="1" xml:space="preserve">  Expense!BP$26</f>
        <v>251544.77291546759</v>
      </c>
      <c r="BQ34" s="4">
        <f ca="1" xml:space="preserve">  Expense!BQ$26</f>
        <v>266784.11748058593</v>
      </c>
    </row>
    <row r="35" spans="1:69">
      <c r="A35" s="18"/>
      <c r="B35" s="18"/>
      <c r="C35" s="30"/>
      <c r="D35" s="31" t="s">
        <v>293</v>
      </c>
      <c r="E35" s="4" t="str">
        <f xml:space="preserve">  Expense!E$13</f>
        <v>VAT on operating expense</v>
      </c>
      <c r="F35" s="4">
        <f xml:space="preserve">  Expense!F$13</f>
        <v>0</v>
      </c>
      <c r="G35" s="4" t="str">
        <f xml:space="preserve">  Expense!G$13</f>
        <v>GBP</v>
      </c>
      <c r="H35" s="4">
        <f ca="1" xml:space="preserve">  Expense!H$13</f>
        <v>794458.85893919331</v>
      </c>
      <c r="I35" s="4">
        <f xml:space="preserve">  Expense!I$13</f>
        <v>0</v>
      </c>
      <c r="J35" s="4">
        <f ca="1" xml:space="preserve">  Expense!J$13</f>
        <v>5220</v>
      </c>
      <c r="K35" s="4">
        <f ca="1" xml:space="preserve">  Expense!K$13</f>
        <v>5263.6589175802555</v>
      </c>
      <c r="L35" s="4">
        <f ca="1" xml:space="preserve">  Expense!L$13</f>
        <v>5308.4285064132237</v>
      </c>
      <c r="M35" s="4">
        <f ca="1" xml:space="preserve">  Expense!M$13</f>
        <v>5466.8637306707278</v>
      </c>
      <c r="N35" s="4">
        <f ca="1" xml:space="preserve">  Expense!N$13</f>
        <v>5518.8572264172044</v>
      </c>
      <c r="O35" s="4">
        <f ca="1" xml:space="preserve">  Expense!O$13</f>
        <v>5572.17342286847</v>
      </c>
      <c r="P35" s="4">
        <f ca="1" xml:space="preserve">  Expense!P$13</f>
        <v>5742.6271839152232</v>
      </c>
      <c r="Q35" s="4">
        <f ca="1" xml:space="preserve">  Expense!Q$13</f>
        <v>5802.491535394016</v>
      </c>
      <c r="R35" s="4">
        <f ca="1" xml:space="preserve">  Expense!R$13</f>
        <v>5868.0407153725964</v>
      </c>
      <c r="S35" s="4">
        <f ca="1" xml:space="preserve">  Expense!S$13</f>
        <v>6052.3641987312758</v>
      </c>
      <c r="T35" s="4">
        <f ca="1" xml:space="preserve">  Expense!T$13</f>
        <v>6119.1825207416014</v>
      </c>
      <c r="U35" s="4">
        <f ca="1" xml:space="preserve">  Expense!U$13</f>
        <v>6196.7550234558857</v>
      </c>
      <c r="V35" s="4">
        <f ca="1" xml:space="preserve">  Expense!V$13</f>
        <v>6390.0000000000009</v>
      </c>
      <c r="W35" s="4">
        <f ca="1" xml:space="preserve">  Expense!W$13</f>
        <v>6478.6436398124706</v>
      </c>
      <c r="X35" s="4">
        <f ca="1" xml:space="preserve">  Expense!X$13</f>
        <v>6568.1344275598158</v>
      </c>
      <c r="Y35" s="4">
        <f ca="1" xml:space="preserve">  Expense!Y$13</f>
        <v>6786.9657976920826</v>
      </c>
      <c r="Z35" s="4">
        <f ca="1" xml:space="preserve">  Expense!Z$13</f>
        <v>6890.8799850792802</v>
      </c>
      <c r="AA35" s="4">
        <f ca="1" xml:space="preserve">  Expense!AA$13</f>
        <v>6997.4292817000669</v>
      </c>
      <c r="AB35" s="4">
        <f ca="1" xml:space="preserve">  Expense!AB$13</f>
        <v>7237.2107919126029</v>
      </c>
      <c r="AC35" s="4">
        <f ca="1" xml:space="preserve">  Expense!AC$13</f>
        <v>7356.8272358892082</v>
      </c>
      <c r="AD35" s="4">
        <f ca="1" xml:space="preserve">  Expense!AD$13</f>
        <v>7489.0051613847209</v>
      </c>
      <c r="AE35" s="4">
        <f ca="1" xml:space="preserve">  Expense!AE$13</f>
        <v>7754.5583227889219</v>
      </c>
      <c r="AF35" s="4">
        <f ca="1" xml:space="preserve">  Expense!AF$13</f>
        <v>7887.362999915953</v>
      </c>
      <c r="AG35" s="4">
        <f ca="1" xml:space="preserve">  Expense!AG$13</f>
        <v>8042.8650735489546</v>
      </c>
      <c r="AH35" s="4">
        <f ca="1" xml:space="preserve">  Expense!AH$13</f>
        <v>8975.2955125547105</v>
      </c>
      <c r="AI35" s="4">
        <f ca="1" xml:space="preserve">  Expense!AI$13</f>
        <v>9189.1705144178159</v>
      </c>
      <c r="AJ35" s="4">
        <f ca="1" xml:space="preserve">  Expense!AJ$13</f>
        <v>9408.4769818158602</v>
      </c>
      <c r="AK35" s="4">
        <f ca="1" xml:space="preserve">  Expense!AK$13</f>
        <v>9780.8793061602773</v>
      </c>
      <c r="AL35" s="4">
        <f ca="1" xml:space="preserve">  Expense!AL$13</f>
        <v>10035.550350824729</v>
      </c>
      <c r="AM35" s="4">
        <f ca="1" xml:space="preserve">  Expense!AM$13</f>
        <v>10296.688897816872</v>
      </c>
      <c r="AN35" s="4">
        <f ca="1" xml:space="preserve">  Expense!AN$13</f>
        <v>10718.107110337864</v>
      </c>
      <c r="AO35" s="4">
        <f ca="1" xml:space="preserve">  Expense!AO$13</f>
        <v>11011.292712068884</v>
      </c>
      <c r="AP35" s="4">
        <f ca="1" xml:space="preserve">  Expense!AP$13</f>
        <v>11334.244334670359</v>
      </c>
      <c r="AQ35" s="4">
        <f ca="1" xml:space="preserve">  Expense!AQ$13</f>
        <v>11814.026718696503</v>
      </c>
      <c r="AR35" s="4">
        <f ca="1" xml:space="preserve">  Expense!AR$13</f>
        <v>12139.782580647781</v>
      </c>
      <c r="AS35" s="4">
        <f ca="1" xml:space="preserve">  Expense!AS$13</f>
        <v>12520.617685810434</v>
      </c>
      <c r="AT35" s="4">
        <f ca="1" xml:space="preserve">  Expense!AT$13</f>
        <v>13048.6241300115</v>
      </c>
      <c r="AU35" s="4">
        <f ca="1" xml:space="preserve">  Expense!AU$13</f>
        <v>13477.594210855874</v>
      </c>
      <c r="AV35" s="4">
        <f ca="1" xml:space="preserve">  Expense!AV$13</f>
        <v>13916.195855184529</v>
      </c>
      <c r="AW35" s="4">
        <f ca="1" xml:space="preserve">  Expense!AW$13</f>
        <v>14541.964336679883</v>
      </c>
      <c r="AX35" s="4">
        <f ca="1" xml:space="preserve">  Expense!AX$13</f>
        <v>15051.289435301658</v>
      </c>
      <c r="AY35" s="4">
        <f ca="1" xml:space="preserve">  Expense!AY$13</f>
        <v>15573.54713501056</v>
      </c>
      <c r="AZ35" s="4">
        <f ca="1" xml:space="preserve">  Expense!AZ$13</f>
        <v>16294.447728808511</v>
      </c>
      <c r="BA35" s="4">
        <f ca="1" xml:space="preserve">  Expense!BA$13</f>
        <v>16880.792728029668</v>
      </c>
      <c r="BB35" s="4">
        <f ca="1" xml:space="preserve">  Expense!BB$13</f>
        <v>17527.076483001172</v>
      </c>
      <c r="BC35" s="4">
        <f ca="1" xml:space="preserve">  Expense!BC$13</f>
        <v>18361.378020211047</v>
      </c>
      <c r="BD35" s="4">
        <f ca="1" xml:space="preserve">  Expense!BD$13</f>
        <v>19012.15298685458</v>
      </c>
      <c r="BE35" s="4">
        <f ca="1" xml:space="preserve">  Expense!BE$13</f>
        <v>19774.163397211018</v>
      </c>
      <c r="BF35" s="4">
        <f ca="1" xml:space="preserve">  Expense!BF$13</f>
        <v>20706.807493822413</v>
      </c>
      <c r="BG35" s="4">
        <f ca="1" xml:space="preserve">  Expense!BG$13</f>
        <v>21562.345102103969</v>
      </c>
      <c r="BH35" s="4">
        <f ca="1" xml:space="preserve">  Expense!BH$13</f>
        <v>22439.616138105452</v>
      </c>
      <c r="BI35" s="4">
        <f ca="1" xml:space="preserve">  Expense!BI$13</f>
        <v>23560.273181715122</v>
      </c>
      <c r="BJ35" s="4">
        <f ca="1" xml:space="preserve">  Expense!BJ$13</f>
        <v>24579.025295819119</v>
      </c>
      <c r="BK35" s="4">
        <f ca="1" xml:space="preserve">  Expense!BK$13</f>
        <v>25623.657015217428</v>
      </c>
      <c r="BL35" s="4">
        <f ca="1" xml:space="preserve">  Expense!BL$13</f>
        <v>26931.451966263223</v>
      </c>
      <c r="BM35" s="4">
        <f ca="1" xml:space="preserve">  Expense!BM$13</f>
        <v>28104.299097118859</v>
      </c>
      <c r="BN35" s="4">
        <f ca="1" xml:space="preserve">  Expense!BN$13</f>
        <v>29368.552015671728</v>
      </c>
      <c r="BO35" s="4">
        <f ca="1" xml:space="preserve">  Expense!BO$13</f>
        <v>30895.800734156859</v>
      </c>
      <c r="BP35" s="4">
        <f ca="1" xml:space="preserve">  Expense!BP$13</f>
        <v>32234.205795430236</v>
      </c>
      <c r="BQ35" s="4">
        <f ca="1" xml:space="preserve">  Expense!BQ$13</f>
        <v>33758.140251942074</v>
      </c>
    </row>
    <row r="36" spans="1:69" s="83" customFormat="1">
      <c r="A36" s="62"/>
      <c r="B36" s="62"/>
      <c r="C36" s="90"/>
      <c r="D36" s="91"/>
      <c r="E36" s="35" t="s">
        <v>295</v>
      </c>
      <c r="F36" s="35"/>
      <c r="G36" s="35" t="s">
        <v>252</v>
      </c>
      <c r="H36" s="35"/>
      <c r="I36" s="11">
        <f t="shared" ref="I36:BQ36" si="5" xml:space="preserve">  IF( I27 = 0, $F26, I28 + I29 + I30 - I32 + I33 + I34 + I35 - I31 )</f>
        <v>0</v>
      </c>
      <c r="J36" s="11">
        <f t="shared" ca="1" si="5"/>
        <v>157500</v>
      </c>
      <c r="K36" s="11">
        <f t="shared" ca="1" si="5"/>
        <v>157500</v>
      </c>
      <c r="L36" s="11">
        <f t="shared" ca="1" si="5"/>
        <v>157500</v>
      </c>
      <c r="M36" s="11">
        <f t="shared" ca="1" si="5"/>
        <v>157500</v>
      </c>
      <c r="N36" s="11">
        <f t="shared" ca="1" si="5"/>
        <v>157500</v>
      </c>
      <c r="O36" s="11">
        <f t="shared" ca="1" si="5"/>
        <v>157500.00000000003</v>
      </c>
      <c r="P36" s="11">
        <f t="shared" ca="1" si="5"/>
        <v>168000</v>
      </c>
      <c r="Q36" s="11">
        <f t="shared" ca="1" si="5"/>
        <v>168000</v>
      </c>
      <c r="R36" s="11">
        <f t="shared" ca="1" si="5"/>
        <v>168000</v>
      </c>
      <c r="S36" s="11">
        <f t="shared" ca="1" si="5"/>
        <v>168000</v>
      </c>
      <c r="T36" s="11">
        <f t="shared" ca="1" si="5"/>
        <v>168000</v>
      </c>
      <c r="U36" s="11">
        <f t="shared" ca="1" si="5"/>
        <v>168000</v>
      </c>
      <c r="V36" s="11">
        <f t="shared" ca="1" si="5"/>
        <v>178500</v>
      </c>
      <c r="W36" s="11">
        <f t="shared" ca="1" si="5"/>
        <v>178500</v>
      </c>
      <c r="X36" s="11">
        <f t="shared" ca="1" si="5"/>
        <v>178500</v>
      </c>
      <c r="Y36" s="11">
        <f t="shared" ca="1" si="5"/>
        <v>178499.99999999997</v>
      </c>
      <c r="Z36" s="11">
        <f t="shared" ca="1" si="5"/>
        <v>336000</v>
      </c>
      <c r="AA36" s="11">
        <f t="shared" ca="1" si="5"/>
        <v>336000</v>
      </c>
      <c r="AB36" s="11">
        <f t="shared" ca="1" si="5"/>
        <v>189000.00000000006</v>
      </c>
      <c r="AC36" s="11">
        <f t="shared" ca="1" si="5"/>
        <v>189000.00000000006</v>
      </c>
      <c r="AD36" s="11">
        <f t="shared" ca="1" si="5"/>
        <v>346500.00000000006</v>
      </c>
      <c r="AE36" s="11">
        <f t="shared" ca="1" si="5"/>
        <v>346500</v>
      </c>
      <c r="AF36" s="11">
        <f t="shared" ca="1" si="5"/>
        <v>199500.00000000003</v>
      </c>
      <c r="AG36" s="11">
        <f t="shared" ca="1" si="5"/>
        <v>357000</v>
      </c>
      <c r="AH36" s="11">
        <f t="shared" ca="1" si="5"/>
        <v>357000</v>
      </c>
      <c r="AI36" s="11">
        <f t="shared" ca="1" si="5"/>
        <v>514500</v>
      </c>
      <c r="AJ36" s="11">
        <f t="shared" ca="1" si="5"/>
        <v>367500</v>
      </c>
      <c r="AK36" s="11">
        <f t="shared" ca="1" si="5"/>
        <v>367499.99999999994</v>
      </c>
      <c r="AL36" s="11">
        <f t="shared" ca="1" si="5"/>
        <v>525000</v>
      </c>
      <c r="AM36" s="11">
        <f t="shared" ca="1" si="5"/>
        <v>378000</v>
      </c>
      <c r="AN36" s="11">
        <f t="shared" ca="1" si="5"/>
        <v>378000.00000000006</v>
      </c>
      <c r="AO36" s="11">
        <f t="shared" ca="1" si="5"/>
        <v>388500</v>
      </c>
      <c r="AP36" s="11">
        <f t="shared" ca="1" si="5"/>
        <v>388500</v>
      </c>
      <c r="AQ36" s="11">
        <f t="shared" ca="1" si="5"/>
        <v>546000</v>
      </c>
      <c r="AR36" s="11">
        <f t="shared" ca="1" si="5"/>
        <v>398999.99999999994</v>
      </c>
      <c r="AS36" s="11">
        <f t="shared" ca="1" si="5"/>
        <v>556500.00000000012</v>
      </c>
      <c r="AT36" s="11">
        <f t="shared" ca="1" si="5"/>
        <v>714000.00000000023</v>
      </c>
      <c r="AU36" s="11">
        <f t="shared" ca="1" si="5"/>
        <v>567000.00000000023</v>
      </c>
      <c r="AV36" s="11">
        <f t="shared" ca="1" si="5"/>
        <v>724500.00000000023</v>
      </c>
      <c r="AW36" s="11">
        <f t="shared" ca="1" si="5"/>
        <v>735000.00000000035</v>
      </c>
      <c r="AX36" s="11">
        <f t="shared" ca="1" si="5"/>
        <v>735000.00000000035</v>
      </c>
      <c r="AY36" s="11">
        <f t="shared" ca="1" si="5"/>
        <v>745500.00000000035</v>
      </c>
      <c r="AZ36" s="11">
        <f t="shared" ca="1" si="5"/>
        <v>756000.00000000023</v>
      </c>
      <c r="BA36" s="11">
        <f t="shared" ca="1" si="5"/>
        <v>913500.00000000012</v>
      </c>
      <c r="BB36" s="11">
        <f t="shared" ca="1" si="5"/>
        <v>924000</v>
      </c>
      <c r="BC36" s="11">
        <f t="shared" ca="1" si="5"/>
        <v>934500.00000000012</v>
      </c>
      <c r="BD36" s="11">
        <f t="shared" ca="1" si="5"/>
        <v>1092000</v>
      </c>
      <c r="BE36" s="11">
        <f t="shared" ca="1" si="5"/>
        <v>1102500</v>
      </c>
      <c r="BF36" s="11">
        <f t="shared" ca="1" si="5"/>
        <v>1113000</v>
      </c>
      <c r="BG36" s="11">
        <f t="shared" ca="1" si="5"/>
        <v>1123499.9999999998</v>
      </c>
      <c r="BH36" s="11">
        <f t="shared" ca="1" si="5"/>
        <v>1133999.9999999998</v>
      </c>
      <c r="BI36" s="11">
        <f t="shared" ca="1" si="5"/>
        <v>1144499.9999999995</v>
      </c>
      <c r="BJ36" s="11">
        <f t="shared" ca="1" si="5"/>
        <v>1154999.9999999995</v>
      </c>
      <c r="BK36" s="11">
        <f t="shared" ca="1" si="5"/>
        <v>1165499.9999999995</v>
      </c>
      <c r="BL36" s="11">
        <f t="shared" ca="1" si="5"/>
        <v>1175999.9999999993</v>
      </c>
      <c r="BM36" s="11">
        <f t="shared" ca="1" si="5"/>
        <v>1186499.9999999993</v>
      </c>
      <c r="BN36" s="11">
        <f t="shared" ca="1" si="5"/>
        <v>1196999.9999999991</v>
      </c>
      <c r="BO36" s="11">
        <f t="shared" ca="1" si="5"/>
        <v>1207499.9999999986</v>
      </c>
      <c r="BP36" s="11">
        <f t="shared" ca="1" si="5"/>
        <v>1217999.9999999986</v>
      </c>
      <c r="BQ36" s="11">
        <f t="shared" ca="1" si="5"/>
        <v>1228499.9999999986</v>
      </c>
    </row>
    <row r="38" spans="1:69">
      <c r="B38" s="27" t="s">
        <v>296</v>
      </c>
    </row>
    <row r="39" spans="1:69" s="85" customFormat="1">
      <c r="A39" s="59"/>
      <c r="B39" s="59"/>
      <c r="C39" s="86"/>
      <c r="D39" s="84"/>
      <c r="E39" s="40" t="str">
        <f xml:space="preserve">  InpC!E$50</f>
        <v>Opening Debtors</v>
      </c>
      <c r="F39" s="40">
        <f xml:space="preserve">  InpC!F$50</f>
        <v>0</v>
      </c>
      <c r="G39" s="40" t="str">
        <f xml:space="preserve">  InpC!G$50</f>
        <v>GBP</v>
      </c>
      <c r="M39" s="87"/>
    </row>
    <row r="40" spans="1:69">
      <c r="A40" s="18"/>
      <c r="B40" s="18"/>
      <c r="C40" s="30"/>
      <c r="D40" s="31"/>
      <c r="E40" s="10" t="str">
        <f xml:space="preserve">  Time!E$28</f>
        <v>Period number</v>
      </c>
      <c r="F40" s="10">
        <f xml:space="preserve">  Time!F$28</f>
        <v>0</v>
      </c>
      <c r="G40" s="10" t="str">
        <f xml:space="preserve">  Time!G$28</f>
        <v>Counter</v>
      </c>
      <c r="H40" s="10">
        <f xml:space="preserve">  Time!H$28</f>
        <v>0</v>
      </c>
      <c r="I40" s="10">
        <f xml:space="preserve">  Time!I$28</f>
        <v>0</v>
      </c>
      <c r="J40" s="10">
        <f xml:space="preserve">  Time!J$28</f>
        <v>1</v>
      </c>
      <c r="K40" s="10">
        <f xml:space="preserve">  Time!K$28</f>
        <v>2</v>
      </c>
      <c r="L40" s="10">
        <f xml:space="preserve">  Time!L$28</f>
        <v>3</v>
      </c>
      <c r="M40" s="10">
        <f xml:space="preserve">  Time!M$28</f>
        <v>4</v>
      </c>
      <c r="N40" s="10">
        <f xml:space="preserve">  Time!N$28</f>
        <v>5</v>
      </c>
      <c r="O40" s="10">
        <f xml:space="preserve">  Time!O$28</f>
        <v>6</v>
      </c>
      <c r="P40" s="10">
        <f xml:space="preserve">  Time!P$28</f>
        <v>7</v>
      </c>
      <c r="Q40" s="10">
        <f xml:space="preserve">  Time!Q$28</f>
        <v>8</v>
      </c>
      <c r="R40" s="10">
        <f xml:space="preserve">  Time!R$28</f>
        <v>9</v>
      </c>
      <c r="S40" s="10">
        <f xml:space="preserve">  Time!S$28</f>
        <v>10</v>
      </c>
      <c r="T40" s="10">
        <f xml:space="preserve">  Time!T$28</f>
        <v>11</v>
      </c>
      <c r="U40" s="10">
        <f xml:space="preserve">  Time!U$28</f>
        <v>12</v>
      </c>
      <c r="V40" s="10">
        <f xml:space="preserve">  Time!V$28</f>
        <v>13</v>
      </c>
      <c r="W40" s="10">
        <f xml:space="preserve">  Time!W$28</f>
        <v>14</v>
      </c>
      <c r="X40" s="10">
        <f xml:space="preserve">  Time!X$28</f>
        <v>15</v>
      </c>
      <c r="Y40" s="10">
        <f xml:space="preserve">  Time!Y$28</f>
        <v>16</v>
      </c>
      <c r="Z40" s="10">
        <f xml:space="preserve">  Time!Z$28</f>
        <v>17</v>
      </c>
      <c r="AA40" s="10">
        <f xml:space="preserve">  Time!AA$28</f>
        <v>18</v>
      </c>
      <c r="AB40" s="10">
        <f xml:space="preserve">  Time!AB$28</f>
        <v>19</v>
      </c>
      <c r="AC40" s="10">
        <f xml:space="preserve">  Time!AC$28</f>
        <v>20</v>
      </c>
      <c r="AD40" s="10">
        <f xml:space="preserve">  Time!AD$28</f>
        <v>21</v>
      </c>
      <c r="AE40" s="10">
        <f xml:space="preserve">  Time!AE$28</f>
        <v>22</v>
      </c>
      <c r="AF40" s="10">
        <f xml:space="preserve">  Time!AF$28</f>
        <v>23</v>
      </c>
      <c r="AG40" s="10">
        <f xml:space="preserve">  Time!AG$28</f>
        <v>24</v>
      </c>
      <c r="AH40" s="10">
        <f xml:space="preserve">  Time!AH$28</f>
        <v>25</v>
      </c>
      <c r="AI40" s="10">
        <f xml:space="preserve">  Time!AI$28</f>
        <v>26</v>
      </c>
      <c r="AJ40" s="10">
        <f xml:space="preserve">  Time!AJ$28</f>
        <v>27</v>
      </c>
      <c r="AK40" s="10">
        <f xml:space="preserve">  Time!AK$28</f>
        <v>28</v>
      </c>
      <c r="AL40" s="10">
        <f xml:space="preserve">  Time!AL$28</f>
        <v>29</v>
      </c>
      <c r="AM40" s="10">
        <f xml:space="preserve">  Time!AM$28</f>
        <v>30</v>
      </c>
      <c r="AN40" s="10">
        <f xml:space="preserve">  Time!AN$28</f>
        <v>31</v>
      </c>
      <c r="AO40" s="10">
        <f xml:space="preserve">  Time!AO$28</f>
        <v>32</v>
      </c>
      <c r="AP40" s="10">
        <f xml:space="preserve">  Time!AP$28</f>
        <v>33</v>
      </c>
      <c r="AQ40" s="10">
        <f xml:space="preserve">  Time!AQ$28</f>
        <v>34</v>
      </c>
      <c r="AR40" s="10">
        <f xml:space="preserve">  Time!AR$28</f>
        <v>35</v>
      </c>
      <c r="AS40" s="10">
        <f xml:space="preserve">  Time!AS$28</f>
        <v>36</v>
      </c>
      <c r="AT40" s="10">
        <f xml:space="preserve">  Time!AT$28</f>
        <v>37</v>
      </c>
      <c r="AU40" s="10">
        <f xml:space="preserve">  Time!AU$28</f>
        <v>38</v>
      </c>
      <c r="AV40" s="10">
        <f xml:space="preserve">  Time!AV$28</f>
        <v>39</v>
      </c>
      <c r="AW40" s="10">
        <f xml:space="preserve">  Time!AW$28</f>
        <v>40</v>
      </c>
      <c r="AX40" s="10">
        <f xml:space="preserve">  Time!AX$28</f>
        <v>41</v>
      </c>
      <c r="AY40" s="10">
        <f xml:space="preserve">  Time!AY$28</f>
        <v>42</v>
      </c>
      <c r="AZ40" s="10">
        <f xml:space="preserve">  Time!AZ$28</f>
        <v>43</v>
      </c>
      <c r="BA40" s="10">
        <f xml:space="preserve">  Time!BA$28</f>
        <v>44</v>
      </c>
      <c r="BB40" s="10">
        <f xml:space="preserve">  Time!BB$28</f>
        <v>45</v>
      </c>
      <c r="BC40" s="10">
        <f xml:space="preserve">  Time!BC$28</f>
        <v>46</v>
      </c>
      <c r="BD40" s="10">
        <f xml:space="preserve">  Time!BD$28</f>
        <v>47</v>
      </c>
      <c r="BE40" s="10">
        <f xml:space="preserve">  Time!BE$28</f>
        <v>48</v>
      </c>
      <c r="BF40" s="10">
        <f xml:space="preserve">  Time!BF$28</f>
        <v>49</v>
      </c>
      <c r="BG40" s="10">
        <f xml:space="preserve">  Time!BG$28</f>
        <v>50</v>
      </c>
      <c r="BH40" s="10">
        <f xml:space="preserve">  Time!BH$28</f>
        <v>51</v>
      </c>
      <c r="BI40" s="10">
        <f xml:space="preserve">  Time!BI$28</f>
        <v>52</v>
      </c>
      <c r="BJ40" s="10">
        <f xml:space="preserve">  Time!BJ$28</f>
        <v>53</v>
      </c>
      <c r="BK40" s="10">
        <f xml:space="preserve">  Time!BK$28</f>
        <v>54</v>
      </c>
      <c r="BL40" s="10">
        <f xml:space="preserve">  Time!BL$28</f>
        <v>55</v>
      </c>
      <c r="BM40" s="10">
        <f xml:space="preserve">  Time!BM$28</f>
        <v>56</v>
      </c>
      <c r="BN40" s="10">
        <f xml:space="preserve">  Time!BN$28</f>
        <v>57</v>
      </c>
      <c r="BO40" s="10">
        <f xml:space="preserve">  Time!BO$28</f>
        <v>58</v>
      </c>
      <c r="BP40" s="10">
        <f xml:space="preserve">  Time!BP$28</f>
        <v>59</v>
      </c>
      <c r="BQ40" s="10">
        <f xml:space="preserve">  Time!BQ$28</f>
        <v>60</v>
      </c>
    </row>
    <row r="41" spans="1:69">
      <c r="E41" s="46" t="s">
        <v>64</v>
      </c>
      <c r="G41" s="46" t="s">
        <v>252</v>
      </c>
      <c r="J41" s="2">
        <f t="shared" ref="J41:BQ41" si="6" xml:space="preserve">  I45</f>
        <v>0</v>
      </c>
      <c r="K41" s="2">
        <f t="shared" ca="1" si="6"/>
        <v>0</v>
      </c>
      <c r="L41" s="2">
        <f t="shared" ca="1" si="6"/>
        <v>0</v>
      </c>
      <c r="M41" s="2">
        <f t="shared" ca="1" si="6"/>
        <v>0</v>
      </c>
      <c r="N41" s="2">
        <f t="shared" ca="1" si="6"/>
        <v>0</v>
      </c>
      <c r="O41" s="2">
        <f t="shared" ca="1" si="6"/>
        <v>0</v>
      </c>
      <c r="P41" s="2">
        <f t="shared" ca="1" si="6"/>
        <v>0</v>
      </c>
      <c r="Q41" s="2">
        <f t="shared" ca="1" si="6"/>
        <v>0</v>
      </c>
      <c r="R41" s="2">
        <f t="shared" ca="1" si="6"/>
        <v>725145.29928020365</v>
      </c>
      <c r="S41" s="2">
        <f t="shared" ca="1" si="6"/>
        <v>854865.6282310664</v>
      </c>
      <c r="T41" s="2">
        <f t="shared" ca="1" si="6"/>
        <v>138854.70071979624</v>
      </c>
      <c r="U41" s="2">
        <f t="shared" ca="1" si="6"/>
        <v>9134.3717689334298</v>
      </c>
      <c r="V41" s="2">
        <f t="shared" ca="1" si="6"/>
        <v>-6.3664629124104977E-11</v>
      </c>
      <c r="W41" s="2">
        <f t="shared" ca="1" si="6"/>
        <v>-6.3664629124104977E-11</v>
      </c>
      <c r="X41" s="2">
        <f t="shared" ca="1" si="6"/>
        <v>764384.2559477858</v>
      </c>
      <c r="Y41" s="2">
        <f t="shared" ca="1" si="6"/>
        <v>863999.99999999988</v>
      </c>
      <c r="Z41" s="2">
        <f t="shared" ca="1" si="6"/>
        <v>99615.744052213966</v>
      </c>
      <c r="AA41" s="2">
        <f t="shared" ca="1" si="6"/>
        <v>-8.7311491370201111E-11</v>
      </c>
      <c r="AB41" s="2">
        <f t="shared" ca="1" si="6"/>
        <v>-8.7311491370201111E-11</v>
      </c>
      <c r="AC41" s="2">
        <f t="shared" ca="1" si="6"/>
        <v>-8.7311491370201111E-11</v>
      </c>
      <c r="AD41" s="2">
        <f t="shared" ca="1" si="6"/>
        <v>1589145.2992802034</v>
      </c>
      <c r="AE41" s="2">
        <f t="shared" ca="1" si="6"/>
        <v>1718865.6282310663</v>
      </c>
      <c r="AF41" s="2">
        <f t="shared" ca="1" si="6"/>
        <v>138854.70071979635</v>
      </c>
      <c r="AG41" s="2">
        <f t="shared" ca="1" si="6"/>
        <v>9134.3717689335463</v>
      </c>
      <c r="AH41" s="2">
        <f t="shared" ca="1" si="6"/>
        <v>864000</v>
      </c>
      <c r="AI41" s="2">
        <f t="shared" ca="1" si="6"/>
        <v>864000</v>
      </c>
      <c r="AJ41" s="2">
        <f t="shared" ca="1" si="6"/>
        <v>937184.25594778592</v>
      </c>
      <c r="AK41" s="2">
        <f t="shared" ca="1" si="6"/>
        <v>1220078.1402192612</v>
      </c>
      <c r="AL41" s="2">
        <f t="shared" ca="1" si="6"/>
        <v>1340916.7258106493</v>
      </c>
      <c r="AM41" s="2">
        <f t="shared" ca="1" si="6"/>
        <v>1263810.7209220224</v>
      </c>
      <c r="AN41" s="2">
        <f t="shared" ca="1" si="6"/>
        <v>424054.19774485123</v>
      </c>
      <c r="AO41" s="2">
        <f t="shared" ca="1" si="6"/>
        <v>1313328.5238723094</v>
      </c>
      <c r="AP41" s="2">
        <f t="shared" ca="1" si="6"/>
        <v>2204135.419057122</v>
      </c>
      <c r="AQ41" s="2">
        <f t="shared" ca="1" si="6"/>
        <v>2232513.8714485411</v>
      </c>
      <c r="AR41" s="2">
        <f t="shared" ca="1" si="6"/>
        <v>1398613.1189983105</v>
      </c>
      <c r="AS41" s="2">
        <f t="shared" ca="1" si="6"/>
        <v>567030.66080340813</v>
      </c>
      <c r="AT41" s="2">
        <f t="shared" ca="1" si="6"/>
        <v>2327752.7966961241</v>
      </c>
      <c r="AU41" s="2">
        <f t="shared" ca="1" si="6"/>
        <v>2362406.5946300309</v>
      </c>
      <c r="AV41" s="2">
        <f t="shared" ca="1" si="6"/>
        <v>844911.99764072988</v>
      </c>
      <c r="AW41" s="2">
        <f t="shared" ca="1" si="6"/>
        <v>1932552.6137742538</v>
      </c>
      <c r="AX41" s="2">
        <f t="shared" ca="1" si="6"/>
        <v>2860527.7179277828</v>
      </c>
      <c r="AY41" s="2">
        <f t="shared" ca="1" si="6"/>
        <v>2928030.7415059381</v>
      </c>
      <c r="AZ41" s="2">
        <f t="shared" ca="1" si="6"/>
        <v>2136729.1186568998</v>
      </c>
      <c r="BA41" s="2">
        <f t="shared" ca="1" si="6"/>
        <v>3076514.6809462737</v>
      </c>
      <c r="BB41" s="2">
        <f t="shared" ca="1" si="6"/>
        <v>4020891.3672537878</v>
      </c>
      <c r="BC41" s="2">
        <f t="shared" ca="1" si="6"/>
        <v>3241975.7261333056</v>
      </c>
      <c r="BD41" s="2">
        <f t="shared" ca="1" si="6"/>
        <v>3332505.6223563831</v>
      </c>
      <c r="BE41" s="2">
        <f t="shared" ca="1" si="6"/>
        <v>3430014.0202517183</v>
      </c>
      <c r="BF41" s="2">
        <f t="shared" ca="1" si="6"/>
        <v>3527977.4326262358</v>
      </c>
      <c r="BG41" s="2">
        <f t="shared" ca="1" si="6"/>
        <v>3631824.8507425506</v>
      </c>
      <c r="BH41" s="2">
        <f t="shared" ca="1" si="6"/>
        <v>3900638.6508684056</v>
      </c>
      <c r="BI41" s="2">
        <f t="shared" ca="1" si="6"/>
        <v>5050119.0266730497</v>
      </c>
      <c r="BJ41" s="2">
        <f t="shared" ca="1" si="6"/>
        <v>5196834.841910081</v>
      </c>
      <c r="BK41" s="2">
        <f t="shared" ca="1" si="6"/>
        <v>5352090.9224040667</v>
      </c>
      <c r="BL41" s="2">
        <f t="shared" ca="1" si="6"/>
        <v>5519296.1173555572</v>
      </c>
      <c r="BM41" s="2">
        <f t="shared" ca="1" si="6"/>
        <v>5693601.655515058</v>
      </c>
      <c r="BN41" s="2">
        <f t="shared" ca="1" si="6"/>
        <v>6742466.5548765399</v>
      </c>
      <c r="BO41" s="2">
        <f t="shared" ca="1" si="6"/>
        <v>6074158.8627407458</v>
      </c>
      <c r="BP41" s="2">
        <f t="shared" ca="1" si="6"/>
        <v>6282462.4452538528</v>
      </c>
      <c r="BQ41" s="2">
        <f t="shared" ca="1" si="6"/>
        <v>7370816.8290958125</v>
      </c>
    </row>
    <row r="42" spans="1:69">
      <c r="A42" s="18"/>
      <c r="B42" s="18"/>
      <c r="C42" s="30"/>
      <c r="D42" s="31" t="s">
        <v>216</v>
      </c>
      <c r="E42" s="4" t="str">
        <f xml:space="preserve">  Income!E$12</f>
        <v>New Deferred Income from customer orders</v>
      </c>
      <c r="F42" s="4">
        <f xml:space="preserve">  Income!F$12</f>
        <v>0</v>
      </c>
      <c r="G42" s="4" t="str">
        <f xml:space="preserve">  Income!G$12</f>
        <v>GBP</v>
      </c>
      <c r="H42" s="4">
        <f ca="1" xml:space="preserve">  Income!H$12</f>
        <v>53374910.85979531</v>
      </c>
      <c r="I42" s="4">
        <f xml:space="preserve">  Income!I$12</f>
        <v>0</v>
      </c>
      <c r="J42" s="4">
        <f ca="1" xml:space="preserve">  Income!J$12</f>
        <v>0</v>
      </c>
      <c r="K42" s="4">
        <f ca="1" xml:space="preserve">  Income!K$12</f>
        <v>0</v>
      </c>
      <c r="L42" s="4">
        <f ca="1" xml:space="preserve">  Income!L$12</f>
        <v>0</v>
      </c>
      <c r="M42" s="4">
        <f ca="1" xml:space="preserve">  Income!M$12</f>
        <v>0</v>
      </c>
      <c r="N42" s="4">
        <f ca="1" xml:space="preserve">  Income!N$12</f>
        <v>0</v>
      </c>
      <c r="O42" s="4">
        <f ca="1" xml:space="preserve">  Income!O$12</f>
        <v>0</v>
      </c>
      <c r="P42" s="4">
        <f ca="1" xml:space="preserve">  Income!P$12</f>
        <v>0</v>
      </c>
      <c r="Q42" s="4">
        <f ca="1" xml:space="preserve">  Income!Q$12</f>
        <v>604287.74940016971</v>
      </c>
      <c r="R42" s="4">
        <f ca="1" xml:space="preserve">  Income!R$12</f>
        <v>108100.27412571901</v>
      </c>
      <c r="S42" s="4">
        <f ca="1" xml:space="preserve">  Income!S$12</f>
        <v>7611.9764741112449</v>
      </c>
      <c r="T42" s="4">
        <f ca="1" xml:space="preserve">  Income!T$12</f>
        <v>0</v>
      </c>
      <c r="U42" s="4">
        <f ca="1" xml:space="preserve">  Income!U$12</f>
        <v>0</v>
      </c>
      <c r="V42" s="4">
        <f ca="1" xml:space="preserve">  Income!V$12</f>
        <v>0</v>
      </c>
      <c r="W42" s="4">
        <f ca="1" xml:space="preserve">  Income!W$12</f>
        <v>636986.87995648826</v>
      </c>
      <c r="X42" s="4">
        <f ca="1" xml:space="preserve">  Income!X$12</f>
        <v>83013.120043511706</v>
      </c>
      <c r="Y42" s="4">
        <f ca="1" xml:space="preserve">  Income!Y$12</f>
        <v>0</v>
      </c>
      <c r="Z42" s="4">
        <f ca="1" xml:space="preserve">  Income!Z$12</f>
        <v>0</v>
      </c>
      <c r="AA42" s="4">
        <f ca="1" xml:space="preserve">  Income!AA$12</f>
        <v>0</v>
      </c>
      <c r="AB42" s="4">
        <f ca="1" xml:space="preserve">  Income!AB$12</f>
        <v>0</v>
      </c>
      <c r="AC42" s="4">
        <f ca="1" xml:space="preserve">  Income!AC$12</f>
        <v>1324287.7494001696</v>
      </c>
      <c r="AD42" s="4">
        <f ca="1" xml:space="preserve">  Income!AD$12</f>
        <v>108100.27412571901</v>
      </c>
      <c r="AE42" s="4">
        <f ca="1" xml:space="preserve">  Income!AE$12</f>
        <v>7611.9764741112449</v>
      </c>
      <c r="AF42" s="4">
        <f ca="1" xml:space="preserve">  Income!AF$12</f>
        <v>0</v>
      </c>
      <c r="AG42" s="4">
        <f ca="1" xml:space="preserve">  Income!AG$12</f>
        <v>720000</v>
      </c>
      <c r="AH42" s="4">
        <f ca="1" xml:space="preserve">  Income!AH$12</f>
        <v>0</v>
      </c>
      <c r="AI42" s="4">
        <f ca="1" xml:space="preserve">  Income!AI$12</f>
        <v>780986.87995648826</v>
      </c>
      <c r="AJ42" s="4">
        <f ca="1" xml:space="preserve">  Income!AJ$12</f>
        <v>235744.90355956272</v>
      </c>
      <c r="AK42" s="4">
        <f ca="1" xml:space="preserve">  Income!AK$12</f>
        <v>881685.70128264476</v>
      </c>
      <c r="AL42" s="4">
        <f ca="1" xml:space="preserve">  Income!AL$12</f>
        <v>171489.89948570688</v>
      </c>
      <c r="AM42" s="4">
        <f ca="1" xml:space="preserve">  Income!AM$12</f>
        <v>181888.59863500224</v>
      </c>
      <c r="AN42" s="4">
        <f ca="1" xml:space="preserve">  Income!AN$12</f>
        <v>912551.8379252553</v>
      </c>
      <c r="AO42" s="4">
        <f ca="1" xml:space="preserve">  Income!AO$12</f>
        <v>924227.67795567936</v>
      </c>
      <c r="AP42" s="4">
        <f ca="1" xml:space="preserve">  Income!AP$12</f>
        <v>936200.54825143795</v>
      </c>
      <c r="AQ42" s="4">
        <f ca="1" xml:space="preserve">  Income!AQ$12</f>
        <v>229310.38424715391</v>
      </c>
      <c r="AR42" s="4">
        <f ca="1" xml:space="preserve">  Income!AR$12</f>
        <v>243215.16642235266</v>
      </c>
      <c r="AS42" s="4">
        <f ca="1" xml:space="preserve">  Income!AS$12</f>
        <v>1696578.8308244175</v>
      </c>
      <c r="AT42" s="4">
        <f ca="1" xml:space="preserve">  Income!AT$12</f>
        <v>272093.33136727469</v>
      </c>
      <c r="AU42" s="4">
        <f ca="1" xml:space="preserve">  Income!AU$12</f>
        <v>432000</v>
      </c>
      <c r="AV42" s="4">
        <f ca="1" xml:space="preserve">  Income!AV$12</f>
        <v>1178460.5114785447</v>
      </c>
      <c r="AW42" s="4">
        <f ca="1" xml:space="preserve">  Income!AW$12</f>
        <v>1205312.5867946076</v>
      </c>
      <c r="AX42" s="4">
        <f ca="1" xml:space="preserve">  Income!AX$12</f>
        <v>1234713.0311270072</v>
      </c>
      <c r="AY42" s="4">
        <f ca="1" xml:space="preserve">  Income!AY$12</f>
        <v>545894.56775374222</v>
      </c>
      <c r="AZ42" s="4">
        <f ca="1" xml:space="preserve">  Income!AZ$12</f>
        <v>2017867.6663681525</v>
      </c>
      <c r="BA42" s="4">
        <f ca="1" xml:space="preserve">  Income!BA$12</f>
        <v>1332875.1396766703</v>
      </c>
      <c r="BB42" s="4">
        <f ca="1" xml:space="preserve">  Income!BB$12</f>
        <v>1368771.2987677499</v>
      </c>
      <c r="BC42" s="4">
        <f ca="1" xml:space="preserve">  Income!BC$12</f>
        <v>1408316.7198625684</v>
      </c>
      <c r="BD42" s="4">
        <f ca="1" xml:space="preserve">  Income!BD$12</f>
        <v>1450028.2970138618</v>
      </c>
      <c r="BE42" s="4">
        <f ca="1" xml:space="preserve">  Income!BE$12</f>
        <v>1489952.896841333</v>
      </c>
      <c r="BF42" s="4">
        <f ca="1" xml:space="preserve">  Income!BF$12</f>
        <v>1536567.8121107903</v>
      </c>
      <c r="BG42" s="4">
        <f ca="1" xml:space="preserve">  Income!BG$12</f>
        <v>1713964.3969462125</v>
      </c>
      <c r="BH42" s="4">
        <f ca="1" xml:space="preserve">  Income!BH$12</f>
        <v>2494468.1252813269</v>
      </c>
      <c r="BI42" s="4">
        <f ca="1" xml:space="preserve">  Income!BI$12</f>
        <v>1836227.5763104046</v>
      </c>
      <c r="BJ42" s="4">
        <f ca="1" xml:space="preserve">  Income!BJ$12</f>
        <v>2623848.1923596486</v>
      </c>
      <c r="BK42" s="4">
        <f ca="1" xml:space="preserve">  Income!BK$12</f>
        <v>1975565.2387699792</v>
      </c>
      <c r="BL42" s="4">
        <f ca="1" xml:space="preserve">  Income!BL$12</f>
        <v>2769102.8074925654</v>
      </c>
      <c r="BM42" s="4">
        <f ca="1" xml:space="preserve">  Income!BM$12</f>
        <v>2849619.3215712141</v>
      </c>
      <c r="BN42" s="4">
        <f ca="1" xml:space="preserve">  Income!BN$12</f>
        <v>2212179.7307127388</v>
      </c>
      <c r="BO42" s="4">
        <f ca="1" xml:space="preserve">  Income!BO$12</f>
        <v>3023205.6403321358</v>
      </c>
      <c r="BP42" s="4">
        <f ca="1" xml:space="preserve">  Income!BP$12</f>
        <v>3119141.7172477059</v>
      </c>
      <c r="BQ42" s="4">
        <f ca="1" xml:space="preserve">  Income!BQ$12</f>
        <v>2490853.8250633674</v>
      </c>
    </row>
    <row r="43" spans="1:69">
      <c r="A43" s="18"/>
      <c r="B43" s="18"/>
      <c r="C43" s="30"/>
      <c r="D43" s="31" t="s">
        <v>216</v>
      </c>
      <c r="E43" s="4" t="str">
        <f xml:space="preserve">  VAT!E$17</f>
        <v>Output VAT</v>
      </c>
      <c r="F43" s="4">
        <f xml:space="preserve">  VAT!F$17</f>
        <v>0</v>
      </c>
      <c r="G43" s="4" t="str">
        <f xml:space="preserve">  VAT!G$17</f>
        <v>GBP</v>
      </c>
      <c r="H43" s="4">
        <f ca="1" xml:space="preserve">  VAT!H$17</f>
        <v>10674982.171959061</v>
      </c>
      <c r="I43" s="4">
        <f xml:space="preserve">  VAT!I$17</f>
        <v>0</v>
      </c>
      <c r="J43" s="4">
        <f ca="1" xml:space="preserve">  VAT!J$17</f>
        <v>0</v>
      </c>
      <c r="K43" s="4">
        <f ca="1" xml:space="preserve">  VAT!K$17</f>
        <v>0</v>
      </c>
      <c r="L43" s="4">
        <f ca="1" xml:space="preserve">  VAT!L$17</f>
        <v>0</v>
      </c>
      <c r="M43" s="4">
        <f ca="1" xml:space="preserve">  VAT!M$17</f>
        <v>0</v>
      </c>
      <c r="N43" s="4">
        <f ca="1" xml:space="preserve">  VAT!N$17</f>
        <v>0</v>
      </c>
      <c r="O43" s="4">
        <f ca="1" xml:space="preserve">  VAT!O$17</f>
        <v>0</v>
      </c>
      <c r="P43" s="4">
        <f ca="1" xml:space="preserve">  VAT!P$17</f>
        <v>0</v>
      </c>
      <c r="Q43" s="4">
        <f ca="1" xml:space="preserve">  VAT!Q$17</f>
        <v>120857.54988003394</v>
      </c>
      <c r="R43" s="4">
        <f ca="1" xml:space="preserve">  VAT!R$17</f>
        <v>21620.054825143801</v>
      </c>
      <c r="S43" s="4">
        <f ca="1" xml:space="preserve">  VAT!S$17</f>
        <v>1522.3952948222491</v>
      </c>
      <c r="T43" s="4">
        <f ca="1" xml:space="preserve">  VAT!T$17</f>
        <v>0</v>
      </c>
      <c r="U43" s="4">
        <f ca="1" xml:space="preserve">  VAT!U$17</f>
        <v>0</v>
      </c>
      <c r="V43" s="4">
        <f ca="1" xml:space="preserve">  VAT!V$17</f>
        <v>0</v>
      </c>
      <c r="W43" s="4">
        <f ca="1" xml:space="preserve">  VAT!W$17</f>
        <v>127397.37599129765</v>
      </c>
      <c r="X43" s="4">
        <f ca="1" xml:space="preserve">  VAT!X$17</f>
        <v>16602.624008702343</v>
      </c>
      <c r="Y43" s="4">
        <f ca="1" xml:space="preserve">  VAT!Y$17</f>
        <v>0</v>
      </c>
      <c r="Z43" s="4">
        <f ca="1" xml:space="preserve">  VAT!Z$17</f>
        <v>0</v>
      </c>
      <c r="AA43" s="4">
        <f ca="1" xml:space="preserve">  VAT!AA$17</f>
        <v>0</v>
      </c>
      <c r="AB43" s="4">
        <f ca="1" xml:space="preserve">  VAT!AB$17</f>
        <v>0</v>
      </c>
      <c r="AC43" s="4">
        <f ca="1" xml:space="preserve">  VAT!AC$17</f>
        <v>264857.54988003394</v>
      </c>
      <c r="AD43" s="4">
        <f ca="1" xml:space="preserve">  VAT!AD$17</f>
        <v>21620.054825143801</v>
      </c>
      <c r="AE43" s="4">
        <f ca="1" xml:space="preserve">  VAT!AE$17</f>
        <v>1522.3952948222491</v>
      </c>
      <c r="AF43" s="4">
        <f ca="1" xml:space="preserve">  VAT!AF$17</f>
        <v>0</v>
      </c>
      <c r="AG43" s="4">
        <f ca="1" xml:space="preserve">  VAT!AG$17</f>
        <v>144000</v>
      </c>
      <c r="AH43" s="4">
        <f ca="1" xml:space="preserve">  VAT!AH$17</f>
        <v>0</v>
      </c>
      <c r="AI43" s="4">
        <f ca="1" xml:space="preserve">  VAT!AI$17</f>
        <v>156197.37599129765</v>
      </c>
      <c r="AJ43" s="4">
        <f ca="1" xml:space="preserve">  VAT!AJ$17</f>
        <v>47148.980711912547</v>
      </c>
      <c r="AK43" s="4">
        <f ca="1" xml:space="preserve">  VAT!AK$17</f>
        <v>176337.14025652898</v>
      </c>
      <c r="AL43" s="4">
        <f ca="1" xml:space="preserve">  VAT!AL$17</f>
        <v>34297.979897141377</v>
      </c>
      <c r="AM43" s="4">
        <f ca="1" xml:space="preserve">  VAT!AM$17</f>
        <v>36377.719727000447</v>
      </c>
      <c r="AN43" s="4">
        <f ca="1" xml:space="preserve">  VAT!AN$17</f>
        <v>182510.36758505108</v>
      </c>
      <c r="AO43" s="4">
        <f ca="1" xml:space="preserve">  VAT!AO$17</f>
        <v>184845.53559113588</v>
      </c>
      <c r="AP43" s="4">
        <f ca="1" xml:space="preserve">  VAT!AP$17</f>
        <v>187240.1096502876</v>
      </c>
      <c r="AQ43" s="4">
        <f ca="1" xml:space="preserve">  VAT!AQ$17</f>
        <v>45862.076849430785</v>
      </c>
      <c r="AR43" s="4">
        <f ca="1" xml:space="preserve">  VAT!AR$17</f>
        <v>48643.033284470534</v>
      </c>
      <c r="AS43" s="4">
        <f ca="1" xml:space="preserve">  VAT!AS$17</f>
        <v>339315.76616488351</v>
      </c>
      <c r="AT43" s="4">
        <f ca="1" xml:space="preserve">  VAT!AT$17</f>
        <v>54418.666273454939</v>
      </c>
      <c r="AU43" s="4">
        <f ca="1" xml:space="preserve">  VAT!AU$17</f>
        <v>86400</v>
      </c>
      <c r="AV43" s="4">
        <f ca="1" xml:space="preserve">  VAT!AV$17</f>
        <v>235692.10229570896</v>
      </c>
      <c r="AW43" s="4">
        <f ca="1" xml:space="preserve">  VAT!AW$17</f>
        <v>241062.51735892153</v>
      </c>
      <c r="AX43" s="4">
        <f ca="1" xml:space="preserve">  VAT!AX$17</f>
        <v>246942.60622540145</v>
      </c>
      <c r="AY43" s="4">
        <f ca="1" xml:space="preserve">  VAT!AY$17</f>
        <v>109178.91355074845</v>
      </c>
      <c r="AZ43" s="4">
        <f ca="1" xml:space="preserve">  VAT!AZ$17</f>
        <v>403573.53327363054</v>
      </c>
      <c r="BA43" s="4">
        <f ca="1" xml:space="preserve">  VAT!BA$17</f>
        <v>266575.02793533407</v>
      </c>
      <c r="BB43" s="4">
        <f ca="1" xml:space="preserve">  VAT!BB$17</f>
        <v>273754.25975355</v>
      </c>
      <c r="BC43" s="4">
        <f ca="1" xml:space="preserve">  VAT!BC$17</f>
        <v>281663.34397251369</v>
      </c>
      <c r="BD43" s="4">
        <f ca="1" xml:space="preserve">  VAT!BD$17</f>
        <v>290005.65940277238</v>
      </c>
      <c r="BE43" s="4">
        <f ca="1" xml:space="preserve">  VAT!BE$17</f>
        <v>297990.57936826663</v>
      </c>
      <c r="BF43" s="4">
        <f ca="1" xml:space="preserve">  VAT!BF$17</f>
        <v>307313.56242215808</v>
      </c>
      <c r="BG43" s="4">
        <f ca="1" xml:space="preserve">  VAT!BG$17</f>
        <v>342792.8793892425</v>
      </c>
      <c r="BH43" s="4">
        <f ca="1" xml:space="preserve">  VAT!BH$17</f>
        <v>498893.62505626539</v>
      </c>
      <c r="BI43" s="4">
        <f ca="1" xml:space="preserve">  VAT!BI$17</f>
        <v>367245.51526208094</v>
      </c>
      <c r="BJ43" s="4">
        <f ca="1" xml:space="preserve">  VAT!BJ$17</f>
        <v>524769.63847192971</v>
      </c>
      <c r="BK43" s="4">
        <f ca="1" xml:space="preserve">  VAT!BK$17</f>
        <v>395113.04775399587</v>
      </c>
      <c r="BL43" s="4">
        <f ca="1" xml:space="preserve">  VAT!BL$17</f>
        <v>553820.5614985131</v>
      </c>
      <c r="BM43" s="4">
        <f ca="1" xml:space="preserve">  VAT!BM$17</f>
        <v>569923.86431424285</v>
      </c>
      <c r="BN43" s="4">
        <f ca="1" xml:space="preserve">  VAT!BN$17</f>
        <v>442435.94614254776</v>
      </c>
      <c r="BO43" s="4">
        <f ca="1" xml:space="preserve">  VAT!BO$17</f>
        <v>604641.12806642719</v>
      </c>
      <c r="BP43" s="4">
        <f ca="1" xml:space="preserve">  VAT!BP$17</f>
        <v>623828.34344954125</v>
      </c>
      <c r="BQ43" s="4">
        <f ca="1" xml:space="preserve">  VAT!BQ$17</f>
        <v>498170.76501267351</v>
      </c>
    </row>
    <row r="44" spans="1:69">
      <c r="D44" s="88" t="s">
        <v>293</v>
      </c>
      <c r="E44" s="2" t="str">
        <f t="shared" ref="E44:BQ44" si="7" xml:space="preserve">  E$22</f>
        <v>Cash in from Sales</v>
      </c>
      <c r="F44" s="2">
        <f t="shared" si="7"/>
        <v>0</v>
      </c>
      <c r="G44" s="2" t="str">
        <f t="shared" si="7"/>
        <v>GBP</v>
      </c>
      <c r="H44" s="2">
        <f t="shared" ca="1" si="7"/>
        <v>57317898.380981073</v>
      </c>
      <c r="I44" s="2">
        <f t="shared" si="7"/>
        <v>0</v>
      </c>
      <c r="J44" s="2">
        <f t="shared" ca="1" si="7"/>
        <v>0</v>
      </c>
      <c r="K44" s="2">
        <f t="shared" ca="1" si="7"/>
        <v>0</v>
      </c>
      <c r="L44" s="2">
        <f t="shared" ca="1" si="7"/>
        <v>0</v>
      </c>
      <c r="M44" s="2">
        <f t="shared" ca="1" si="7"/>
        <v>0</v>
      </c>
      <c r="N44" s="2">
        <f t="shared" ca="1" si="7"/>
        <v>0</v>
      </c>
      <c r="O44" s="2">
        <f t="shared" ca="1" si="7"/>
        <v>0</v>
      </c>
      <c r="P44" s="2">
        <f t="shared" ca="1" si="7"/>
        <v>0</v>
      </c>
      <c r="Q44" s="2">
        <f t="shared" ca="1" si="7"/>
        <v>0</v>
      </c>
      <c r="R44" s="2">
        <f t="shared" ca="1" si="7"/>
        <v>0</v>
      </c>
      <c r="S44" s="2">
        <f t="shared" ca="1" si="7"/>
        <v>725145.29928020365</v>
      </c>
      <c r="T44" s="2">
        <f t="shared" ca="1" si="7"/>
        <v>129720.32895086281</v>
      </c>
      <c r="U44" s="2">
        <f t="shared" ca="1" si="7"/>
        <v>9134.3717689334935</v>
      </c>
      <c r="V44" s="2">
        <f t="shared" ca="1" si="7"/>
        <v>0</v>
      </c>
      <c r="W44" s="2">
        <f t="shared" ca="1" si="7"/>
        <v>0</v>
      </c>
      <c r="X44" s="2">
        <f t="shared" ca="1" si="7"/>
        <v>0</v>
      </c>
      <c r="Y44" s="2">
        <f t="shared" ca="1" si="7"/>
        <v>764384.25594778592</v>
      </c>
      <c r="Z44" s="2">
        <f t="shared" ca="1" si="7"/>
        <v>99615.744052214053</v>
      </c>
      <c r="AA44" s="2">
        <f t="shared" ca="1" si="7"/>
        <v>0</v>
      </c>
      <c r="AB44" s="2">
        <f t="shared" ca="1" si="7"/>
        <v>0</v>
      </c>
      <c r="AC44" s="2">
        <f t="shared" ca="1" si="7"/>
        <v>0</v>
      </c>
      <c r="AD44" s="2">
        <f t="shared" ca="1" si="7"/>
        <v>0</v>
      </c>
      <c r="AE44" s="2">
        <f t="shared" ca="1" si="7"/>
        <v>1589145.2992802034</v>
      </c>
      <c r="AF44" s="2">
        <f t="shared" ca="1" si="7"/>
        <v>129720.32895086281</v>
      </c>
      <c r="AG44" s="2">
        <f t="shared" ca="1" si="7"/>
        <v>9134.3717689334935</v>
      </c>
      <c r="AH44" s="2">
        <f t="shared" ca="1" si="7"/>
        <v>0</v>
      </c>
      <c r="AI44" s="2">
        <f t="shared" ca="1" si="7"/>
        <v>864000</v>
      </c>
      <c r="AJ44" s="2">
        <f t="shared" ca="1" si="7"/>
        <v>0</v>
      </c>
      <c r="AK44" s="2">
        <f t="shared" ca="1" si="7"/>
        <v>937184.25594778592</v>
      </c>
      <c r="AL44" s="2">
        <f t="shared" ca="1" si="7"/>
        <v>282893.88427147525</v>
      </c>
      <c r="AM44" s="2">
        <f t="shared" ca="1" si="7"/>
        <v>1058022.8415391739</v>
      </c>
      <c r="AN44" s="2">
        <f t="shared" ca="1" si="7"/>
        <v>205787.87938284824</v>
      </c>
      <c r="AO44" s="2">
        <f t="shared" ca="1" si="7"/>
        <v>218266.3183620027</v>
      </c>
      <c r="AP44" s="2">
        <f t="shared" ca="1" si="7"/>
        <v>1095062.2055103064</v>
      </c>
      <c r="AQ44" s="2">
        <f t="shared" ca="1" si="7"/>
        <v>1109073.2135468153</v>
      </c>
      <c r="AR44" s="2">
        <f t="shared" ca="1" si="7"/>
        <v>1123440.6579017255</v>
      </c>
      <c r="AS44" s="2">
        <f t="shared" ca="1" si="7"/>
        <v>275172.46109658468</v>
      </c>
      <c r="AT44" s="2">
        <f t="shared" ca="1" si="7"/>
        <v>291858.19970682322</v>
      </c>
      <c r="AU44" s="2">
        <f t="shared" ca="1" si="7"/>
        <v>2035894.596989301</v>
      </c>
      <c r="AV44" s="2">
        <f t="shared" ca="1" si="7"/>
        <v>326511.99764072965</v>
      </c>
      <c r="AW44" s="2">
        <f t="shared" ca="1" si="7"/>
        <v>518400</v>
      </c>
      <c r="AX44" s="2">
        <f t="shared" ca="1" si="7"/>
        <v>1414152.6137742535</v>
      </c>
      <c r="AY44" s="2">
        <f t="shared" ca="1" si="7"/>
        <v>1446375.104153529</v>
      </c>
      <c r="AZ44" s="2">
        <f t="shared" ca="1" si="7"/>
        <v>1481655.6373524086</v>
      </c>
      <c r="BA44" s="2">
        <f t="shared" ca="1" si="7"/>
        <v>655073.48130449071</v>
      </c>
      <c r="BB44" s="2">
        <f t="shared" ca="1" si="7"/>
        <v>2421441.1996417828</v>
      </c>
      <c r="BC44" s="2">
        <f t="shared" ca="1" si="7"/>
        <v>1599450.1676120043</v>
      </c>
      <c r="BD44" s="2">
        <f t="shared" ca="1" si="7"/>
        <v>1642525.5585212999</v>
      </c>
      <c r="BE44" s="2">
        <f t="shared" ca="1" si="7"/>
        <v>1689980.0638350821</v>
      </c>
      <c r="BF44" s="2">
        <f t="shared" ca="1" si="7"/>
        <v>1740033.9564166341</v>
      </c>
      <c r="BG44" s="2">
        <f t="shared" ca="1" si="7"/>
        <v>1787943.4762095995</v>
      </c>
      <c r="BH44" s="2">
        <f t="shared" ca="1" si="7"/>
        <v>1843881.3745329482</v>
      </c>
      <c r="BI44" s="2">
        <f t="shared" ca="1" si="7"/>
        <v>2056757.276335455</v>
      </c>
      <c r="BJ44" s="2">
        <f t="shared" ca="1" si="7"/>
        <v>2993361.7503375923</v>
      </c>
      <c r="BK44" s="2">
        <f t="shared" ca="1" si="7"/>
        <v>2203473.0915724854</v>
      </c>
      <c r="BL44" s="2">
        <f t="shared" ca="1" si="7"/>
        <v>3148617.8308315785</v>
      </c>
      <c r="BM44" s="2">
        <f t="shared" ca="1" si="7"/>
        <v>2370678.286523975</v>
      </c>
      <c r="BN44" s="2">
        <f t="shared" ca="1" si="7"/>
        <v>3322923.3689910783</v>
      </c>
      <c r="BO44" s="2">
        <f t="shared" ca="1" si="7"/>
        <v>3419543.1858854569</v>
      </c>
      <c r="BP44" s="2">
        <f t="shared" ca="1" si="7"/>
        <v>2654615.6768552866</v>
      </c>
      <c r="BQ44" s="2">
        <f t="shared" ca="1" si="7"/>
        <v>3627846.7683985629</v>
      </c>
    </row>
    <row r="45" spans="1:69" s="83" customFormat="1">
      <c r="A45" s="62"/>
      <c r="B45" s="62"/>
      <c r="C45" s="90"/>
      <c r="D45" s="91"/>
      <c r="E45" s="35" t="s">
        <v>296</v>
      </c>
      <c r="F45" s="35"/>
      <c r="G45" s="35" t="s">
        <v>252</v>
      </c>
      <c r="H45" s="35"/>
      <c r="I45" s="11">
        <f t="shared" ref="I45:BQ45" si="8" xml:space="preserve">  IF( I40 = 0, $F39, I41 + I42 + I43 - I44 )</f>
        <v>0</v>
      </c>
      <c r="J45" s="11">
        <f t="shared" ca="1" si="8"/>
        <v>0</v>
      </c>
      <c r="K45" s="11">
        <f t="shared" ca="1" si="8"/>
        <v>0</v>
      </c>
      <c r="L45" s="11">
        <f t="shared" ca="1" si="8"/>
        <v>0</v>
      </c>
      <c r="M45" s="11">
        <f t="shared" ca="1" si="8"/>
        <v>0</v>
      </c>
      <c r="N45" s="11">
        <f t="shared" ca="1" si="8"/>
        <v>0</v>
      </c>
      <c r="O45" s="11">
        <f t="shared" ca="1" si="8"/>
        <v>0</v>
      </c>
      <c r="P45" s="11">
        <f t="shared" ca="1" si="8"/>
        <v>0</v>
      </c>
      <c r="Q45" s="11">
        <f t="shared" ca="1" si="8"/>
        <v>725145.29928020365</v>
      </c>
      <c r="R45" s="11">
        <f t="shared" ca="1" si="8"/>
        <v>854865.6282310664</v>
      </c>
      <c r="S45" s="11">
        <f t="shared" ca="1" si="8"/>
        <v>138854.70071979624</v>
      </c>
      <c r="T45" s="11">
        <f t="shared" ca="1" si="8"/>
        <v>9134.3717689334298</v>
      </c>
      <c r="U45" s="11">
        <f t="shared" ca="1" si="8"/>
        <v>-6.3664629124104977E-11</v>
      </c>
      <c r="V45" s="11">
        <f t="shared" ca="1" si="8"/>
        <v>-6.3664629124104977E-11</v>
      </c>
      <c r="W45" s="11">
        <f t="shared" ca="1" si="8"/>
        <v>764384.2559477858</v>
      </c>
      <c r="X45" s="11">
        <f t="shared" ca="1" si="8"/>
        <v>863999.99999999988</v>
      </c>
      <c r="Y45" s="11">
        <f t="shared" ca="1" si="8"/>
        <v>99615.744052213966</v>
      </c>
      <c r="Z45" s="11">
        <f t="shared" ca="1" si="8"/>
        <v>-8.7311491370201111E-11</v>
      </c>
      <c r="AA45" s="11">
        <f t="shared" ca="1" si="8"/>
        <v>-8.7311491370201111E-11</v>
      </c>
      <c r="AB45" s="11">
        <f t="shared" ca="1" si="8"/>
        <v>-8.7311491370201111E-11</v>
      </c>
      <c r="AC45" s="11">
        <f t="shared" ca="1" si="8"/>
        <v>1589145.2992802034</v>
      </c>
      <c r="AD45" s="11">
        <f t="shared" ca="1" si="8"/>
        <v>1718865.6282310663</v>
      </c>
      <c r="AE45" s="11">
        <f t="shared" ca="1" si="8"/>
        <v>138854.70071979635</v>
      </c>
      <c r="AF45" s="11">
        <f t="shared" ca="1" si="8"/>
        <v>9134.3717689335463</v>
      </c>
      <c r="AG45" s="11">
        <f t="shared" ca="1" si="8"/>
        <v>864000</v>
      </c>
      <c r="AH45" s="11">
        <f t="shared" ca="1" si="8"/>
        <v>864000</v>
      </c>
      <c r="AI45" s="11">
        <f t="shared" ca="1" si="8"/>
        <v>937184.25594778592</v>
      </c>
      <c r="AJ45" s="11">
        <f t="shared" ca="1" si="8"/>
        <v>1220078.1402192612</v>
      </c>
      <c r="AK45" s="11">
        <f t="shared" ca="1" si="8"/>
        <v>1340916.7258106493</v>
      </c>
      <c r="AL45" s="11">
        <f t="shared" ca="1" si="8"/>
        <v>1263810.7209220224</v>
      </c>
      <c r="AM45" s="11">
        <f t="shared" ca="1" si="8"/>
        <v>424054.19774485123</v>
      </c>
      <c r="AN45" s="11">
        <f t="shared" ca="1" si="8"/>
        <v>1313328.5238723094</v>
      </c>
      <c r="AO45" s="11">
        <f t="shared" ca="1" si="8"/>
        <v>2204135.419057122</v>
      </c>
      <c r="AP45" s="11">
        <f t="shared" ca="1" si="8"/>
        <v>2232513.8714485411</v>
      </c>
      <c r="AQ45" s="11">
        <f t="shared" ca="1" si="8"/>
        <v>1398613.1189983105</v>
      </c>
      <c r="AR45" s="11">
        <f t="shared" ca="1" si="8"/>
        <v>567030.66080340813</v>
      </c>
      <c r="AS45" s="11">
        <f t="shared" ca="1" si="8"/>
        <v>2327752.7966961241</v>
      </c>
      <c r="AT45" s="11">
        <f t="shared" ca="1" si="8"/>
        <v>2362406.5946300309</v>
      </c>
      <c r="AU45" s="11">
        <f t="shared" ca="1" si="8"/>
        <v>844911.99764072988</v>
      </c>
      <c r="AV45" s="11">
        <f t="shared" ca="1" si="8"/>
        <v>1932552.6137742538</v>
      </c>
      <c r="AW45" s="11">
        <f t="shared" ca="1" si="8"/>
        <v>2860527.7179277828</v>
      </c>
      <c r="AX45" s="11">
        <f t="shared" ca="1" si="8"/>
        <v>2928030.7415059381</v>
      </c>
      <c r="AY45" s="11">
        <f t="shared" ca="1" si="8"/>
        <v>2136729.1186568998</v>
      </c>
      <c r="AZ45" s="11">
        <f t="shared" ca="1" si="8"/>
        <v>3076514.6809462737</v>
      </c>
      <c r="BA45" s="11">
        <f t="shared" ca="1" si="8"/>
        <v>4020891.3672537878</v>
      </c>
      <c r="BB45" s="11">
        <f t="shared" ca="1" si="8"/>
        <v>3241975.7261333056</v>
      </c>
      <c r="BC45" s="11">
        <f t="shared" ca="1" si="8"/>
        <v>3332505.6223563831</v>
      </c>
      <c r="BD45" s="11">
        <f t="shared" ca="1" si="8"/>
        <v>3430014.0202517183</v>
      </c>
      <c r="BE45" s="11">
        <f t="shared" ca="1" si="8"/>
        <v>3527977.4326262358</v>
      </c>
      <c r="BF45" s="11">
        <f t="shared" ca="1" si="8"/>
        <v>3631824.8507425506</v>
      </c>
      <c r="BG45" s="11">
        <f t="shared" ca="1" si="8"/>
        <v>3900638.6508684056</v>
      </c>
      <c r="BH45" s="11">
        <f t="shared" ca="1" si="8"/>
        <v>5050119.0266730497</v>
      </c>
      <c r="BI45" s="11">
        <f t="shared" ca="1" si="8"/>
        <v>5196834.841910081</v>
      </c>
      <c r="BJ45" s="11">
        <f t="shared" ca="1" si="8"/>
        <v>5352090.9224040667</v>
      </c>
      <c r="BK45" s="11">
        <f t="shared" ca="1" si="8"/>
        <v>5519296.1173555572</v>
      </c>
      <c r="BL45" s="11">
        <f t="shared" ca="1" si="8"/>
        <v>5693601.655515058</v>
      </c>
      <c r="BM45" s="11">
        <f t="shared" ca="1" si="8"/>
        <v>6742466.5548765399</v>
      </c>
      <c r="BN45" s="11">
        <f t="shared" ca="1" si="8"/>
        <v>6074158.8627407458</v>
      </c>
      <c r="BO45" s="11">
        <f t="shared" ca="1" si="8"/>
        <v>6282462.4452538528</v>
      </c>
      <c r="BP45" s="11">
        <f t="shared" ca="1" si="8"/>
        <v>7370816.8290958125</v>
      </c>
      <c r="BQ45" s="11">
        <f t="shared" ca="1" si="8"/>
        <v>6731994.6507732924</v>
      </c>
    </row>
    <row r="47" spans="1:69">
      <c r="B47" s="27" t="s">
        <v>110</v>
      </c>
    </row>
    <row r="48" spans="1:69" outlineLevel="1">
      <c r="A48" s="18"/>
      <c r="B48" s="18"/>
      <c r="C48" s="30"/>
      <c r="D48" s="31"/>
      <c r="E48" s="4" t="str">
        <f xml:space="preserve">  Expense!E$19</f>
        <v>Fixed operating expense POS</v>
      </c>
      <c r="F48" s="4">
        <f xml:space="preserve">  Expense!F$19</f>
        <v>0</v>
      </c>
      <c r="G48" s="4" t="str">
        <f xml:space="preserve">  Expense!G$19</f>
        <v>GBP</v>
      </c>
      <c r="H48" s="4">
        <f xml:space="preserve">  Expense!H$19</f>
        <v>3419071.4947073567</v>
      </c>
      <c r="I48" s="4">
        <f xml:space="preserve">  Expense!I$19</f>
        <v>0</v>
      </c>
      <c r="J48" s="4">
        <f xml:space="preserve">  Expense!J$19</f>
        <v>45000</v>
      </c>
      <c r="K48" s="4">
        <f xml:space="preserve">  Expense!K$19</f>
        <v>45000</v>
      </c>
      <c r="L48" s="4">
        <f xml:space="preserve">  Expense!L$19</f>
        <v>45000</v>
      </c>
      <c r="M48" s="4">
        <f xml:space="preserve">  Expense!M$19</f>
        <v>46094.142332421929</v>
      </c>
      <c r="N48" s="4">
        <f xml:space="preserve">  Expense!N$19</f>
        <v>46094.142332421929</v>
      </c>
      <c r="O48" s="4">
        <f xml:space="preserve">  Expense!O$19</f>
        <v>46094.142332421929</v>
      </c>
      <c r="P48" s="4">
        <f xml:space="preserve">  Expense!P$19</f>
        <v>47214.887941368259</v>
      </c>
      <c r="Q48" s="4">
        <f xml:space="preserve">  Expense!Q$19</f>
        <v>47214.887941368259</v>
      </c>
      <c r="R48" s="4">
        <f xml:space="preserve">  Expense!R$19</f>
        <v>47214.887941368259</v>
      </c>
      <c r="S48" s="4">
        <f xml:space="preserve">  Expense!S$19</f>
        <v>48362.883666195121</v>
      </c>
      <c r="T48" s="4">
        <f xml:space="preserve">  Expense!T$19</f>
        <v>48362.883666195121</v>
      </c>
      <c r="U48" s="4">
        <f xml:space="preserve">  Expense!U$19</f>
        <v>48362.883666195121</v>
      </c>
      <c r="V48" s="4">
        <f xml:space="preserve">  Expense!V$19</f>
        <v>49500.000000000007</v>
      </c>
      <c r="W48" s="4">
        <f xml:space="preserve">  Expense!W$19</f>
        <v>49500.000000000007</v>
      </c>
      <c r="X48" s="4">
        <f xml:space="preserve">  Expense!X$19</f>
        <v>49500.000000000007</v>
      </c>
      <c r="Y48" s="4">
        <f xml:space="preserve">  Expense!Y$19</f>
        <v>50708.501394855797</v>
      </c>
      <c r="Z48" s="4">
        <f xml:space="preserve">  Expense!Z$19</f>
        <v>50708.501394855797</v>
      </c>
      <c r="AA48" s="4">
        <f xml:space="preserve">  Expense!AA$19</f>
        <v>50708.501394855797</v>
      </c>
      <c r="AB48" s="4">
        <f xml:space="preserve">  Expense!AB$19</f>
        <v>51939.73483307648</v>
      </c>
      <c r="AC48" s="4">
        <f xml:space="preserve">  Expense!AC$19</f>
        <v>51939.73483307648</v>
      </c>
      <c r="AD48" s="4">
        <f xml:space="preserve">  Expense!AD$19</f>
        <v>51939.73483307648</v>
      </c>
      <c r="AE48" s="4">
        <f xml:space="preserve">  Expense!AE$19</f>
        <v>53204.926698313757</v>
      </c>
      <c r="AF48" s="4">
        <f xml:space="preserve">  Expense!AF$19</f>
        <v>53204.926698313757</v>
      </c>
      <c r="AG48" s="4">
        <f xml:space="preserve">  Expense!AG$19</f>
        <v>53204.926698313757</v>
      </c>
      <c r="AH48" s="4">
        <f xml:space="preserve">  Expense!AH$19</f>
        <v>54454.735278236491</v>
      </c>
      <c r="AI48" s="4">
        <f xml:space="preserve">  Expense!AI$19</f>
        <v>54454.735278236491</v>
      </c>
      <c r="AJ48" s="4">
        <f xml:space="preserve">  Expense!AJ$19</f>
        <v>54454.735278236491</v>
      </c>
      <c r="AK48" s="4">
        <f xml:space="preserve">  Expense!AK$19</f>
        <v>55777.540025685339</v>
      </c>
      <c r="AL48" s="4">
        <f xml:space="preserve">  Expense!AL$19</f>
        <v>55777.540025685339</v>
      </c>
      <c r="AM48" s="4">
        <f xml:space="preserve">  Expense!AM$19</f>
        <v>55777.540025685339</v>
      </c>
      <c r="AN48" s="4">
        <f xml:space="preserve">  Expense!AN$19</f>
        <v>57132.478110867487</v>
      </c>
      <c r="AO48" s="4">
        <f xml:space="preserve">  Expense!AO$19</f>
        <v>57132.478110867487</v>
      </c>
      <c r="AP48" s="4">
        <f xml:space="preserve">  Expense!AP$19</f>
        <v>57132.478110867487</v>
      </c>
      <c r="AQ48" s="4">
        <f xml:space="preserve">  Expense!AQ$19</f>
        <v>58523.837854155172</v>
      </c>
      <c r="AR48" s="4">
        <f xml:space="preserve">  Expense!AR$19</f>
        <v>58523.837854155172</v>
      </c>
      <c r="AS48" s="4">
        <f xml:space="preserve">  Expense!AS$19</f>
        <v>58523.837854155172</v>
      </c>
      <c r="AT48" s="4">
        <f xml:space="preserve">  Expense!AT$19</f>
        <v>59898.907453406857</v>
      </c>
      <c r="AU48" s="4">
        <f xml:space="preserve">  Expense!AU$19</f>
        <v>59898.907453406857</v>
      </c>
      <c r="AV48" s="4">
        <f xml:space="preserve">  Expense!AV$19</f>
        <v>59898.907453406857</v>
      </c>
      <c r="AW48" s="4">
        <f xml:space="preserve">  Expense!AW$19</f>
        <v>61354.297040832636</v>
      </c>
      <c r="AX48" s="4">
        <f xml:space="preserve">  Expense!AX$19</f>
        <v>61354.297040832636</v>
      </c>
      <c r="AY48" s="4">
        <f xml:space="preserve">  Expense!AY$19</f>
        <v>61354.297040832636</v>
      </c>
      <c r="AZ48" s="4">
        <f xml:space="preserve">  Expense!AZ$19</f>
        <v>62845.048856740366</v>
      </c>
      <c r="BA48" s="4">
        <f xml:space="preserve">  Expense!BA$19</f>
        <v>62845.048856740366</v>
      </c>
      <c r="BB48" s="4">
        <f xml:space="preserve">  Expense!BB$19</f>
        <v>62845.048856740366</v>
      </c>
      <c r="BC48" s="4">
        <f xml:space="preserve">  Expense!BC$19</f>
        <v>64375.177481826024</v>
      </c>
      <c r="BD48" s="4">
        <f xml:space="preserve">  Expense!BD$19</f>
        <v>64375.177481826024</v>
      </c>
      <c r="BE48" s="4">
        <f xml:space="preserve">  Expense!BE$19</f>
        <v>64375.177481826024</v>
      </c>
      <c r="BF48" s="4">
        <f xml:space="preserve">  Expense!BF$19</f>
        <v>65887.939007352761</v>
      </c>
      <c r="BG48" s="4">
        <f xml:space="preserve">  Expense!BG$19</f>
        <v>65887.939007352761</v>
      </c>
      <c r="BH48" s="4">
        <f xml:space="preserve">  Expense!BH$19</f>
        <v>65887.939007352761</v>
      </c>
      <c r="BI48" s="4">
        <f xml:space="preserve">  Expense!BI$19</f>
        <v>67489.068501538102</v>
      </c>
      <c r="BJ48" s="4">
        <f xml:space="preserve">  Expense!BJ$19</f>
        <v>67489.068501538102</v>
      </c>
      <c r="BK48" s="4">
        <f xml:space="preserve">  Expense!BK$19</f>
        <v>67489.068501538102</v>
      </c>
      <c r="BL48" s="4">
        <f xml:space="preserve">  Expense!BL$19</f>
        <v>69129.106720078344</v>
      </c>
      <c r="BM48" s="4">
        <f xml:space="preserve">  Expense!BM$19</f>
        <v>69129.106720078344</v>
      </c>
      <c r="BN48" s="4">
        <f xml:space="preserve">  Expense!BN$19</f>
        <v>69129.106720078344</v>
      </c>
      <c r="BO48" s="4">
        <f xml:space="preserve">  Expense!BO$19</f>
        <v>70797.285038834758</v>
      </c>
      <c r="BP48" s="4">
        <f xml:space="preserve">  Expense!BP$19</f>
        <v>70797.285038834758</v>
      </c>
      <c r="BQ48" s="4">
        <f xml:space="preserve">  Expense!BQ$19</f>
        <v>70797.285038834758</v>
      </c>
    </row>
    <row r="49" spans="1:69" outlineLevel="1">
      <c r="A49" s="18"/>
      <c r="B49" s="18"/>
      <c r="C49" s="30"/>
      <c r="D49" s="31"/>
      <c r="E49" s="4" t="str">
        <f xml:space="preserve">  Expense!E$26</f>
        <v>Variable Operating expense POS</v>
      </c>
      <c r="F49" s="4">
        <f xml:space="preserve">  Expense!F$26</f>
        <v>0</v>
      </c>
      <c r="G49" s="4" t="str">
        <f xml:space="preserve">  Expense!G$26</f>
        <v>GBP</v>
      </c>
      <c r="H49" s="4">
        <f ca="1" xml:space="preserve">  Expense!H$26</f>
        <v>4525517.0946845738</v>
      </c>
      <c r="I49" s="4">
        <f xml:space="preserve">  Expense!I$26</f>
        <v>0</v>
      </c>
      <c r="J49" s="4">
        <f ca="1" xml:space="preserve">  Expense!J$26</f>
        <v>7200</v>
      </c>
      <c r="K49" s="4">
        <f ca="1" xml:space="preserve">  Expense!K$26</f>
        <v>7636.5891758025509</v>
      </c>
      <c r="L49" s="4">
        <f ca="1" xml:space="preserve">  Expense!L$26</f>
        <v>8084.2850641322384</v>
      </c>
      <c r="M49" s="4">
        <f ca="1" xml:space="preserve">  Expense!M$26</f>
        <v>8574.4949742853441</v>
      </c>
      <c r="N49" s="4">
        <f ca="1" xml:space="preserve">  Expense!N$26</f>
        <v>9094.4299317501118</v>
      </c>
      <c r="O49" s="4">
        <f ca="1" xml:space="preserve">  Expense!O$26</f>
        <v>9627.5918962627675</v>
      </c>
      <c r="P49" s="4">
        <f ca="1" xml:space="preserve">  Expense!P$26</f>
        <v>10211.383897783971</v>
      </c>
      <c r="Q49" s="4">
        <f ca="1" xml:space="preserve">  Expense!Q$26</f>
        <v>10810.027412571899</v>
      </c>
      <c r="R49" s="4">
        <f ca="1" xml:space="preserve">  Expense!R$26</f>
        <v>11465.519212357696</v>
      </c>
      <c r="S49" s="4">
        <f ca="1" xml:space="preserve">  Expense!S$26</f>
        <v>12160.758321117633</v>
      </c>
      <c r="T49" s="4">
        <f ca="1" xml:space="preserve">  Expense!T$26</f>
        <v>12828.941541220887</v>
      </c>
      <c r="U49" s="4">
        <f ca="1" xml:space="preserve">  Expense!U$26</f>
        <v>13604.666568363735</v>
      </c>
      <c r="V49" s="4">
        <f ca="1" xml:space="preserve">  Expense!V$26</f>
        <v>14400</v>
      </c>
      <c r="W49" s="4">
        <f ca="1" xml:space="preserve">  Expense!W$26</f>
        <v>15286.43639812469</v>
      </c>
      <c r="X49" s="4">
        <f ca="1" xml:space="preserve">  Expense!X$26</f>
        <v>16181.344275598138</v>
      </c>
      <c r="Y49" s="4">
        <f ca="1" xml:space="preserve">  Expense!Y$26</f>
        <v>17161.156582065021</v>
      </c>
      <c r="Z49" s="4">
        <f ca="1" xml:space="preserve">  Expense!Z$26</f>
        <v>18200.298455936998</v>
      </c>
      <c r="AA49" s="4">
        <f ca="1" xml:space="preserve">  Expense!AA$26</f>
        <v>19265.791422144866</v>
      </c>
      <c r="AB49" s="4">
        <f ca="1" xml:space="preserve">  Expense!AB$26</f>
        <v>20432.373086049545</v>
      </c>
      <c r="AC49" s="4">
        <f ca="1" xml:space="preserve">  Expense!AC$26</f>
        <v>21628.537525815598</v>
      </c>
      <c r="AD49" s="4">
        <f ca="1" xml:space="preserve">  Expense!AD$26</f>
        <v>22950.316780770718</v>
      </c>
      <c r="AE49" s="4">
        <f ca="1" xml:space="preserve">  Expense!AE$26</f>
        <v>24340.656529575466</v>
      </c>
      <c r="AF49" s="4">
        <f ca="1" xml:space="preserve">  Expense!AF$26</f>
        <v>25668.703300845769</v>
      </c>
      <c r="AG49" s="4">
        <f ca="1" xml:space="preserve">  Expense!AG$26</f>
        <v>27223.724037175791</v>
      </c>
      <c r="AH49" s="4">
        <f ca="1" xml:space="preserve">  Expense!AH$26</f>
        <v>35298.219847310618</v>
      </c>
      <c r="AI49" s="4">
        <f ca="1" xml:space="preserve">  Expense!AI$26</f>
        <v>37436.969865941661</v>
      </c>
      <c r="AJ49" s="4">
        <f ca="1" xml:space="preserve">  Expense!AJ$26</f>
        <v>39630.034539922111</v>
      </c>
      <c r="AK49" s="4">
        <f ca="1" xml:space="preserve">  Expense!AK$26</f>
        <v>42031.253035917427</v>
      </c>
      <c r="AL49" s="4">
        <f ca="1" xml:space="preserve">  Expense!AL$26</f>
        <v>44577.963482561958</v>
      </c>
      <c r="AM49" s="4">
        <f ca="1" xml:space="preserve">  Expense!AM$26</f>
        <v>47189.348952483386</v>
      </c>
      <c r="AN49" s="4">
        <f ca="1" xml:space="preserve">  Expense!AN$26</f>
        <v>50048.592992511149</v>
      </c>
      <c r="AO49" s="4">
        <f ca="1" xml:space="preserve">  Expense!AO$26</f>
        <v>52980.449009821335</v>
      </c>
      <c r="AP49" s="4">
        <f ca="1" xml:space="preserve">  Expense!AP$26</f>
        <v>56209.965235836076</v>
      </c>
      <c r="AQ49" s="4">
        <f ca="1" xml:space="preserve">  Expense!AQ$26</f>
        <v>59616.42933280985</v>
      </c>
      <c r="AR49" s="4">
        <f ca="1" xml:space="preserve">  Expense!AR$26</f>
        <v>62873.987952322634</v>
      </c>
      <c r="AS49" s="4">
        <f ca="1" xml:space="preserve">  Expense!AS$26</f>
        <v>66682.33900394915</v>
      </c>
      <c r="AT49" s="4">
        <f ca="1" xml:space="preserve">  Expense!AT$26</f>
        <v>70587.333846708134</v>
      </c>
      <c r="AU49" s="4">
        <f ca="1" xml:space="preserve">  Expense!AU$26</f>
        <v>74877.03465515186</v>
      </c>
      <c r="AV49" s="4">
        <f ca="1" xml:space="preserve">  Expense!AV$26</f>
        <v>79263.051098438416</v>
      </c>
      <c r="AW49" s="4">
        <f ca="1" xml:space="preserve">  Expense!AW$26</f>
        <v>84065.346325966166</v>
      </c>
      <c r="AX49" s="4">
        <f ca="1" xml:space="preserve">  Expense!AX$26</f>
        <v>89158.597312183934</v>
      </c>
      <c r="AY49" s="4">
        <f ca="1" xml:space="preserve">  Expense!AY$26</f>
        <v>94381.174309272974</v>
      </c>
      <c r="AZ49" s="4">
        <f ca="1" xml:space="preserve">  Expense!AZ$26</f>
        <v>100099.42843134473</v>
      </c>
      <c r="BA49" s="4">
        <f ca="1" xml:space="preserve">  Expense!BA$26</f>
        <v>105962.87842355632</v>
      </c>
      <c r="BB49" s="4">
        <f ca="1" xml:space="preserve">  Expense!BB$26</f>
        <v>112425.71597327135</v>
      </c>
      <c r="BC49" s="4">
        <f ca="1" xml:space="preserve">  Expense!BC$26</f>
        <v>119238.60272028444</v>
      </c>
      <c r="BD49" s="4">
        <f ca="1" xml:space="preserve">  Expense!BD$26</f>
        <v>125746.35238671978</v>
      </c>
      <c r="BE49" s="4">
        <f ca="1" xml:space="preserve">  Expense!BE$26</f>
        <v>133366.45649028415</v>
      </c>
      <c r="BF49" s="4">
        <f ca="1" xml:space="preserve">  Expense!BF$26</f>
        <v>141180.13593087136</v>
      </c>
      <c r="BG49" s="4">
        <f ca="1" xml:space="preserve">  Expense!BG$26</f>
        <v>149735.51201368691</v>
      </c>
      <c r="BH49" s="4">
        <f ca="1" xml:space="preserve">  Expense!BH$26</f>
        <v>158508.22237370175</v>
      </c>
      <c r="BI49" s="4">
        <f ca="1" xml:space="preserve">  Expense!BI$26</f>
        <v>168113.66331561311</v>
      </c>
      <c r="BJ49" s="4">
        <f ca="1" xml:space="preserve">  Expense!BJ$26</f>
        <v>178301.18445665308</v>
      </c>
      <c r="BK49" s="4">
        <f ca="1" xml:space="preserve">  Expense!BK$26</f>
        <v>188747.50165063617</v>
      </c>
      <c r="BL49" s="4">
        <f ca="1" xml:space="preserve">  Expense!BL$26</f>
        <v>200185.41294255387</v>
      </c>
      <c r="BM49" s="4">
        <f ca="1" xml:space="preserve">  Expense!BM$26</f>
        <v>211913.88425111026</v>
      </c>
      <c r="BN49" s="4">
        <f ca="1" xml:space="preserve">  Expense!BN$26</f>
        <v>224556.41343663895</v>
      </c>
      <c r="BO49" s="4">
        <f ca="1" xml:space="preserve">  Expense!BO$26</f>
        <v>238160.7223027338</v>
      </c>
      <c r="BP49" s="4">
        <f ca="1" xml:space="preserve">  Expense!BP$26</f>
        <v>251544.77291546759</v>
      </c>
      <c r="BQ49" s="4">
        <f ca="1" xml:space="preserve">  Expense!BQ$26</f>
        <v>266784.11748058593</v>
      </c>
    </row>
    <row r="50" spans="1:69" outlineLevel="1">
      <c r="A50" s="18"/>
      <c r="B50" s="18"/>
      <c r="C50" s="30"/>
      <c r="D50" s="31"/>
      <c r="E50" s="4" t="str">
        <f xml:space="preserve">  Expense!E$13</f>
        <v>VAT on operating expense</v>
      </c>
      <c r="F50" s="4">
        <f xml:space="preserve">  Expense!F$13</f>
        <v>0</v>
      </c>
      <c r="G50" s="4" t="str">
        <f xml:space="preserve">  Expense!G$13</f>
        <v>GBP</v>
      </c>
      <c r="H50" s="4">
        <f ca="1" xml:space="preserve">  Expense!H$13</f>
        <v>794458.85893919331</v>
      </c>
      <c r="I50" s="4">
        <f xml:space="preserve">  Expense!I$13</f>
        <v>0</v>
      </c>
      <c r="J50" s="4">
        <f ca="1" xml:space="preserve">  Expense!J$13</f>
        <v>5220</v>
      </c>
      <c r="K50" s="4">
        <f ca="1" xml:space="preserve">  Expense!K$13</f>
        <v>5263.6589175802555</v>
      </c>
      <c r="L50" s="4">
        <f ca="1" xml:space="preserve">  Expense!L$13</f>
        <v>5308.4285064132237</v>
      </c>
      <c r="M50" s="4">
        <f ca="1" xml:space="preserve">  Expense!M$13</f>
        <v>5466.8637306707278</v>
      </c>
      <c r="N50" s="4">
        <f ca="1" xml:space="preserve">  Expense!N$13</f>
        <v>5518.8572264172044</v>
      </c>
      <c r="O50" s="4">
        <f ca="1" xml:space="preserve">  Expense!O$13</f>
        <v>5572.17342286847</v>
      </c>
      <c r="P50" s="4">
        <f ca="1" xml:space="preserve">  Expense!P$13</f>
        <v>5742.6271839152232</v>
      </c>
      <c r="Q50" s="4">
        <f ca="1" xml:space="preserve">  Expense!Q$13</f>
        <v>5802.491535394016</v>
      </c>
      <c r="R50" s="4">
        <f ca="1" xml:space="preserve">  Expense!R$13</f>
        <v>5868.0407153725964</v>
      </c>
      <c r="S50" s="4">
        <f ca="1" xml:space="preserve">  Expense!S$13</f>
        <v>6052.3641987312758</v>
      </c>
      <c r="T50" s="4">
        <f ca="1" xml:space="preserve">  Expense!T$13</f>
        <v>6119.1825207416014</v>
      </c>
      <c r="U50" s="4">
        <f ca="1" xml:space="preserve">  Expense!U$13</f>
        <v>6196.7550234558857</v>
      </c>
      <c r="V50" s="4">
        <f ca="1" xml:space="preserve">  Expense!V$13</f>
        <v>6390.0000000000009</v>
      </c>
      <c r="W50" s="4">
        <f ca="1" xml:space="preserve">  Expense!W$13</f>
        <v>6478.6436398124706</v>
      </c>
      <c r="X50" s="4">
        <f ca="1" xml:space="preserve">  Expense!X$13</f>
        <v>6568.1344275598158</v>
      </c>
      <c r="Y50" s="4">
        <f ca="1" xml:space="preserve">  Expense!Y$13</f>
        <v>6786.9657976920826</v>
      </c>
      <c r="Z50" s="4">
        <f ca="1" xml:space="preserve">  Expense!Z$13</f>
        <v>6890.8799850792802</v>
      </c>
      <c r="AA50" s="4">
        <f ca="1" xml:space="preserve">  Expense!AA$13</f>
        <v>6997.4292817000669</v>
      </c>
      <c r="AB50" s="4">
        <f ca="1" xml:space="preserve">  Expense!AB$13</f>
        <v>7237.2107919126029</v>
      </c>
      <c r="AC50" s="4">
        <f ca="1" xml:space="preserve">  Expense!AC$13</f>
        <v>7356.8272358892082</v>
      </c>
      <c r="AD50" s="4">
        <f ca="1" xml:space="preserve">  Expense!AD$13</f>
        <v>7489.0051613847209</v>
      </c>
      <c r="AE50" s="4">
        <f ca="1" xml:space="preserve">  Expense!AE$13</f>
        <v>7754.5583227889219</v>
      </c>
      <c r="AF50" s="4">
        <f ca="1" xml:space="preserve">  Expense!AF$13</f>
        <v>7887.362999915953</v>
      </c>
      <c r="AG50" s="4">
        <f ca="1" xml:space="preserve">  Expense!AG$13</f>
        <v>8042.8650735489546</v>
      </c>
      <c r="AH50" s="4">
        <f ca="1" xml:space="preserve">  Expense!AH$13</f>
        <v>8975.2955125547105</v>
      </c>
      <c r="AI50" s="4">
        <f ca="1" xml:space="preserve">  Expense!AI$13</f>
        <v>9189.1705144178159</v>
      </c>
      <c r="AJ50" s="4">
        <f ca="1" xml:space="preserve">  Expense!AJ$13</f>
        <v>9408.4769818158602</v>
      </c>
      <c r="AK50" s="4">
        <f ca="1" xml:space="preserve">  Expense!AK$13</f>
        <v>9780.8793061602773</v>
      </c>
      <c r="AL50" s="4">
        <f ca="1" xml:space="preserve">  Expense!AL$13</f>
        <v>10035.550350824729</v>
      </c>
      <c r="AM50" s="4">
        <f ca="1" xml:space="preserve">  Expense!AM$13</f>
        <v>10296.688897816872</v>
      </c>
      <c r="AN50" s="4">
        <f ca="1" xml:space="preserve">  Expense!AN$13</f>
        <v>10718.107110337864</v>
      </c>
      <c r="AO50" s="4">
        <f ca="1" xml:space="preserve">  Expense!AO$13</f>
        <v>11011.292712068884</v>
      </c>
      <c r="AP50" s="4">
        <f ca="1" xml:space="preserve">  Expense!AP$13</f>
        <v>11334.244334670359</v>
      </c>
      <c r="AQ50" s="4">
        <f ca="1" xml:space="preserve">  Expense!AQ$13</f>
        <v>11814.026718696503</v>
      </c>
      <c r="AR50" s="4">
        <f ca="1" xml:space="preserve">  Expense!AR$13</f>
        <v>12139.782580647781</v>
      </c>
      <c r="AS50" s="4">
        <f ca="1" xml:space="preserve">  Expense!AS$13</f>
        <v>12520.617685810434</v>
      </c>
      <c r="AT50" s="4">
        <f ca="1" xml:space="preserve">  Expense!AT$13</f>
        <v>13048.6241300115</v>
      </c>
      <c r="AU50" s="4">
        <f ca="1" xml:space="preserve">  Expense!AU$13</f>
        <v>13477.594210855874</v>
      </c>
      <c r="AV50" s="4">
        <f ca="1" xml:space="preserve">  Expense!AV$13</f>
        <v>13916.195855184529</v>
      </c>
      <c r="AW50" s="4">
        <f ca="1" xml:space="preserve">  Expense!AW$13</f>
        <v>14541.964336679883</v>
      </c>
      <c r="AX50" s="4">
        <f ca="1" xml:space="preserve">  Expense!AX$13</f>
        <v>15051.289435301658</v>
      </c>
      <c r="AY50" s="4">
        <f ca="1" xml:space="preserve">  Expense!AY$13</f>
        <v>15573.54713501056</v>
      </c>
      <c r="AZ50" s="4">
        <f ca="1" xml:space="preserve">  Expense!AZ$13</f>
        <v>16294.447728808511</v>
      </c>
      <c r="BA50" s="4">
        <f ca="1" xml:space="preserve">  Expense!BA$13</f>
        <v>16880.792728029668</v>
      </c>
      <c r="BB50" s="4">
        <f ca="1" xml:space="preserve">  Expense!BB$13</f>
        <v>17527.076483001172</v>
      </c>
      <c r="BC50" s="4">
        <f ca="1" xml:space="preserve">  Expense!BC$13</f>
        <v>18361.378020211047</v>
      </c>
      <c r="BD50" s="4">
        <f ca="1" xml:space="preserve">  Expense!BD$13</f>
        <v>19012.15298685458</v>
      </c>
      <c r="BE50" s="4">
        <f ca="1" xml:space="preserve">  Expense!BE$13</f>
        <v>19774.163397211018</v>
      </c>
      <c r="BF50" s="4">
        <f ca="1" xml:space="preserve">  Expense!BF$13</f>
        <v>20706.807493822413</v>
      </c>
      <c r="BG50" s="4">
        <f ca="1" xml:space="preserve">  Expense!BG$13</f>
        <v>21562.345102103969</v>
      </c>
      <c r="BH50" s="4">
        <f ca="1" xml:space="preserve">  Expense!BH$13</f>
        <v>22439.616138105452</v>
      </c>
      <c r="BI50" s="4">
        <f ca="1" xml:space="preserve">  Expense!BI$13</f>
        <v>23560.273181715122</v>
      </c>
      <c r="BJ50" s="4">
        <f ca="1" xml:space="preserve">  Expense!BJ$13</f>
        <v>24579.025295819119</v>
      </c>
      <c r="BK50" s="4">
        <f ca="1" xml:space="preserve">  Expense!BK$13</f>
        <v>25623.657015217428</v>
      </c>
      <c r="BL50" s="4">
        <f ca="1" xml:space="preserve">  Expense!BL$13</f>
        <v>26931.451966263223</v>
      </c>
      <c r="BM50" s="4">
        <f ca="1" xml:space="preserve">  Expense!BM$13</f>
        <v>28104.299097118859</v>
      </c>
      <c r="BN50" s="4">
        <f ca="1" xml:space="preserve">  Expense!BN$13</f>
        <v>29368.552015671728</v>
      </c>
      <c r="BO50" s="4">
        <f ca="1" xml:space="preserve">  Expense!BO$13</f>
        <v>30895.800734156859</v>
      </c>
      <c r="BP50" s="4">
        <f ca="1" xml:space="preserve">  Expense!BP$13</f>
        <v>32234.205795430236</v>
      </c>
      <c r="BQ50" s="4">
        <f ca="1" xml:space="preserve">  Expense!BQ$13</f>
        <v>33758.140251942074</v>
      </c>
    </row>
    <row r="51" spans="1:69" outlineLevel="1">
      <c r="E51" s="46" t="s">
        <v>152</v>
      </c>
      <c r="G51" s="46" t="s">
        <v>252</v>
      </c>
      <c r="H51" s="2">
        <f t="shared" ref="H51:H52" ca="1" si="9" xml:space="preserve"> SUM( J51:BQ51 )</f>
        <v>8739047.4483311232</v>
      </c>
      <c r="J51" s="2">
        <f t="shared" ref="J51:BQ51" ca="1" si="10" xml:space="preserve">  J48 + J49 + J50</f>
        <v>57420</v>
      </c>
      <c r="K51" s="2">
        <f t="shared" ca="1" si="10"/>
        <v>57900.248093382812</v>
      </c>
      <c r="L51" s="2">
        <f t="shared" ca="1" si="10"/>
        <v>58392.713570545457</v>
      </c>
      <c r="M51" s="2">
        <f t="shared" ca="1" si="10"/>
        <v>60135.501037377995</v>
      </c>
      <c r="N51" s="2">
        <f t="shared" ca="1" si="10"/>
        <v>60707.429490589246</v>
      </c>
      <c r="O51" s="2">
        <f t="shared" ca="1" si="10"/>
        <v>61293.907651553171</v>
      </c>
      <c r="P51" s="2">
        <f t="shared" ca="1" si="10"/>
        <v>63168.899023067454</v>
      </c>
      <c r="Q51" s="2">
        <f t="shared" ca="1" si="10"/>
        <v>63827.406889334176</v>
      </c>
      <c r="R51" s="2">
        <f t="shared" ca="1" si="10"/>
        <v>64548.447869098556</v>
      </c>
      <c r="S51" s="2">
        <f t="shared" ca="1" si="10"/>
        <v>66576.006186044033</v>
      </c>
      <c r="T51" s="2">
        <f t="shared" ca="1" si="10"/>
        <v>67311.007728157609</v>
      </c>
      <c r="U51" s="2">
        <f t="shared" ca="1" si="10"/>
        <v>68164.305258014734</v>
      </c>
      <c r="V51" s="2">
        <f t="shared" ca="1" si="10"/>
        <v>70290.000000000015</v>
      </c>
      <c r="W51" s="2">
        <f t="shared" ca="1" si="10"/>
        <v>71265.080037937165</v>
      </c>
      <c r="X51" s="2">
        <f t="shared" ca="1" si="10"/>
        <v>72249.478703157962</v>
      </c>
      <c r="Y51" s="2">
        <f t="shared" ca="1" si="10"/>
        <v>74656.623774612905</v>
      </c>
      <c r="Z51" s="2">
        <f t="shared" ca="1" si="10"/>
        <v>75799.679835872084</v>
      </c>
      <c r="AA51" s="2">
        <f t="shared" ca="1" si="10"/>
        <v>76971.722098700731</v>
      </c>
      <c r="AB51" s="2">
        <f t="shared" ca="1" si="10"/>
        <v>79609.318711038621</v>
      </c>
      <c r="AC51" s="2">
        <f t="shared" ca="1" si="10"/>
        <v>80925.099594781292</v>
      </c>
      <c r="AD51" s="2">
        <f t="shared" ca="1" si="10"/>
        <v>82379.056775231918</v>
      </c>
      <c r="AE51" s="2">
        <f t="shared" ca="1" si="10"/>
        <v>85300.141550678149</v>
      </c>
      <c r="AF51" s="2">
        <f t="shared" ca="1" si="10"/>
        <v>86760.992999075475</v>
      </c>
      <c r="AG51" s="2">
        <f t="shared" ca="1" si="10"/>
        <v>88471.515809038494</v>
      </c>
      <c r="AH51" s="2">
        <f t="shared" ca="1" si="10"/>
        <v>98728.250638101817</v>
      </c>
      <c r="AI51" s="2">
        <f t="shared" ca="1" si="10"/>
        <v>101080.87565859596</v>
      </c>
      <c r="AJ51" s="2">
        <f t="shared" ca="1" si="10"/>
        <v>103493.24679997447</v>
      </c>
      <c r="AK51" s="2">
        <f t="shared" ca="1" si="10"/>
        <v>107589.67236776305</v>
      </c>
      <c r="AL51" s="2">
        <f t="shared" ca="1" si="10"/>
        <v>110391.05385907202</v>
      </c>
      <c r="AM51" s="2">
        <f t="shared" ca="1" si="10"/>
        <v>113263.57787598559</v>
      </c>
      <c r="AN51" s="2">
        <f t="shared" ca="1" si="10"/>
        <v>117899.1782137165</v>
      </c>
      <c r="AO51" s="2">
        <f t="shared" ca="1" si="10"/>
        <v>121124.21983275771</v>
      </c>
      <c r="AP51" s="2">
        <f t="shared" ca="1" si="10"/>
        <v>124676.68768137394</v>
      </c>
      <c r="AQ51" s="2">
        <f t="shared" ca="1" si="10"/>
        <v>129954.29390566153</v>
      </c>
      <c r="AR51" s="2">
        <f t="shared" ca="1" si="10"/>
        <v>133537.6083871256</v>
      </c>
      <c r="AS51" s="2">
        <f t="shared" ca="1" si="10"/>
        <v>137726.79454391476</v>
      </c>
      <c r="AT51" s="2">
        <f t="shared" ca="1" si="10"/>
        <v>143534.86543012649</v>
      </c>
      <c r="AU51" s="2">
        <f t="shared" ca="1" si="10"/>
        <v>148253.53631941459</v>
      </c>
      <c r="AV51" s="2">
        <f t="shared" ca="1" si="10"/>
        <v>153078.1544070298</v>
      </c>
      <c r="AW51" s="2">
        <f t="shared" ca="1" si="10"/>
        <v>159961.60770347869</v>
      </c>
      <c r="AX51" s="2">
        <f t="shared" ca="1" si="10"/>
        <v>165564.18378831822</v>
      </c>
      <c r="AY51" s="2">
        <f t="shared" ca="1" si="10"/>
        <v>171309.01848511616</v>
      </c>
      <c r="AZ51" s="2">
        <f t="shared" ca="1" si="10"/>
        <v>179238.9250168936</v>
      </c>
      <c r="BA51" s="2">
        <f t="shared" ca="1" si="10"/>
        <v>185688.72000832635</v>
      </c>
      <c r="BB51" s="2">
        <f t="shared" ca="1" si="10"/>
        <v>192797.84131301288</v>
      </c>
      <c r="BC51" s="2">
        <f t="shared" ca="1" si="10"/>
        <v>201975.15822232151</v>
      </c>
      <c r="BD51" s="2">
        <f t="shared" ca="1" si="10"/>
        <v>209133.68285540037</v>
      </c>
      <c r="BE51" s="2">
        <f t="shared" ca="1" si="10"/>
        <v>217515.7973693212</v>
      </c>
      <c r="BF51" s="2">
        <f t="shared" ca="1" si="10"/>
        <v>227774.88243204652</v>
      </c>
      <c r="BG51" s="2">
        <f t="shared" ca="1" si="10"/>
        <v>237185.79612314366</v>
      </c>
      <c r="BH51" s="2">
        <f t="shared" ca="1" si="10"/>
        <v>246835.77751915995</v>
      </c>
      <c r="BI51" s="2">
        <f t="shared" ca="1" si="10"/>
        <v>259163.00499886635</v>
      </c>
      <c r="BJ51" s="2">
        <f t="shared" ca="1" si="10"/>
        <v>270369.27825401031</v>
      </c>
      <c r="BK51" s="2">
        <f t="shared" ca="1" si="10"/>
        <v>281860.22716739168</v>
      </c>
      <c r="BL51" s="2">
        <f t="shared" ca="1" si="10"/>
        <v>296245.97162889544</v>
      </c>
      <c r="BM51" s="2">
        <f t="shared" ca="1" si="10"/>
        <v>309147.29006830743</v>
      </c>
      <c r="BN51" s="2">
        <f t="shared" ca="1" si="10"/>
        <v>323054.07217238902</v>
      </c>
      <c r="BO51" s="2">
        <f t="shared" ca="1" si="10"/>
        <v>339853.80807572545</v>
      </c>
      <c r="BP51" s="2">
        <f t="shared" ca="1" si="10"/>
        <v>354576.26374973258</v>
      </c>
      <c r="BQ51" s="2">
        <f t="shared" ca="1" si="10"/>
        <v>371339.54277136282</v>
      </c>
    </row>
    <row r="52" spans="1:69" outlineLevel="1">
      <c r="A52" s="36"/>
      <c r="B52" s="36"/>
      <c r="C52" s="65"/>
      <c r="D52" s="64"/>
      <c r="E52" s="21" t="str">
        <f xml:space="preserve"> LEFT($E$51, LEN($E$51) - 3 )</f>
        <v xml:space="preserve">Cash out on Operating Expense </v>
      </c>
      <c r="F52" s="21"/>
      <c r="G52" s="21" t="str">
        <f xml:space="preserve"> G$51</f>
        <v>GBP</v>
      </c>
      <c r="H52" s="3">
        <f t="shared" ca="1" si="9"/>
        <v>-8739047.4483311232</v>
      </c>
      <c r="I52" s="21"/>
      <c r="J52" s="3">
        <f t="shared" ref="J52:BQ52" ca="1" si="11" xml:space="preserve"> -1 * J51</f>
        <v>-57420</v>
      </c>
      <c r="K52" s="3">
        <f t="shared" ca="1" si="11"/>
        <v>-57900.248093382812</v>
      </c>
      <c r="L52" s="3">
        <f t="shared" ca="1" si="11"/>
        <v>-58392.713570545457</v>
      </c>
      <c r="M52" s="3">
        <f t="shared" ca="1" si="11"/>
        <v>-60135.501037377995</v>
      </c>
      <c r="N52" s="3">
        <f t="shared" ca="1" si="11"/>
        <v>-60707.429490589246</v>
      </c>
      <c r="O52" s="3">
        <f t="shared" ca="1" si="11"/>
        <v>-61293.907651553171</v>
      </c>
      <c r="P52" s="3">
        <f t="shared" ca="1" si="11"/>
        <v>-63168.899023067454</v>
      </c>
      <c r="Q52" s="3">
        <f t="shared" ca="1" si="11"/>
        <v>-63827.406889334176</v>
      </c>
      <c r="R52" s="3">
        <f t="shared" ca="1" si="11"/>
        <v>-64548.447869098556</v>
      </c>
      <c r="S52" s="3">
        <f t="shared" ca="1" si="11"/>
        <v>-66576.006186044033</v>
      </c>
      <c r="T52" s="3">
        <f t="shared" ca="1" si="11"/>
        <v>-67311.007728157609</v>
      </c>
      <c r="U52" s="3">
        <f t="shared" ca="1" si="11"/>
        <v>-68164.305258014734</v>
      </c>
      <c r="V52" s="3">
        <f t="shared" ca="1" si="11"/>
        <v>-70290.000000000015</v>
      </c>
      <c r="W52" s="3">
        <f t="shared" ca="1" si="11"/>
        <v>-71265.080037937165</v>
      </c>
      <c r="X52" s="3">
        <f t="shared" ca="1" si="11"/>
        <v>-72249.478703157962</v>
      </c>
      <c r="Y52" s="3">
        <f t="shared" ca="1" si="11"/>
        <v>-74656.623774612905</v>
      </c>
      <c r="Z52" s="3">
        <f t="shared" ca="1" si="11"/>
        <v>-75799.679835872084</v>
      </c>
      <c r="AA52" s="3">
        <f t="shared" ca="1" si="11"/>
        <v>-76971.722098700731</v>
      </c>
      <c r="AB52" s="3">
        <f t="shared" ca="1" si="11"/>
        <v>-79609.318711038621</v>
      </c>
      <c r="AC52" s="3">
        <f t="shared" ca="1" si="11"/>
        <v>-80925.099594781292</v>
      </c>
      <c r="AD52" s="3">
        <f t="shared" ca="1" si="11"/>
        <v>-82379.056775231918</v>
      </c>
      <c r="AE52" s="3">
        <f t="shared" ca="1" si="11"/>
        <v>-85300.141550678149</v>
      </c>
      <c r="AF52" s="3">
        <f t="shared" ca="1" si="11"/>
        <v>-86760.992999075475</v>
      </c>
      <c r="AG52" s="3">
        <f t="shared" ca="1" si="11"/>
        <v>-88471.515809038494</v>
      </c>
      <c r="AH52" s="3">
        <f t="shared" ca="1" si="11"/>
        <v>-98728.250638101817</v>
      </c>
      <c r="AI52" s="3">
        <f t="shared" ca="1" si="11"/>
        <v>-101080.87565859596</v>
      </c>
      <c r="AJ52" s="3">
        <f t="shared" ca="1" si="11"/>
        <v>-103493.24679997447</v>
      </c>
      <c r="AK52" s="3">
        <f t="shared" ca="1" si="11"/>
        <v>-107589.67236776305</v>
      </c>
      <c r="AL52" s="3">
        <f t="shared" ca="1" si="11"/>
        <v>-110391.05385907202</v>
      </c>
      <c r="AM52" s="3">
        <f t="shared" ca="1" si="11"/>
        <v>-113263.57787598559</v>
      </c>
      <c r="AN52" s="3">
        <f t="shared" ca="1" si="11"/>
        <v>-117899.1782137165</v>
      </c>
      <c r="AO52" s="3">
        <f t="shared" ca="1" si="11"/>
        <v>-121124.21983275771</v>
      </c>
      <c r="AP52" s="3">
        <f t="shared" ca="1" si="11"/>
        <v>-124676.68768137394</v>
      </c>
      <c r="AQ52" s="3">
        <f t="shared" ca="1" si="11"/>
        <v>-129954.29390566153</v>
      </c>
      <c r="AR52" s="3">
        <f t="shared" ca="1" si="11"/>
        <v>-133537.6083871256</v>
      </c>
      <c r="AS52" s="3">
        <f t="shared" ca="1" si="11"/>
        <v>-137726.79454391476</v>
      </c>
      <c r="AT52" s="3">
        <f t="shared" ca="1" si="11"/>
        <v>-143534.86543012649</v>
      </c>
      <c r="AU52" s="3">
        <f t="shared" ca="1" si="11"/>
        <v>-148253.53631941459</v>
      </c>
      <c r="AV52" s="3">
        <f t="shared" ca="1" si="11"/>
        <v>-153078.1544070298</v>
      </c>
      <c r="AW52" s="3">
        <f t="shared" ca="1" si="11"/>
        <v>-159961.60770347869</v>
      </c>
      <c r="AX52" s="3">
        <f t="shared" ca="1" si="11"/>
        <v>-165564.18378831822</v>
      </c>
      <c r="AY52" s="3">
        <f t="shared" ca="1" si="11"/>
        <v>-171309.01848511616</v>
      </c>
      <c r="AZ52" s="3">
        <f t="shared" ca="1" si="11"/>
        <v>-179238.9250168936</v>
      </c>
      <c r="BA52" s="3">
        <f t="shared" ca="1" si="11"/>
        <v>-185688.72000832635</v>
      </c>
      <c r="BB52" s="3">
        <f t="shared" ca="1" si="11"/>
        <v>-192797.84131301288</v>
      </c>
      <c r="BC52" s="3">
        <f t="shared" ca="1" si="11"/>
        <v>-201975.15822232151</v>
      </c>
      <c r="BD52" s="3">
        <f t="shared" ca="1" si="11"/>
        <v>-209133.68285540037</v>
      </c>
      <c r="BE52" s="3">
        <f t="shared" ca="1" si="11"/>
        <v>-217515.7973693212</v>
      </c>
      <c r="BF52" s="3">
        <f t="shared" ca="1" si="11"/>
        <v>-227774.88243204652</v>
      </c>
      <c r="BG52" s="3">
        <f t="shared" ca="1" si="11"/>
        <v>-237185.79612314366</v>
      </c>
      <c r="BH52" s="3">
        <f t="shared" ca="1" si="11"/>
        <v>-246835.77751915995</v>
      </c>
      <c r="BI52" s="3">
        <f t="shared" ca="1" si="11"/>
        <v>-259163.00499886635</v>
      </c>
      <c r="BJ52" s="3">
        <f t="shared" ca="1" si="11"/>
        <v>-270369.27825401031</v>
      </c>
      <c r="BK52" s="3">
        <f t="shared" ca="1" si="11"/>
        <v>-281860.22716739168</v>
      </c>
      <c r="BL52" s="3">
        <f t="shared" ca="1" si="11"/>
        <v>-296245.97162889544</v>
      </c>
      <c r="BM52" s="3">
        <f t="shared" ca="1" si="11"/>
        <v>-309147.29006830743</v>
      </c>
      <c r="BN52" s="3">
        <f t="shared" ca="1" si="11"/>
        <v>-323054.07217238902</v>
      </c>
      <c r="BO52" s="3">
        <f t="shared" ca="1" si="11"/>
        <v>-339853.80807572545</v>
      </c>
      <c r="BP52" s="3">
        <f t="shared" ca="1" si="11"/>
        <v>-354576.26374973258</v>
      </c>
      <c r="BQ52" s="3">
        <f t="shared" ca="1" si="11"/>
        <v>-371339.54277136282</v>
      </c>
    </row>
    <row r="55" spans="1:69">
      <c r="B55" s="27" t="s">
        <v>265</v>
      </c>
    </row>
  </sheetData>
  <conditionalFormatting sqref="F2:F3">
    <cfRule type="cellIs" dxfId="203" priority="1" stopIfTrue="1" operator="notEqual">
      <formula>0</formula>
    </cfRule>
    <cfRule type="cellIs" dxfId="202" priority="2" stopIfTrue="1" operator="equal">
      <formula>""</formula>
    </cfRule>
  </conditionalFormatting>
  <conditionalFormatting sqref="J3:BQ3">
    <cfRule type="cellIs" dxfId="201" priority="8" operator="equal">
      <formula>"PPA ext."</formula>
    </cfRule>
    <cfRule type="cellIs" dxfId="200" priority="9" operator="equal">
      <formula>"Delay"</formula>
    </cfRule>
    <cfRule type="cellIs" dxfId="199" priority="10" operator="equal">
      <formula>"Fin Close"</formula>
    </cfRule>
    <cfRule type="cellIs" dxfId="198" priority="11" stopIfTrue="1" operator="equal">
      <formula>"Construction"</formula>
    </cfRule>
    <cfRule type="cellIs" dxfId="197"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BQ57"/>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2.8164062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Invoice finance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297</v>
      </c>
    </row>
    <row r="9" spans="1:69" s="85" customFormat="1">
      <c r="A9" s="59"/>
      <c r="B9" s="59"/>
      <c r="C9" s="86"/>
      <c r="D9" s="84"/>
      <c r="E9" s="40" t="str">
        <f xml:space="preserve">  InpC!E$63</f>
        <v>Opening Invoice finance balance</v>
      </c>
      <c r="F9" s="40">
        <f xml:space="preserve">  InpC!F$63</f>
        <v>0</v>
      </c>
      <c r="G9" s="40" t="str">
        <f xml:space="preserve">  InpC!G$63</f>
        <v>GBP</v>
      </c>
      <c r="M9" s="87"/>
    </row>
    <row r="10" spans="1:69">
      <c r="A10" s="18"/>
      <c r="B10" s="18"/>
      <c r="C10" s="30"/>
      <c r="D10" s="31"/>
      <c r="E10" s="10" t="str">
        <f xml:space="preserve">  Time!E$28</f>
        <v>Period number</v>
      </c>
      <c r="F10" s="10">
        <f xml:space="preserve">  Time!F$28</f>
        <v>0</v>
      </c>
      <c r="G10" s="10" t="str">
        <f xml:space="preserve">  Time!G$28</f>
        <v>Counter</v>
      </c>
      <c r="H10" s="10">
        <f xml:space="preserve">  Time!H$28</f>
        <v>0</v>
      </c>
      <c r="I10" s="10">
        <f xml:space="preserve">  Time!I$28</f>
        <v>0</v>
      </c>
      <c r="J10" s="10">
        <f xml:space="preserve">  Time!J$28</f>
        <v>1</v>
      </c>
      <c r="K10" s="10">
        <f xml:space="preserve">  Time!K$28</f>
        <v>2</v>
      </c>
      <c r="L10" s="10">
        <f xml:space="preserve">  Time!L$28</f>
        <v>3</v>
      </c>
      <c r="M10" s="10">
        <f xml:space="preserve">  Time!M$28</f>
        <v>4</v>
      </c>
      <c r="N10" s="10">
        <f xml:space="preserve">  Time!N$28</f>
        <v>5</v>
      </c>
      <c r="O10" s="10">
        <f xml:space="preserve">  Time!O$28</f>
        <v>6</v>
      </c>
      <c r="P10" s="10">
        <f xml:space="preserve">  Time!P$28</f>
        <v>7</v>
      </c>
      <c r="Q10" s="10">
        <f xml:space="preserve">  Time!Q$28</f>
        <v>8</v>
      </c>
      <c r="R10" s="10">
        <f xml:space="preserve">  Time!R$28</f>
        <v>9</v>
      </c>
      <c r="S10" s="10">
        <f xml:space="preserve">  Time!S$28</f>
        <v>10</v>
      </c>
      <c r="T10" s="10">
        <f xml:space="preserve">  Time!T$28</f>
        <v>11</v>
      </c>
      <c r="U10" s="10">
        <f xml:space="preserve">  Time!U$28</f>
        <v>12</v>
      </c>
      <c r="V10" s="10">
        <f xml:space="preserve">  Time!V$28</f>
        <v>13</v>
      </c>
      <c r="W10" s="10">
        <f xml:space="preserve">  Time!W$28</f>
        <v>14</v>
      </c>
      <c r="X10" s="10">
        <f xml:space="preserve">  Time!X$28</f>
        <v>15</v>
      </c>
      <c r="Y10" s="10">
        <f xml:space="preserve">  Time!Y$28</f>
        <v>16</v>
      </c>
      <c r="Z10" s="10">
        <f xml:space="preserve">  Time!Z$28</f>
        <v>17</v>
      </c>
      <c r="AA10" s="10">
        <f xml:space="preserve">  Time!AA$28</f>
        <v>18</v>
      </c>
      <c r="AB10" s="10">
        <f xml:space="preserve">  Time!AB$28</f>
        <v>19</v>
      </c>
      <c r="AC10" s="10">
        <f xml:space="preserve">  Time!AC$28</f>
        <v>20</v>
      </c>
      <c r="AD10" s="10">
        <f xml:space="preserve">  Time!AD$28</f>
        <v>21</v>
      </c>
      <c r="AE10" s="10">
        <f xml:space="preserve">  Time!AE$28</f>
        <v>22</v>
      </c>
      <c r="AF10" s="10">
        <f xml:space="preserve">  Time!AF$28</f>
        <v>23</v>
      </c>
      <c r="AG10" s="10">
        <f xml:space="preserve">  Time!AG$28</f>
        <v>24</v>
      </c>
      <c r="AH10" s="10">
        <f xml:space="preserve">  Time!AH$28</f>
        <v>25</v>
      </c>
      <c r="AI10" s="10">
        <f xml:space="preserve">  Time!AI$28</f>
        <v>26</v>
      </c>
      <c r="AJ10" s="10">
        <f xml:space="preserve">  Time!AJ$28</f>
        <v>27</v>
      </c>
      <c r="AK10" s="10">
        <f xml:space="preserve">  Time!AK$28</f>
        <v>28</v>
      </c>
      <c r="AL10" s="10">
        <f xml:space="preserve">  Time!AL$28</f>
        <v>29</v>
      </c>
      <c r="AM10" s="10">
        <f xml:space="preserve">  Time!AM$28</f>
        <v>30</v>
      </c>
      <c r="AN10" s="10">
        <f xml:space="preserve">  Time!AN$28</f>
        <v>31</v>
      </c>
      <c r="AO10" s="10">
        <f xml:space="preserve">  Time!AO$28</f>
        <v>32</v>
      </c>
      <c r="AP10" s="10">
        <f xml:space="preserve">  Time!AP$28</f>
        <v>33</v>
      </c>
      <c r="AQ10" s="10">
        <f xml:space="preserve">  Time!AQ$28</f>
        <v>34</v>
      </c>
      <c r="AR10" s="10">
        <f xml:space="preserve">  Time!AR$28</f>
        <v>35</v>
      </c>
      <c r="AS10" s="10">
        <f xml:space="preserve">  Time!AS$28</f>
        <v>36</v>
      </c>
      <c r="AT10" s="10">
        <f xml:space="preserve">  Time!AT$28</f>
        <v>37</v>
      </c>
      <c r="AU10" s="10">
        <f xml:space="preserve">  Time!AU$28</f>
        <v>38</v>
      </c>
      <c r="AV10" s="10">
        <f xml:space="preserve">  Time!AV$28</f>
        <v>39</v>
      </c>
      <c r="AW10" s="10">
        <f xml:space="preserve">  Time!AW$28</f>
        <v>40</v>
      </c>
      <c r="AX10" s="10">
        <f xml:space="preserve">  Time!AX$28</f>
        <v>41</v>
      </c>
      <c r="AY10" s="10">
        <f xml:space="preserve">  Time!AY$28</f>
        <v>42</v>
      </c>
      <c r="AZ10" s="10">
        <f xml:space="preserve">  Time!AZ$28</f>
        <v>43</v>
      </c>
      <c r="BA10" s="10">
        <f xml:space="preserve">  Time!BA$28</f>
        <v>44</v>
      </c>
      <c r="BB10" s="10">
        <f xml:space="preserve">  Time!BB$28</f>
        <v>45</v>
      </c>
      <c r="BC10" s="10">
        <f xml:space="preserve">  Time!BC$28</f>
        <v>46</v>
      </c>
      <c r="BD10" s="10">
        <f xml:space="preserve">  Time!BD$28</f>
        <v>47</v>
      </c>
      <c r="BE10" s="10">
        <f xml:space="preserve">  Time!BE$28</f>
        <v>48</v>
      </c>
      <c r="BF10" s="10">
        <f xml:space="preserve">  Time!BF$28</f>
        <v>49</v>
      </c>
      <c r="BG10" s="10">
        <f xml:space="preserve">  Time!BG$28</f>
        <v>50</v>
      </c>
      <c r="BH10" s="10">
        <f xml:space="preserve">  Time!BH$28</f>
        <v>51</v>
      </c>
      <c r="BI10" s="10">
        <f xml:space="preserve">  Time!BI$28</f>
        <v>52</v>
      </c>
      <c r="BJ10" s="10">
        <f xml:space="preserve">  Time!BJ$28</f>
        <v>53</v>
      </c>
      <c r="BK10" s="10">
        <f xml:space="preserve">  Time!BK$28</f>
        <v>54</v>
      </c>
      <c r="BL10" s="10">
        <f xml:space="preserve">  Time!BL$28</f>
        <v>55</v>
      </c>
      <c r="BM10" s="10">
        <f xml:space="preserve">  Time!BM$28</f>
        <v>56</v>
      </c>
      <c r="BN10" s="10">
        <f xml:space="preserve">  Time!BN$28</f>
        <v>57</v>
      </c>
      <c r="BO10" s="10">
        <f xml:space="preserve">  Time!BO$28</f>
        <v>58</v>
      </c>
      <c r="BP10" s="10">
        <f xml:space="preserve">  Time!BP$28</f>
        <v>59</v>
      </c>
      <c r="BQ10" s="10">
        <f xml:space="preserve">  Time!BQ$28</f>
        <v>60</v>
      </c>
    </row>
    <row r="11" spans="1:69">
      <c r="E11" s="46" t="s">
        <v>340</v>
      </c>
      <c r="G11" s="46" t="s">
        <v>252</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88" t="s">
        <v>216</v>
      </c>
      <c r="E12" s="2" t="str">
        <f t="shared" ref="E12:BQ12" si="1" xml:space="preserve">  E$21</f>
        <v>Invoice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88" t="s">
        <v>216</v>
      </c>
      <c r="E13" s="2" t="str">
        <f t="shared" ref="E13:BQ13" si="2" xml:space="preserve">  E$34</f>
        <v>Invoice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88" t="s">
        <v>293</v>
      </c>
      <c r="E14" s="2" t="str">
        <f t="shared" ref="E14:BQ14" si="3" xml:space="preserve">  E$27</f>
        <v>Invoice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3" customFormat="1">
      <c r="A15" s="62"/>
      <c r="B15" s="62"/>
      <c r="C15" s="90"/>
      <c r="D15" s="91"/>
      <c r="E15" s="35" t="s">
        <v>297</v>
      </c>
      <c r="F15" s="35"/>
      <c r="G15" s="35" t="s">
        <v>252</v>
      </c>
      <c r="H15" s="35"/>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7" t="s">
        <v>14</v>
      </c>
    </row>
    <row r="18" spans="1:69" outlineLevel="1">
      <c r="A18" s="18"/>
      <c r="B18" s="18"/>
      <c r="C18" s="30"/>
      <c r="D18" s="31"/>
      <c r="E18" s="44" t="str">
        <f xml:space="preserve">  InpC!E$61</f>
        <v>Invoice Finance Advance %</v>
      </c>
      <c r="F18" s="44">
        <f xml:space="preserve">  InpC!F$61</f>
        <v>0.9</v>
      </c>
      <c r="G18" s="44" t="str">
        <f xml:space="preserve">  InpC!G$61</f>
        <v>%</v>
      </c>
      <c r="M18" s="58"/>
    </row>
    <row r="19" spans="1:69" outlineLevel="1">
      <c r="A19" s="18"/>
      <c r="B19" s="18"/>
      <c r="C19" s="30"/>
      <c r="D19" s="31"/>
      <c r="E19" s="4" t="str">
        <f xml:space="preserve">  Income!E$18</f>
        <v>Income</v>
      </c>
      <c r="F19" s="4">
        <f xml:space="preserve">  Income!F$18</f>
        <v>0</v>
      </c>
      <c r="G19" s="4" t="str">
        <f xml:space="preserve">  Income!G$18</f>
        <v>GBP</v>
      </c>
      <c r="H19" s="4">
        <f ca="1" xml:space="preserve">  Income!H$18</f>
        <v>36564748.008238308</v>
      </c>
      <c r="I19" s="4">
        <f xml:space="preserve">  Income!I$18</f>
        <v>0</v>
      </c>
      <c r="J19" s="4">
        <f ca="1" xml:space="preserve">  Income!J$18</f>
        <v>0</v>
      </c>
      <c r="K19" s="4">
        <f ca="1" xml:space="preserve">  Income!K$18</f>
        <v>0</v>
      </c>
      <c r="L19" s="4">
        <f ca="1" xml:space="preserve">  Income!L$18</f>
        <v>0</v>
      </c>
      <c r="M19" s="4">
        <f ca="1" xml:space="preserve">  Income!M$18</f>
        <v>0</v>
      </c>
      <c r="N19" s="4">
        <f ca="1" xml:space="preserve">  Income!N$18</f>
        <v>0</v>
      </c>
      <c r="O19" s="4">
        <f ca="1" xml:space="preserve">  Income!O$18</f>
        <v>0</v>
      </c>
      <c r="P19" s="4">
        <f ca="1" xml:space="preserve">  Income!P$18</f>
        <v>0</v>
      </c>
      <c r="Q19" s="4">
        <f ca="1" xml:space="preserve">  Income!Q$18</f>
        <v>50357.312450014142</v>
      </c>
      <c r="R19" s="4">
        <f ca="1" xml:space="preserve">  Income!R$18</f>
        <v>59365.6686271574</v>
      </c>
      <c r="S19" s="4">
        <f ca="1" xml:space="preserve">  Income!S$18</f>
        <v>60000</v>
      </c>
      <c r="T19" s="4">
        <f ca="1" xml:space="preserve">  Income!T$18</f>
        <v>60000</v>
      </c>
      <c r="U19" s="4">
        <f ca="1" xml:space="preserve">  Income!U$18</f>
        <v>60000</v>
      </c>
      <c r="V19" s="4">
        <f ca="1" xml:space="preserve">  Income!V$18</f>
        <v>60000</v>
      </c>
      <c r="W19" s="4">
        <f ca="1" xml:space="preserve">  Income!W$18</f>
        <v>113082.23999637403</v>
      </c>
      <c r="X19" s="4">
        <f ca="1" xml:space="preserve">  Income!X$18</f>
        <v>120000</v>
      </c>
      <c r="Y19" s="4">
        <f ca="1" xml:space="preserve">  Income!Y$18</f>
        <v>120000</v>
      </c>
      <c r="Z19" s="4">
        <f ca="1" xml:space="preserve">  Income!Z$18</f>
        <v>120000</v>
      </c>
      <c r="AA19" s="4">
        <f ca="1" xml:space="preserve">  Income!AA$18</f>
        <v>120000</v>
      </c>
      <c r="AB19" s="4">
        <f ca="1" xml:space="preserve">  Income!AB$18</f>
        <v>120000</v>
      </c>
      <c r="AC19" s="4">
        <f ca="1" xml:space="preserve">  Income!AC$18</f>
        <v>180000</v>
      </c>
      <c r="AD19" s="4">
        <f ca="1" xml:space="preserve">  Income!AD$18</f>
        <v>180000</v>
      </c>
      <c r="AE19" s="4">
        <f ca="1" xml:space="preserve">  Income!AE$18</f>
        <v>180000</v>
      </c>
      <c r="AF19" s="4">
        <f ca="1" xml:space="preserve">  Income!AF$18</f>
        <v>180000</v>
      </c>
      <c r="AG19" s="4">
        <f ca="1" xml:space="preserve">  Income!AG$18</f>
        <v>240000</v>
      </c>
      <c r="AH19" s="4">
        <f ca="1" xml:space="preserve">  Income!AH$18</f>
        <v>234000</v>
      </c>
      <c r="AI19" s="4">
        <f ca="1" xml:space="preserve">  Income!AI$18</f>
        <v>239636.17568683118</v>
      </c>
      <c r="AJ19" s="4">
        <f ca="1" xml:space="preserve">  Income!AJ$18</f>
        <v>245626.92009305855</v>
      </c>
      <c r="AK19" s="4">
        <f ca="1" xml:space="preserve">  Income!AK$18</f>
        <v>311955.31605470786</v>
      </c>
      <c r="AL19" s="4">
        <f ca="1" xml:space="preserve">  Income!AL$18</f>
        <v>318667.44940205838</v>
      </c>
      <c r="AM19" s="4">
        <f ca="1" xml:space="preserve">  Income!AM$18</f>
        <v>325801.83937475621</v>
      </c>
      <c r="AN19" s="4">
        <f ca="1" xml:space="preserve">  Income!AN$18</f>
        <v>393338.33928704081</v>
      </c>
      <c r="AO19" s="4">
        <f ca="1" xml:space="preserve">  Income!AO$18</f>
        <v>401348.95627287088</v>
      </c>
      <c r="AP19" s="4">
        <f ca="1" xml:space="preserve">  Income!AP$18</f>
        <v>469811.06928352593</v>
      </c>
      <c r="AQ19" s="4">
        <f ca="1" xml:space="preserve">  Income!AQ$18</f>
        <v>478786.30270319071</v>
      </c>
      <c r="AR19" s="4">
        <f ca="1" xml:space="preserve">  Income!AR$18</f>
        <v>488363.44862070272</v>
      </c>
      <c r="AS19" s="4">
        <f ca="1" xml:space="preserve">  Income!AS$18</f>
        <v>558407.79571576777</v>
      </c>
      <c r="AT19" s="4">
        <f ca="1" xml:space="preserve">  Income!AT$18</f>
        <v>569082.239996374</v>
      </c>
      <c r="AU19" s="4">
        <f ca="1" xml:space="preserve">  Income!AU$18</f>
        <v>580343.54299793672</v>
      </c>
      <c r="AV19" s="4">
        <f ca="1" xml:space="preserve">  Income!AV$18</f>
        <v>652336.48343181284</v>
      </c>
      <c r="AW19" s="4">
        <f ca="1" xml:space="preserve">  Income!AW$18</f>
        <v>665004.42673942214</v>
      </c>
      <c r="AX19" s="4">
        <f ca="1" xml:space="preserve">  Income!AX$18</f>
        <v>738439.43899624969</v>
      </c>
      <c r="AY19" s="4">
        <f ca="1" xml:space="preserve">  Income!AY$18</f>
        <v>752718.44357102388</v>
      </c>
      <c r="AZ19" s="4">
        <f ca="1" xml:space="preserve">  Income!AZ$18</f>
        <v>827801.11836955743</v>
      </c>
      <c r="BA19" s="4">
        <f ca="1" xml:space="preserve">  Income!BA$18</f>
        <v>903831.29224146029</v>
      </c>
      <c r="BB19" s="4">
        <f ca="1" xml:space="preserve">  Income!BB$18</f>
        <v>920753.59080051072</v>
      </c>
      <c r="BC19" s="4">
        <f ca="1" xml:space="preserve">  Income!BC$18</f>
        <v>998720.23832714895</v>
      </c>
      <c r="BD19" s="4">
        <f ca="1" xml:space="preserve">  Income!BD$18</f>
        <v>1077897.4131257366</v>
      </c>
      <c r="BE19" s="4">
        <f ca="1" xml:space="preserve">  Income!BE$18</f>
        <v>1097992.1485961662</v>
      </c>
      <c r="BF19" s="4">
        <f ca="1" xml:space="preserve">  Income!BF$18</f>
        <v>1173949.8387853671</v>
      </c>
      <c r="BG19" s="4">
        <f ca="1" xml:space="preserve">  Income!BG$18</f>
        <v>1261582.7303092666</v>
      </c>
      <c r="BH19" s="4">
        <f ca="1" xml:space="preserve">  Income!BH$18</f>
        <v>1350952.6513025677</v>
      </c>
      <c r="BI19" s="4">
        <f ca="1" xml:space="preserve">  Income!BI$18</f>
        <v>1441976.6646725067</v>
      </c>
      <c r="BJ19" s="4">
        <f ca="1" xml:space="preserve">  Income!BJ$18</f>
        <v>1534880.4501635674</v>
      </c>
      <c r="BK19" s="4">
        <f ca="1" xml:space="preserve">  Income!BK$18</f>
        <v>1629852.5985074346</v>
      </c>
      <c r="BL19" s="4">
        <f ca="1" xml:space="preserve">  Income!BL$18</f>
        <v>1726794.3526011482</v>
      </c>
      <c r="BM19" s="4">
        <f ca="1" xml:space="preserve">  Income!BM$18</f>
        <v>1826058.3000804824</v>
      </c>
      <c r="BN19" s="4">
        <f ca="1" xml:space="preserve">  Income!BN$18</f>
        <v>1927517.4107336544</v>
      </c>
      <c r="BO19" s="4">
        <f ca="1" xml:space="preserve">  Income!BO$18</f>
        <v>2031520.3283493733</v>
      </c>
      <c r="BP19" s="4">
        <f ca="1" xml:space="preserve">  Income!BP$18</f>
        <v>2138486.0539437877</v>
      </c>
      <c r="BQ19" s="4">
        <f ca="1" xml:space="preserve">  Income!BQ$18</f>
        <v>2247707.4180277009</v>
      </c>
    </row>
    <row r="20" spans="1:69" outlineLevel="1">
      <c r="A20" s="18"/>
      <c r="B20" s="18"/>
      <c r="C20" s="30"/>
      <c r="D20" s="31"/>
      <c r="E20" s="4" t="str">
        <f xml:space="preserve">  Time!E$237</f>
        <v>Invoice Finance Enabled flag</v>
      </c>
      <c r="F20" s="4">
        <f xml:space="preserve">  Time!F$237</f>
        <v>0</v>
      </c>
      <c r="G20" s="4" t="str">
        <f xml:space="preserve">  Time!G$237</f>
        <v>flag</v>
      </c>
      <c r="H20" s="4">
        <f xml:space="preserve">  Time!H$237</f>
        <v>0</v>
      </c>
      <c r="I20" s="4">
        <f xml:space="preserve">  Time!I$237</f>
        <v>0</v>
      </c>
      <c r="J20" s="4">
        <f xml:space="preserve">  Time!J$237</f>
        <v>0</v>
      </c>
      <c r="K20" s="4">
        <f xml:space="preserve">  Time!K$237</f>
        <v>0</v>
      </c>
      <c r="L20" s="4">
        <f xml:space="preserve">  Time!L$237</f>
        <v>0</v>
      </c>
      <c r="M20" s="4">
        <f xml:space="preserve">  Time!M$237</f>
        <v>0</v>
      </c>
      <c r="N20" s="4">
        <f xml:space="preserve">  Time!N$237</f>
        <v>0</v>
      </c>
      <c r="O20" s="4">
        <f xml:space="preserve">  Time!O$237</f>
        <v>0</v>
      </c>
      <c r="P20" s="4">
        <f xml:space="preserve">  Time!P$237</f>
        <v>0</v>
      </c>
      <c r="Q20" s="4">
        <f xml:space="preserve">  Time!Q$237</f>
        <v>0</v>
      </c>
      <c r="R20" s="4">
        <f xml:space="preserve">  Time!R$237</f>
        <v>0</v>
      </c>
      <c r="S20" s="4">
        <f xml:space="preserve">  Time!S$237</f>
        <v>0</v>
      </c>
      <c r="T20" s="4">
        <f xml:space="preserve">  Time!T$237</f>
        <v>0</v>
      </c>
      <c r="U20" s="4">
        <f xml:space="preserve">  Time!U$237</f>
        <v>0</v>
      </c>
      <c r="V20" s="4">
        <f xml:space="preserve">  Time!V$237</f>
        <v>0</v>
      </c>
      <c r="W20" s="4">
        <f xml:space="preserve">  Time!W$237</f>
        <v>0</v>
      </c>
      <c r="X20" s="4">
        <f xml:space="preserve">  Time!X$237</f>
        <v>0</v>
      </c>
      <c r="Y20" s="4">
        <f xml:space="preserve">  Time!Y$237</f>
        <v>0</v>
      </c>
      <c r="Z20" s="4">
        <f xml:space="preserve">  Time!Z$237</f>
        <v>0</v>
      </c>
      <c r="AA20" s="4">
        <f xml:space="preserve">  Time!AA$237</f>
        <v>0</v>
      </c>
      <c r="AB20" s="4">
        <f xml:space="preserve">  Time!AB$237</f>
        <v>0</v>
      </c>
      <c r="AC20" s="4">
        <f xml:space="preserve">  Time!AC$237</f>
        <v>0</v>
      </c>
      <c r="AD20" s="4">
        <f xml:space="preserve">  Time!AD$237</f>
        <v>0</v>
      </c>
      <c r="AE20" s="4">
        <f xml:space="preserve">  Time!AE$237</f>
        <v>0</v>
      </c>
      <c r="AF20" s="4">
        <f xml:space="preserve">  Time!AF$237</f>
        <v>0</v>
      </c>
      <c r="AG20" s="4">
        <f xml:space="preserve">  Time!AG$237</f>
        <v>0</v>
      </c>
      <c r="AH20" s="4">
        <f xml:space="preserve">  Time!AH$237</f>
        <v>0</v>
      </c>
      <c r="AI20" s="4">
        <f xml:space="preserve">  Time!AI$237</f>
        <v>0</v>
      </c>
      <c r="AJ20" s="4">
        <f xml:space="preserve">  Time!AJ$237</f>
        <v>0</v>
      </c>
      <c r="AK20" s="4">
        <f xml:space="preserve">  Time!AK$237</f>
        <v>0</v>
      </c>
      <c r="AL20" s="4">
        <f xml:space="preserve">  Time!AL$237</f>
        <v>0</v>
      </c>
      <c r="AM20" s="4">
        <f xml:space="preserve">  Time!AM$237</f>
        <v>0</v>
      </c>
      <c r="AN20" s="4">
        <f xml:space="preserve">  Time!AN$237</f>
        <v>0</v>
      </c>
      <c r="AO20" s="4">
        <f xml:space="preserve">  Time!AO$237</f>
        <v>0</v>
      </c>
      <c r="AP20" s="4">
        <f xml:space="preserve">  Time!AP$237</f>
        <v>0</v>
      </c>
      <c r="AQ20" s="4">
        <f xml:space="preserve">  Time!AQ$237</f>
        <v>0</v>
      </c>
      <c r="AR20" s="4">
        <f xml:space="preserve">  Time!AR$237</f>
        <v>0</v>
      </c>
      <c r="AS20" s="4">
        <f xml:space="preserve">  Time!AS$237</f>
        <v>0</v>
      </c>
      <c r="AT20" s="4">
        <f xml:space="preserve">  Time!AT$237</f>
        <v>0</v>
      </c>
      <c r="AU20" s="4">
        <f xml:space="preserve">  Time!AU$237</f>
        <v>0</v>
      </c>
      <c r="AV20" s="4">
        <f xml:space="preserve">  Time!AV$237</f>
        <v>0</v>
      </c>
      <c r="AW20" s="4">
        <f xml:space="preserve">  Time!AW$237</f>
        <v>0</v>
      </c>
      <c r="AX20" s="4">
        <f xml:space="preserve">  Time!AX$237</f>
        <v>0</v>
      </c>
      <c r="AY20" s="4">
        <f xml:space="preserve">  Time!AY$237</f>
        <v>0</v>
      </c>
      <c r="AZ20" s="4">
        <f xml:space="preserve">  Time!AZ$237</f>
        <v>0</v>
      </c>
      <c r="BA20" s="4">
        <f xml:space="preserve">  Time!BA$237</f>
        <v>0</v>
      </c>
      <c r="BB20" s="4">
        <f xml:space="preserve">  Time!BB$237</f>
        <v>0</v>
      </c>
      <c r="BC20" s="4">
        <f xml:space="preserve">  Time!BC$237</f>
        <v>0</v>
      </c>
      <c r="BD20" s="4">
        <f xml:space="preserve">  Time!BD$237</f>
        <v>0</v>
      </c>
      <c r="BE20" s="4">
        <f xml:space="preserve">  Time!BE$237</f>
        <v>0</v>
      </c>
      <c r="BF20" s="4">
        <f xml:space="preserve">  Time!BF$237</f>
        <v>0</v>
      </c>
      <c r="BG20" s="4">
        <f xml:space="preserve">  Time!BG$237</f>
        <v>0</v>
      </c>
      <c r="BH20" s="4">
        <f xml:space="preserve">  Time!BH$237</f>
        <v>0</v>
      </c>
      <c r="BI20" s="4">
        <f xml:space="preserve">  Time!BI$237</f>
        <v>0</v>
      </c>
      <c r="BJ20" s="4">
        <f xml:space="preserve">  Time!BJ$237</f>
        <v>0</v>
      </c>
      <c r="BK20" s="4">
        <f xml:space="preserve">  Time!BK$237</f>
        <v>0</v>
      </c>
      <c r="BL20" s="4">
        <f xml:space="preserve">  Time!BL$237</f>
        <v>0</v>
      </c>
      <c r="BM20" s="4">
        <f xml:space="preserve">  Time!BM$237</f>
        <v>0</v>
      </c>
      <c r="BN20" s="4">
        <f xml:space="preserve">  Time!BN$237</f>
        <v>0</v>
      </c>
      <c r="BO20" s="4">
        <f xml:space="preserve">  Time!BO$237</f>
        <v>0</v>
      </c>
      <c r="BP20" s="4">
        <f xml:space="preserve">  Time!BP$237</f>
        <v>0</v>
      </c>
      <c r="BQ20" s="4">
        <f xml:space="preserve">  Time!BQ$237</f>
        <v>0</v>
      </c>
    </row>
    <row r="21" spans="1:69" outlineLevel="1">
      <c r="A21" s="36"/>
      <c r="B21" s="36"/>
      <c r="C21" s="65"/>
      <c r="D21" s="64"/>
      <c r="E21" s="21" t="s">
        <v>14</v>
      </c>
      <c r="F21" s="21"/>
      <c r="G21" s="21" t="s">
        <v>252</v>
      </c>
      <c r="H21" s="3">
        <f ca="1" xml:space="preserve"> SUM( J21:BQ21 )</f>
        <v>0</v>
      </c>
      <c r="I21" s="21"/>
      <c r="J21" s="3">
        <f t="shared" ref="J21:BQ21" ca="1" si="5" xml:space="preserve">  J20 * J19 * $F18</f>
        <v>0</v>
      </c>
      <c r="K21" s="3">
        <f t="shared" ca="1" si="5"/>
        <v>0</v>
      </c>
      <c r="L21" s="3">
        <f t="shared" ca="1" si="5"/>
        <v>0</v>
      </c>
      <c r="M21" s="3">
        <f t="shared" ca="1" si="5"/>
        <v>0</v>
      </c>
      <c r="N21" s="3">
        <f t="shared" ca="1" si="5"/>
        <v>0</v>
      </c>
      <c r="O21" s="3">
        <f t="shared" ca="1" si="5"/>
        <v>0</v>
      </c>
      <c r="P21" s="3">
        <f t="shared" ca="1" si="5"/>
        <v>0</v>
      </c>
      <c r="Q21" s="3">
        <f t="shared" ca="1" si="5"/>
        <v>0</v>
      </c>
      <c r="R21" s="3">
        <f t="shared" ca="1" si="5"/>
        <v>0</v>
      </c>
      <c r="S21" s="3">
        <f t="shared" ca="1" si="5"/>
        <v>0</v>
      </c>
      <c r="T21" s="3">
        <f t="shared" ca="1" si="5"/>
        <v>0</v>
      </c>
      <c r="U21" s="3">
        <f t="shared" ca="1" si="5"/>
        <v>0</v>
      </c>
      <c r="V21" s="3">
        <f t="shared" ca="1" si="5"/>
        <v>0</v>
      </c>
      <c r="W21" s="3">
        <f t="shared" ca="1" si="5"/>
        <v>0</v>
      </c>
      <c r="X21" s="3">
        <f t="shared" ca="1" si="5"/>
        <v>0</v>
      </c>
      <c r="Y21" s="3">
        <f t="shared" ca="1" si="5"/>
        <v>0</v>
      </c>
      <c r="Z21" s="3">
        <f t="shared" ca="1" si="5"/>
        <v>0</v>
      </c>
      <c r="AA21" s="3">
        <f t="shared" ca="1" si="5"/>
        <v>0</v>
      </c>
      <c r="AB21" s="3">
        <f t="shared" ca="1" si="5"/>
        <v>0</v>
      </c>
      <c r="AC21" s="3">
        <f t="shared" ca="1" si="5"/>
        <v>0</v>
      </c>
      <c r="AD21" s="3">
        <f t="shared" ca="1" si="5"/>
        <v>0</v>
      </c>
      <c r="AE21" s="3">
        <f t="shared" ca="1" si="5"/>
        <v>0</v>
      </c>
      <c r="AF21" s="3">
        <f t="shared" ca="1" si="5"/>
        <v>0</v>
      </c>
      <c r="AG21" s="3">
        <f t="shared" ca="1" si="5"/>
        <v>0</v>
      </c>
      <c r="AH21" s="3">
        <f t="shared" ca="1" si="5"/>
        <v>0</v>
      </c>
      <c r="AI21" s="3">
        <f t="shared" ca="1" si="5"/>
        <v>0</v>
      </c>
      <c r="AJ21" s="3">
        <f t="shared" ca="1" si="5"/>
        <v>0</v>
      </c>
      <c r="AK21" s="3">
        <f t="shared" ca="1" si="5"/>
        <v>0</v>
      </c>
      <c r="AL21" s="3">
        <f t="shared" ca="1" si="5"/>
        <v>0</v>
      </c>
      <c r="AM21" s="3">
        <f t="shared" ca="1" si="5"/>
        <v>0</v>
      </c>
      <c r="AN21" s="3">
        <f t="shared" ca="1" si="5"/>
        <v>0</v>
      </c>
      <c r="AO21" s="3">
        <f t="shared" ca="1" si="5"/>
        <v>0</v>
      </c>
      <c r="AP21" s="3">
        <f t="shared" ca="1" si="5"/>
        <v>0</v>
      </c>
      <c r="AQ21" s="3">
        <f t="shared" ca="1" si="5"/>
        <v>0</v>
      </c>
      <c r="AR21" s="3">
        <f t="shared" ca="1" si="5"/>
        <v>0</v>
      </c>
      <c r="AS21" s="3">
        <f t="shared" ca="1" si="5"/>
        <v>0</v>
      </c>
      <c r="AT21" s="3">
        <f t="shared" ca="1" si="5"/>
        <v>0</v>
      </c>
      <c r="AU21" s="3">
        <f t="shared" ca="1" si="5"/>
        <v>0</v>
      </c>
      <c r="AV21" s="3">
        <f t="shared" ca="1" si="5"/>
        <v>0</v>
      </c>
      <c r="AW21" s="3">
        <f t="shared" ca="1" si="5"/>
        <v>0</v>
      </c>
      <c r="AX21" s="3">
        <f t="shared" ca="1" si="5"/>
        <v>0</v>
      </c>
      <c r="AY21" s="3">
        <f t="shared" ca="1" si="5"/>
        <v>0</v>
      </c>
      <c r="AZ21" s="3">
        <f t="shared" ca="1" si="5"/>
        <v>0</v>
      </c>
      <c r="BA21" s="3">
        <f t="shared" ca="1" si="5"/>
        <v>0</v>
      </c>
      <c r="BB21" s="3">
        <f t="shared" ca="1" si="5"/>
        <v>0</v>
      </c>
      <c r="BC21" s="3">
        <f t="shared" ca="1" si="5"/>
        <v>0</v>
      </c>
      <c r="BD21" s="3">
        <f t="shared" ca="1" si="5"/>
        <v>0</v>
      </c>
      <c r="BE21" s="3">
        <f t="shared" ca="1" si="5"/>
        <v>0</v>
      </c>
      <c r="BF21" s="3">
        <f t="shared" ca="1" si="5"/>
        <v>0</v>
      </c>
      <c r="BG21" s="3">
        <f t="shared" ca="1" si="5"/>
        <v>0</v>
      </c>
      <c r="BH21" s="3">
        <f t="shared" ca="1" si="5"/>
        <v>0</v>
      </c>
      <c r="BI21" s="3">
        <f t="shared" ca="1" si="5"/>
        <v>0</v>
      </c>
      <c r="BJ21" s="3">
        <f t="shared" ca="1" si="5"/>
        <v>0</v>
      </c>
      <c r="BK21" s="3">
        <f t="shared" ca="1" si="5"/>
        <v>0</v>
      </c>
      <c r="BL21" s="3">
        <f t="shared" ca="1" si="5"/>
        <v>0</v>
      </c>
      <c r="BM21" s="3">
        <f t="shared" ca="1" si="5"/>
        <v>0</v>
      </c>
      <c r="BN21" s="3">
        <f t="shared" ca="1" si="5"/>
        <v>0</v>
      </c>
      <c r="BO21" s="3">
        <f t="shared" ca="1" si="5"/>
        <v>0</v>
      </c>
      <c r="BP21" s="3">
        <f t="shared" ca="1" si="5"/>
        <v>0</v>
      </c>
      <c r="BQ21" s="3">
        <f t="shared" ca="1" si="5"/>
        <v>0</v>
      </c>
    </row>
    <row r="24" spans="1:69">
      <c r="B24" s="27" t="s">
        <v>81</v>
      </c>
    </row>
    <row r="25" spans="1:69" outlineLevel="1">
      <c r="A25" s="18"/>
      <c r="B25" s="18"/>
      <c r="C25" s="30"/>
      <c r="D25" s="31"/>
      <c r="E25" s="4" t="str">
        <f xml:space="preserve">  InpC!E$19</f>
        <v>Customer payment terms (months)</v>
      </c>
      <c r="F25" s="4">
        <f xml:space="preserve">  InpC!F$19</f>
        <v>2</v>
      </c>
      <c r="G25" s="4" t="str">
        <f xml:space="preserve">  InpC!G$19</f>
        <v>Months</v>
      </c>
      <c r="M25" s="2"/>
    </row>
    <row r="26" spans="1:69" outlineLevel="1">
      <c r="E26" s="2" t="str">
        <f t="shared" ref="E26:BQ26" si="6" xml:space="preserve">  E$21</f>
        <v>Invoice finance drawdown</v>
      </c>
      <c r="F26" s="2">
        <f t="shared" si="6"/>
        <v>0</v>
      </c>
      <c r="G26" s="2" t="str">
        <f t="shared" si="6"/>
        <v>GBP</v>
      </c>
      <c r="H26" s="2">
        <f t="shared" ca="1" si="6"/>
        <v>0</v>
      </c>
      <c r="I26" s="2">
        <f t="shared" si="6"/>
        <v>0</v>
      </c>
      <c r="J26" s="2">
        <f t="shared" ca="1" si="6"/>
        <v>0</v>
      </c>
      <c r="K26" s="2">
        <f t="shared" ca="1" si="6"/>
        <v>0</v>
      </c>
      <c r="L26" s="2">
        <f t="shared" ca="1" si="6"/>
        <v>0</v>
      </c>
      <c r="M26" s="2">
        <f t="shared" ca="1" si="6"/>
        <v>0</v>
      </c>
      <c r="N26" s="2">
        <f t="shared" ca="1" si="6"/>
        <v>0</v>
      </c>
      <c r="O26" s="2">
        <f t="shared" ca="1" si="6"/>
        <v>0</v>
      </c>
      <c r="P26" s="2">
        <f t="shared" ca="1" si="6"/>
        <v>0</v>
      </c>
      <c r="Q26" s="2">
        <f t="shared" ca="1" si="6"/>
        <v>0</v>
      </c>
      <c r="R26" s="2">
        <f t="shared" ca="1" si="6"/>
        <v>0</v>
      </c>
      <c r="S26" s="2">
        <f t="shared" ca="1" si="6"/>
        <v>0</v>
      </c>
      <c r="T26" s="2">
        <f t="shared" ca="1" si="6"/>
        <v>0</v>
      </c>
      <c r="U26" s="2">
        <f t="shared" ca="1" si="6"/>
        <v>0</v>
      </c>
      <c r="V26" s="2">
        <f t="shared" ca="1" si="6"/>
        <v>0</v>
      </c>
      <c r="W26" s="2">
        <f t="shared" ca="1" si="6"/>
        <v>0</v>
      </c>
      <c r="X26" s="2">
        <f t="shared" ca="1" si="6"/>
        <v>0</v>
      </c>
      <c r="Y26" s="2">
        <f t="shared" ca="1" si="6"/>
        <v>0</v>
      </c>
      <c r="Z26" s="2">
        <f t="shared" ca="1" si="6"/>
        <v>0</v>
      </c>
      <c r="AA26" s="2">
        <f t="shared" ca="1" si="6"/>
        <v>0</v>
      </c>
      <c r="AB26" s="2">
        <f t="shared" ca="1" si="6"/>
        <v>0</v>
      </c>
      <c r="AC26" s="2">
        <f t="shared" ca="1" si="6"/>
        <v>0</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1">
      <c r="E27" s="46" t="s">
        <v>89</v>
      </c>
      <c r="G27" s="46" t="s">
        <v>252</v>
      </c>
      <c r="H27" s="2">
        <f t="shared" ref="H27:H28" ca="1" si="7" xml:space="preserve"> SUM( J27:BQ27 )</f>
        <v>0</v>
      </c>
      <c r="J27" s="2">
        <f ca="1" xml:space="preserve">  IF( Time!J28 &lt; 1 + $F25, 0, OFFSET( J26, 0, - 1 * ( $F25 ) ) )</f>
        <v>0</v>
      </c>
      <c r="K27" s="2">
        <f ca="1" xml:space="preserve">  IF( Time!K28 &lt; 1 + $F25, 0, OFFSET( K26, 0, - 1 * ( $F25 ) ) )</f>
        <v>0</v>
      </c>
      <c r="L27" s="2">
        <f ca="1" xml:space="preserve">  IF( Time!L28 &lt; 1 + $F25, 0, OFFSET( L26, 0, - 1 * ( $F25 ) ) )</f>
        <v>0</v>
      </c>
      <c r="M27" s="2">
        <f ca="1" xml:space="preserve">  IF( Time!M28 &lt; 1 + $F25, 0, OFFSET( M26, 0, - 1 * ( $F25 ) ) )</f>
        <v>0</v>
      </c>
      <c r="N27" s="2">
        <f ca="1" xml:space="preserve">  IF( Time!N28 &lt; 1 + $F25, 0, OFFSET( N26, 0, - 1 * ( $F25 ) ) )</f>
        <v>0</v>
      </c>
      <c r="O27" s="2">
        <f ca="1" xml:space="preserve">  IF( Time!O28 &lt; 1 + $F25, 0, OFFSET( O26, 0, - 1 * ( $F25 ) ) )</f>
        <v>0</v>
      </c>
      <c r="P27" s="2">
        <f ca="1" xml:space="preserve">  IF( Time!P28 &lt; 1 + $F25, 0, OFFSET( P26, 0, - 1 * ( $F25 ) ) )</f>
        <v>0</v>
      </c>
      <c r="Q27" s="2">
        <f ca="1" xml:space="preserve">  IF( Time!Q28 &lt; 1 + $F25, 0, OFFSET( Q26, 0, - 1 * ( $F25 ) ) )</f>
        <v>0</v>
      </c>
      <c r="R27" s="2">
        <f ca="1" xml:space="preserve">  IF( Time!R28 &lt; 1 + $F25, 0, OFFSET( R26, 0, - 1 * ( $F25 ) ) )</f>
        <v>0</v>
      </c>
      <c r="S27" s="2">
        <f ca="1" xml:space="preserve">  IF( Time!S28 &lt; 1 + $F25, 0, OFFSET( S26, 0, - 1 * ( $F25 ) ) )</f>
        <v>0</v>
      </c>
      <c r="T27" s="2">
        <f ca="1" xml:space="preserve">  IF( Time!T28 &lt; 1 + $F25, 0, OFFSET( T26, 0, - 1 * ( $F25 ) ) )</f>
        <v>0</v>
      </c>
      <c r="U27" s="2">
        <f ca="1" xml:space="preserve">  IF( Time!U28 &lt; 1 + $F25, 0, OFFSET( U26, 0, - 1 * ( $F25 ) ) )</f>
        <v>0</v>
      </c>
      <c r="V27" s="2">
        <f ca="1" xml:space="preserve">  IF( Time!V28 &lt; 1 + $F25, 0, OFFSET( V26, 0, - 1 * ( $F25 ) ) )</f>
        <v>0</v>
      </c>
      <c r="W27" s="2">
        <f ca="1" xml:space="preserve">  IF( Time!W28 &lt; 1 + $F25, 0, OFFSET( W26, 0, - 1 * ( $F25 ) ) )</f>
        <v>0</v>
      </c>
      <c r="X27" s="2">
        <f ca="1" xml:space="preserve">  IF( Time!X28 &lt; 1 + $F25, 0, OFFSET( X26, 0, - 1 * ( $F25 ) ) )</f>
        <v>0</v>
      </c>
      <c r="Y27" s="2">
        <f ca="1" xml:space="preserve">  IF( Time!Y28 &lt; 1 + $F25, 0, OFFSET( Y26, 0, - 1 * ( $F25 ) ) )</f>
        <v>0</v>
      </c>
      <c r="Z27" s="2">
        <f ca="1" xml:space="preserve">  IF( Time!Z28 &lt; 1 + $F25, 0, OFFSET( Z26, 0, - 1 * ( $F25 ) ) )</f>
        <v>0</v>
      </c>
      <c r="AA27" s="2">
        <f ca="1" xml:space="preserve">  IF( Time!AA28 &lt; 1 + $F25, 0, OFFSET( AA26, 0, - 1 * ( $F25 ) ) )</f>
        <v>0</v>
      </c>
      <c r="AB27" s="2">
        <f ca="1" xml:space="preserve">  IF( Time!AB28 &lt; 1 + $F25, 0, OFFSET( AB26, 0, - 1 * ( $F25 ) ) )</f>
        <v>0</v>
      </c>
      <c r="AC27" s="2">
        <f ca="1" xml:space="preserve">  IF( Time!AC28 &lt; 1 + $F25, 0, OFFSET( AC26, 0, - 1 * ( $F25 ) ) )</f>
        <v>0</v>
      </c>
      <c r="AD27" s="2">
        <f ca="1" xml:space="preserve">  IF( Time!AD28 &lt; 1 + $F25, 0, OFFSET( AD26, 0, - 1 * ( $F25 ) ) )</f>
        <v>0</v>
      </c>
      <c r="AE27" s="2">
        <f ca="1" xml:space="preserve">  IF( Time!AE28 &lt; 1 + $F25, 0, OFFSET( AE26, 0, - 1 * ( $F25 ) ) )</f>
        <v>0</v>
      </c>
      <c r="AF27" s="2">
        <f ca="1" xml:space="preserve">  IF( Time!AF28 &lt; 1 + $F25, 0, OFFSET( AF26, 0, - 1 * ( $F25 ) ) )</f>
        <v>0</v>
      </c>
      <c r="AG27" s="2">
        <f ca="1" xml:space="preserve">  IF( Time!AG28 &lt; 1 + $F25, 0, OFFSET( AG26, 0, - 1 * ( $F25 ) ) )</f>
        <v>0</v>
      </c>
      <c r="AH27" s="2">
        <f ca="1" xml:space="preserve">  IF( Time!AH28 &lt; 1 + $F25, 0, OFFSET( AH26, 0, - 1 * ( $F25 ) ) )</f>
        <v>0</v>
      </c>
      <c r="AI27" s="2">
        <f ca="1" xml:space="preserve">  IF( Time!AI28 &lt; 1 + $F25, 0, OFFSET( AI26, 0, - 1 * ( $F25 ) ) )</f>
        <v>0</v>
      </c>
      <c r="AJ27" s="2">
        <f ca="1" xml:space="preserve">  IF( Time!AJ28 &lt; 1 + $F25, 0, OFFSET( AJ26, 0, - 1 * ( $F25 ) ) )</f>
        <v>0</v>
      </c>
      <c r="AK27" s="2">
        <f ca="1" xml:space="preserve">  IF( Time!AK28 &lt; 1 + $F25, 0, OFFSET( AK26, 0, - 1 * ( $F25 ) ) )</f>
        <v>0</v>
      </c>
      <c r="AL27" s="2">
        <f ca="1" xml:space="preserve">  IF( Time!AL28 &lt; 1 + $F25, 0, OFFSET( AL26, 0, - 1 * ( $F25 ) ) )</f>
        <v>0</v>
      </c>
      <c r="AM27" s="2">
        <f ca="1" xml:space="preserve">  IF( Time!AM28 &lt; 1 + $F25, 0, OFFSET( AM26, 0, - 1 * ( $F25 ) ) )</f>
        <v>0</v>
      </c>
      <c r="AN27" s="2">
        <f ca="1" xml:space="preserve">  IF( Time!AN28 &lt; 1 + $F25, 0, OFFSET( AN26, 0, - 1 * ( $F25 ) ) )</f>
        <v>0</v>
      </c>
      <c r="AO27" s="2">
        <f ca="1" xml:space="preserve">  IF( Time!AO28 &lt; 1 + $F25, 0, OFFSET( AO26, 0, - 1 * ( $F25 ) ) )</f>
        <v>0</v>
      </c>
      <c r="AP27" s="2">
        <f ca="1" xml:space="preserve">  IF( Time!AP28 &lt; 1 + $F25, 0, OFFSET( AP26, 0, - 1 * ( $F25 ) ) )</f>
        <v>0</v>
      </c>
      <c r="AQ27" s="2">
        <f ca="1" xml:space="preserve">  IF( Time!AQ28 &lt; 1 + $F25, 0, OFFSET( AQ26, 0, - 1 * ( $F25 ) ) )</f>
        <v>0</v>
      </c>
      <c r="AR27" s="2">
        <f ca="1" xml:space="preserve">  IF( Time!AR28 &lt; 1 + $F25, 0, OFFSET( AR26, 0, - 1 * ( $F25 ) ) )</f>
        <v>0</v>
      </c>
      <c r="AS27" s="2">
        <f ca="1" xml:space="preserve">  IF( Time!AS28 &lt; 1 + $F25, 0, OFFSET( AS26, 0, - 1 * ( $F25 ) ) )</f>
        <v>0</v>
      </c>
      <c r="AT27" s="2">
        <f ca="1" xml:space="preserve">  IF( Time!AT28 &lt; 1 + $F25, 0, OFFSET( AT26, 0, - 1 * ( $F25 ) ) )</f>
        <v>0</v>
      </c>
      <c r="AU27" s="2">
        <f ca="1" xml:space="preserve">  IF( Time!AU28 &lt; 1 + $F25, 0, OFFSET( AU26, 0, - 1 * ( $F25 ) ) )</f>
        <v>0</v>
      </c>
      <c r="AV27" s="2">
        <f ca="1" xml:space="preserve">  IF( Time!AV28 &lt; 1 + $F25, 0, OFFSET( AV26, 0, - 1 * ( $F25 ) ) )</f>
        <v>0</v>
      </c>
      <c r="AW27" s="2">
        <f ca="1" xml:space="preserve">  IF( Time!AW28 &lt; 1 + $F25, 0, OFFSET( AW26, 0, - 1 * ( $F25 ) ) )</f>
        <v>0</v>
      </c>
      <c r="AX27" s="2">
        <f ca="1" xml:space="preserve">  IF( Time!AX28 &lt; 1 + $F25, 0, OFFSET( AX26, 0, - 1 * ( $F25 ) ) )</f>
        <v>0</v>
      </c>
      <c r="AY27" s="2">
        <f ca="1" xml:space="preserve">  IF( Time!AY28 &lt; 1 + $F25, 0, OFFSET( AY26, 0, - 1 * ( $F25 ) ) )</f>
        <v>0</v>
      </c>
      <c r="AZ27" s="2">
        <f ca="1" xml:space="preserve">  IF( Time!AZ28 &lt; 1 + $F25, 0, OFFSET( AZ26, 0, - 1 * ( $F25 ) ) )</f>
        <v>0</v>
      </c>
      <c r="BA27" s="2">
        <f ca="1" xml:space="preserve">  IF( Time!BA28 &lt; 1 + $F25, 0, OFFSET( BA26, 0, - 1 * ( $F25 ) ) )</f>
        <v>0</v>
      </c>
      <c r="BB27" s="2">
        <f ca="1" xml:space="preserve">  IF( Time!BB28 &lt; 1 + $F25, 0, OFFSET( BB26, 0, - 1 * ( $F25 ) ) )</f>
        <v>0</v>
      </c>
      <c r="BC27" s="2">
        <f ca="1" xml:space="preserve">  IF( Time!BC28 &lt; 1 + $F25, 0, OFFSET( BC26, 0, - 1 * ( $F25 ) ) )</f>
        <v>0</v>
      </c>
      <c r="BD27" s="2">
        <f ca="1" xml:space="preserve">  IF( Time!BD28 &lt; 1 + $F25, 0, OFFSET( BD26, 0, - 1 * ( $F25 ) ) )</f>
        <v>0</v>
      </c>
      <c r="BE27" s="2">
        <f ca="1" xml:space="preserve">  IF( Time!BE28 &lt; 1 + $F25, 0, OFFSET( BE26, 0, - 1 * ( $F25 ) ) )</f>
        <v>0</v>
      </c>
      <c r="BF27" s="2">
        <f ca="1" xml:space="preserve">  IF( Time!BF28 &lt; 1 + $F25, 0, OFFSET( BF26, 0, - 1 * ( $F25 ) ) )</f>
        <v>0</v>
      </c>
      <c r="BG27" s="2">
        <f ca="1" xml:space="preserve">  IF( Time!BG28 &lt; 1 + $F25, 0, OFFSET( BG26, 0, - 1 * ( $F25 ) ) )</f>
        <v>0</v>
      </c>
      <c r="BH27" s="2">
        <f ca="1" xml:space="preserve">  IF( Time!BH28 &lt; 1 + $F25, 0, OFFSET( BH26, 0, - 1 * ( $F25 ) ) )</f>
        <v>0</v>
      </c>
      <c r="BI27" s="2">
        <f ca="1" xml:space="preserve">  IF( Time!BI28 &lt; 1 + $F25, 0, OFFSET( BI26, 0, - 1 * ( $F25 ) ) )</f>
        <v>0</v>
      </c>
      <c r="BJ27" s="2">
        <f ca="1" xml:space="preserve">  IF( Time!BJ28 &lt; 1 + $F25, 0, OFFSET( BJ26, 0, - 1 * ( $F25 ) ) )</f>
        <v>0</v>
      </c>
      <c r="BK27" s="2">
        <f ca="1" xml:space="preserve">  IF( Time!BK28 &lt; 1 + $F25, 0, OFFSET( BK26, 0, - 1 * ( $F25 ) ) )</f>
        <v>0</v>
      </c>
      <c r="BL27" s="2">
        <f ca="1" xml:space="preserve">  IF( Time!BL28 &lt; 1 + $F25, 0, OFFSET( BL26, 0, - 1 * ( $F25 ) ) )</f>
        <v>0</v>
      </c>
      <c r="BM27" s="2">
        <f ca="1" xml:space="preserve">  IF( Time!BM28 &lt; 1 + $F25, 0, OFFSET( BM26, 0, - 1 * ( $F25 ) ) )</f>
        <v>0</v>
      </c>
      <c r="BN27" s="2">
        <f ca="1" xml:space="preserve">  IF( Time!BN28 &lt; 1 + $F25, 0, OFFSET( BN26, 0, - 1 * ( $F25 ) ) )</f>
        <v>0</v>
      </c>
      <c r="BO27" s="2">
        <f ca="1" xml:space="preserve">  IF( Time!BO28 &lt; 1 + $F25, 0, OFFSET( BO26, 0, - 1 * ( $F25 ) ) )</f>
        <v>0</v>
      </c>
      <c r="BP27" s="2">
        <f ca="1" xml:space="preserve">  IF( Time!BP28 &lt; 1 + $F25, 0, OFFSET( BP26, 0, - 1 * ( $F25 ) ) )</f>
        <v>0</v>
      </c>
      <c r="BQ27" s="2">
        <f ca="1" xml:space="preserve">  IF( Time!BQ28 &lt; 1 + $F25, 0, OFFSET( BQ26, 0, - 1 * ( $F25 ) ) )</f>
        <v>0</v>
      </c>
    </row>
    <row r="28" spans="1:69" outlineLevel="1">
      <c r="A28" s="36"/>
      <c r="B28" s="36"/>
      <c r="C28" s="65"/>
      <c r="D28" s="64"/>
      <c r="E28" s="21" t="str">
        <f xml:space="preserve"> LEFT($E$27, LEN($E$27) - 3 )</f>
        <v xml:space="preserve">Invoice finance principal repayment </v>
      </c>
      <c r="F28" s="21"/>
      <c r="G28" s="21" t="str">
        <f xml:space="preserve"> G$27</f>
        <v>GBP</v>
      </c>
      <c r="H28" s="3">
        <f t="shared" ca="1" si="7"/>
        <v>0</v>
      </c>
      <c r="I28" s="21"/>
      <c r="J28" s="3">
        <f t="shared" ref="J28:BQ28" ca="1" si="8" xml:space="preserve"> -1 * J27</f>
        <v>0</v>
      </c>
      <c r="K28" s="3">
        <f t="shared" ca="1" si="8"/>
        <v>0</v>
      </c>
      <c r="L28" s="3">
        <f t="shared" ca="1" si="8"/>
        <v>0</v>
      </c>
      <c r="M28" s="3">
        <f t="shared" ca="1" si="8"/>
        <v>0</v>
      </c>
      <c r="N28" s="3">
        <f t="shared" ca="1" si="8"/>
        <v>0</v>
      </c>
      <c r="O28" s="3">
        <f t="shared" ca="1" si="8"/>
        <v>0</v>
      </c>
      <c r="P28" s="3">
        <f t="shared" ca="1" si="8"/>
        <v>0</v>
      </c>
      <c r="Q28" s="3">
        <f t="shared" ca="1" si="8"/>
        <v>0</v>
      </c>
      <c r="R28" s="3">
        <f t="shared" ca="1" si="8"/>
        <v>0</v>
      </c>
      <c r="S28" s="3">
        <f t="shared" ca="1" si="8"/>
        <v>0</v>
      </c>
      <c r="T28" s="3">
        <f t="shared" ca="1" si="8"/>
        <v>0</v>
      </c>
      <c r="U28" s="3">
        <f t="shared" ca="1" si="8"/>
        <v>0</v>
      </c>
      <c r="V28" s="3">
        <f t="shared" ca="1" si="8"/>
        <v>0</v>
      </c>
      <c r="W28" s="3">
        <f t="shared" ca="1" si="8"/>
        <v>0</v>
      </c>
      <c r="X28" s="3">
        <f t="shared" ca="1" si="8"/>
        <v>0</v>
      </c>
      <c r="Y28" s="3">
        <f t="shared" ca="1" si="8"/>
        <v>0</v>
      </c>
      <c r="Z28" s="3">
        <f t="shared" ca="1" si="8"/>
        <v>0</v>
      </c>
      <c r="AA28" s="3">
        <f t="shared" ca="1" si="8"/>
        <v>0</v>
      </c>
      <c r="AB28" s="3">
        <f t="shared" ca="1" si="8"/>
        <v>0</v>
      </c>
      <c r="AC28" s="3">
        <f t="shared" ca="1" si="8"/>
        <v>0</v>
      </c>
      <c r="AD28" s="3">
        <f t="shared" ca="1" si="8"/>
        <v>0</v>
      </c>
      <c r="AE28" s="3">
        <f t="shared" ca="1" si="8"/>
        <v>0</v>
      </c>
      <c r="AF28" s="3">
        <f t="shared" ca="1" si="8"/>
        <v>0</v>
      </c>
      <c r="AG28" s="3">
        <f t="shared" ca="1" si="8"/>
        <v>0</v>
      </c>
      <c r="AH28" s="3">
        <f t="shared" ca="1" si="8"/>
        <v>0</v>
      </c>
      <c r="AI28" s="3">
        <f t="shared" ca="1" si="8"/>
        <v>0</v>
      </c>
      <c r="AJ28" s="3">
        <f t="shared" ca="1" si="8"/>
        <v>0</v>
      </c>
      <c r="AK28" s="3">
        <f t="shared" ca="1" si="8"/>
        <v>0</v>
      </c>
      <c r="AL28" s="3">
        <f t="shared" ca="1" si="8"/>
        <v>0</v>
      </c>
      <c r="AM28" s="3">
        <f t="shared" ca="1" si="8"/>
        <v>0</v>
      </c>
      <c r="AN28" s="3">
        <f t="shared" ca="1" si="8"/>
        <v>0</v>
      </c>
      <c r="AO28" s="3">
        <f t="shared" ca="1" si="8"/>
        <v>0</v>
      </c>
      <c r="AP28" s="3">
        <f t="shared" ca="1" si="8"/>
        <v>0</v>
      </c>
      <c r="AQ28" s="3">
        <f t="shared" ca="1" si="8"/>
        <v>0</v>
      </c>
      <c r="AR28" s="3">
        <f t="shared" ca="1" si="8"/>
        <v>0</v>
      </c>
      <c r="AS28" s="3">
        <f t="shared" ca="1" si="8"/>
        <v>0</v>
      </c>
      <c r="AT28" s="3">
        <f t="shared" ca="1" si="8"/>
        <v>0</v>
      </c>
      <c r="AU28" s="3">
        <f t="shared" ca="1" si="8"/>
        <v>0</v>
      </c>
      <c r="AV28" s="3">
        <f t="shared" ca="1" si="8"/>
        <v>0</v>
      </c>
      <c r="AW28" s="3">
        <f t="shared" ca="1" si="8"/>
        <v>0</v>
      </c>
      <c r="AX28" s="3">
        <f t="shared" ca="1" si="8"/>
        <v>0</v>
      </c>
      <c r="AY28" s="3">
        <f t="shared" ca="1" si="8"/>
        <v>0</v>
      </c>
      <c r="AZ28" s="3">
        <f t="shared" ca="1" si="8"/>
        <v>0</v>
      </c>
      <c r="BA28" s="3">
        <f t="shared" ca="1" si="8"/>
        <v>0</v>
      </c>
      <c r="BB28" s="3">
        <f t="shared" ca="1" si="8"/>
        <v>0</v>
      </c>
      <c r="BC28" s="3">
        <f t="shared" ca="1" si="8"/>
        <v>0</v>
      </c>
      <c r="BD28" s="3">
        <f t="shared" ca="1" si="8"/>
        <v>0</v>
      </c>
      <c r="BE28" s="3">
        <f t="shared" ca="1" si="8"/>
        <v>0</v>
      </c>
      <c r="BF28" s="3">
        <f t="shared" ca="1" si="8"/>
        <v>0</v>
      </c>
      <c r="BG28" s="3">
        <f t="shared" ca="1" si="8"/>
        <v>0</v>
      </c>
      <c r="BH28" s="3">
        <f t="shared" ca="1" si="8"/>
        <v>0</v>
      </c>
      <c r="BI28" s="3">
        <f t="shared" ca="1" si="8"/>
        <v>0</v>
      </c>
      <c r="BJ28" s="3">
        <f t="shared" ca="1" si="8"/>
        <v>0</v>
      </c>
      <c r="BK28" s="3">
        <f t="shared" ca="1" si="8"/>
        <v>0</v>
      </c>
      <c r="BL28" s="3">
        <f t="shared" ca="1" si="8"/>
        <v>0</v>
      </c>
      <c r="BM28" s="3">
        <f t="shared" ca="1" si="8"/>
        <v>0</v>
      </c>
      <c r="BN28" s="3">
        <f t="shared" ca="1" si="8"/>
        <v>0</v>
      </c>
      <c r="BO28" s="3">
        <f t="shared" ca="1" si="8"/>
        <v>0</v>
      </c>
      <c r="BP28" s="3">
        <f t="shared" ca="1" si="8"/>
        <v>0</v>
      </c>
      <c r="BQ28" s="3">
        <f t="shared" ca="1" si="8"/>
        <v>0</v>
      </c>
    </row>
    <row r="31" spans="1:69">
      <c r="B31" s="27" t="s">
        <v>196</v>
      </c>
    </row>
    <row r="32" spans="1:69" outlineLevel="1">
      <c r="E32" s="2" t="str">
        <f t="shared" ref="E32:BQ32" si="9" xml:space="preserve">  E$40</f>
        <v>Invoice finance interest POS</v>
      </c>
      <c r="F32" s="2">
        <f t="shared" si="9"/>
        <v>0</v>
      </c>
      <c r="G32" s="2" t="str">
        <f t="shared" si="9"/>
        <v>GBP</v>
      </c>
      <c r="H32" s="2">
        <f t="shared" ca="1" si="9"/>
        <v>0</v>
      </c>
      <c r="I32" s="2">
        <f t="shared" si="9"/>
        <v>0</v>
      </c>
      <c r="J32" s="2">
        <f t="shared" si="9"/>
        <v>0</v>
      </c>
      <c r="K32" s="2">
        <f t="shared" ca="1" si="9"/>
        <v>0</v>
      </c>
      <c r="L32" s="2">
        <f t="shared" ca="1" si="9"/>
        <v>0</v>
      </c>
      <c r="M32" s="2">
        <f t="shared" ca="1" si="9"/>
        <v>0</v>
      </c>
      <c r="N32" s="2">
        <f t="shared" ca="1" si="9"/>
        <v>0</v>
      </c>
      <c r="O32" s="2">
        <f t="shared" ca="1" si="9"/>
        <v>0</v>
      </c>
      <c r="P32" s="2">
        <f t="shared" ca="1" si="9"/>
        <v>0</v>
      </c>
      <c r="Q32" s="2">
        <f t="shared" ca="1" si="9"/>
        <v>0</v>
      </c>
      <c r="R32" s="2">
        <f t="shared" ca="1" si="9"/>
        <v>0</v>
      </c>
      <c r="S32" s="2">
        <f t="shared" ca="1" si="9"/>
        <v>0</v>
      </c>
      <c r="T32" s="2">
        <f t="shared" ca="1" si="9"/>
        <v>0</v>
      </c>
      <c r="U32" s="2">
        <f t="shared" ca="1" si="9"/>
        <v>0</v>
      </c>
      <c r="V32" s="2">
        <f t="shared" ca="1" si="9"/>
        <v>0</v>
      </c>
      <c r="W32" s="2">
        <f t="shared" ca="1" si="9"/>
        <v>0</v>
      </c>
      <c r="X32" s="2">
        <f t="shared" ca="1" si="9"/>
        <v>0</v>
      </c>
      <c r="Y32" s="2">
        <f t="shared" ca="1" si="9"/>
        <v>0</v>
      </c>
      <c r="Z32" s="2">
        <f t="shared" ca="1" si="9"/>
        <v>0</v>
      </c>
      <c r="AA32" s="2">
        <f t="shared" ca="1" si="9"/>
        <v>0</v>
      </c>
      <c r="AB32" s="2">
        <f t="shared" ca="1" si="9"/>
        <v>0</v>
      </c>
      <c r="AC32" s="2">
        <f t="shared" ca="1" si="9"/>
        <v>0</v>
      </c>
      <c r="AD32" s="2">
        <f t="shared" ca="1" si="9"/>
        <v>0</v>
      </c>
      <c r="AE32" s="2">
        <f t="shared" ca="1" si="9"/>
        <v>0</v>
      </c>
      <c r="AF32" s="2">
        <f t="shared" ca="1" si="9"/>
        <v>0</v>
      </c>
      <c r="AG32" s="2">
        <f t="shared" ca="1" si="9"/>
        <v>0</v>
      </c>
      <c r="AH32" s="2">
        <f t="shared" ca="1" si="9"/>
        <v>0</v>
      </c>
      <c r="AI32" s="2">
        <f t="shared" ca="1" si="9"/>
        <v>0</v>
      </c>
      <c r="AJ32" s="2">
        <f t="shared" ca="1" si="9"/>
        <v>0</v>
      </c>
      <c r="AK32" s="2">
        <f t="shared" ca="1" si="9"/>
        <v>0</v>
      </c>
      <c r="AL32" s="2">
        <f t="shared" ca="1" si="9"/>
        <v>0</v>
      </c>
      <c r="AM32" s="2">
        <f t="shared" ca="1" si="9"/>
        <v>0</v>
      </c>
      <c r="AN32" s="2">
        <f t="shared" ca="1" si="9"/>
        <v>0</v>
      </c>
      <c r="AO32" s="2">
        <f t="shared" ca="1" si="9"/>
        <v>0</v>
      </c>
      <c r="AP32" s="2">
        <f t="shared" ca="1" si="9"/>
        <v>0</v>
      </c>
      <c r="AQ32" s="2">
        <f t="shared" ca="1" si="9"/>
        <v>0</v>
      </c>
      <c r="AR32" s="2">
        <f t="shared" ca="1" si="9"/>
        <v>0</v>
      </c>
      <c r="AS32" s="2">
        <f t="shared" ca="1" si="9"/>
        <v>0</v>
      </c>
      <c r="AT32" s="2">
        <f t="shared" ca="1" si="9"/>
        <v>0</v>
      </c>
      <c r="AU32" s="2">
        <f t="shared" ca="1" si="9"/>
        <v>0</v>
      </c>
      <c r="AV32" s="2">
        <f t="shared" ca="1" si="9"/>
        <v>0</v>
      </c>
      <c r="AW32" s="2">
        <f t="shared" ca="1" si="9"/>
        <v>0</v>
      </c>
      <c r="AX32" s="2">
        <f t="shared" ca="1" si="9"/>
        <v>0</v>
      </c>
      <c r="AY32" s="2">
        <f t="shared" ca="1" si="9"/>
        <v>0</v>
      </c>
      <c r="AZ32" s="2">
        <f t="shared" ca="1" si="9"/>
        <v>0</v>
      </c>
      <c r="BA32" s="2">
        <f t="shared" ca="1" si="9"/>
        <v>0</v>
      </c>
      <c r="BB32" s="2">
        <f t="shared" ca="1" si="9"/>
        <v>0</v>
      </c>
      <c r="BC32" s="2">
        <f t="shared" ca="1" si="9"/>
        <v>0</v>
      </c>
      <c r="BD32" s="2">
        <f t="shared" ca="1" si="9"/>
        <v>0</v>
      </c>
      <c r="BE32" s="2">
        <f t="shared" ca="1" si="9"/>
        <v>0</v>
      </c>
      <c r="BF32" s="2">
        <f t="shared" ca="1" si="9"/>
        <v>0</v>
      </c>
      <c r="BG32" s="2">
        <f t="shared" ca="1" si="9"/>
        <v>0</v>
      </c>
      <c r="BH32" s="2">
        <f t="shared" ca="1" si="9"/>
        <v>0</v>
      </c>
      <c r="BI32" s="2">
        <f t="shared" ca="1" si="9"/>
        <v>0</v>
      </c>
      <c r="BJ32" s="2">
        <f t="shared" ca="1" si="9"/>
        <v>0</v>
      </c>
      <c r="BK32" s="2">
        <f t="shared" ca="1" si="9"/>
        <v>0</v>
      </c>
      <c r="BL32" s="2">
        <f t="shared" ca="1" si="9"/>
        <v>0</v>
      </c>
      <c r="BM32" s="2">
        <f t="shared" ca="1" si="9"/>
        <v>0</v>
      </c>
      <c r="BN32" s="2">
        <f t="shared" ca="1" si="9"/>
        <v>0</v>
      </c>
      <c r="BO32" s="2">
        <f t="shared" ca="1" si="9"/>
        <v>0</v>
      </c>
      <c r="BP32" s="2">
        <f t="shared" ca="1" si="9"/>
        <v>0</v>
      </c>
      <c r="BQ32" s="2">
        <f t="shared" ca="1" si="9"/>
        <v>0</v>
      </c>
    </row>
    <row r="33" spans="1:69" outlineLevel="1">
      <c r="E33" s="2" t="str">
        <f t="shared" ref="E33:BQ33" si="10" xml:space="preserve">  E$46</f>
        <v>Invoice finance interest paid POS</v>
      </c>
      <c r="F33" s="2">
        <f t="shared" si="10"/>
        <v>0</v>
      </c>
      <c r="G33" s="2" t="str">
        <f t="shared" si="10"/>
        <v>GBP</v>
      </c>
      <c r="H33" s="2">
        <f t="shared" ca="1" si="10"/>
        <v>0</v>
      </c>
      <c r="I33" s="2">
        <f t="shared" si="10"/>
        <v>0</v>
      </c>
      <c r="J33" s="2">
        <f t="shared" si="10"/>
        <v>0</v>
      </c>
      <c r="K33" s="2">
        <f t="shared" ca="1" si="10"/>
        <v>0</v>
      </c>
      <c r="L33" s="2">
        <f t="shared" ca="1" si="10"/>
        <v>0</v>
      </c>
      <c r="M33" s="2">
        <f t="shared" ca="1" si="10"/>
        <v>0</v>
      </c>
      <c r="N33" s="2">
        <f t="shared" ca="1" si="10"/>
        <v>0</v>
      </c>
      <c r="O33" s="2">
        <f t="shared" ca="1" si="10"/>
        <v>0</v>
      </c>
      <c r="P33" s="2">
        <f t="shared" ca="1" si="10"/>
        <v>0</v>
      </c>
      <c r="Q33" s="2">
        <f t="shared" ca="1" si="10"/>
        <v>0</v>
      </c>
      <c r="R33" s="2">
        <f t="shared" ca="1" si="10"/>
        <v>0</v>
      </c>
      <c r="S33" s="2">
        <f t="shared" ca="1" si="10"/>
        <v>0</v>
      </c>
      <c r="T33" s="2">
        <f t="shared" ca="1" si="10"/>
        <v>0</v>
      </c>
      <c r="U33" s="2">
        <f t="shared" ca="1" si="10"/>
        <v>0</v>
      </c>
      <c r="V33" s="2">
        <f t="shared" ca="1" si="10"/>
        <v>0</v>
      </c>
      <c r="W33" s="2">
        <f t="shared" ca="1" si="10"/>
        <v>0</v>
      </c>
      <c r="X33" s="2">
        <f t="shared" ca="1" si="10"/>
        <v>0</v>
      </c>
      <c r="Y33" s="2">
        <f t="shared" ca="1" si="10"/>
        <v>0</v>
      </c>
      <c r="Z33" s="2">
        <f t="shared" ca="1" si="10"/>
        <v>0</v>
      </c>
      <c r="AA33" s="2">
        <f t="shared" ca="1" si="10"/>
        <v>0</v>
      </c>
      <c r="AB33" s="2">
        <f t="shared" ca="1" si="10"/>
        <v>0</v>
      </c>
      <c r="AC33" s="2">
        <f t="shared" ca="1" si="10"/>
        <v>0</v>
      </c>
      <c r="AD33" s="2">
        <f t="shared" ca="1" si="10"/>
        <v>0</v>
      </c>
      <c r="AE33" s="2">
        <f t="shared" ca="1" si="10"/>
        <v>0</v>
      </c>
      <c r="AF33" s="2">
        <f t="shared" ca="1" si="10"/>
        <v>0</v>
      </c>
      <c r="AG33" s="2">
        <f t="shared" ca="1" si="10"/>
        <v>0</v>
      </c>
      <c r="AH33" s="2">
        <f t="shared" ca="1" si="10"/>
        <v>0</v>
      </c>
      <c r="AI33" s="2">
        <f t="shared" ca="1" si="10"/>
        <v>0</v>
      </c>
      <c r="AJ33" s="2">
        <f t="shared" ca="1" si="10"/>
        <v>0</v>
      </c>
      <c r="AK33" s="2">
        <f t="shared" ca="1" si="10"/>
        <v>0</v>
      </c>
      <c r="AL33" s="2">
        <f t="shared" ca="1" si="10"/>
        <v>0</v>
      </c>
      <c r="AM33" s="2">
        <f t="shared" ca="1" si="10"/>
        <v>0</v>
      </c>
      <c r="AN33" s="2">
        <f t="shared" ca="1" si="10"/>
        <v>0</v>
      </c>
      <c r="AO33" s="2">
        <f t="shared" ca="1" si="10"/>
        <v>0</v>
      </c>
      <c r="AP33" s="2">
        <f t="shared" ca="1" si="10"/>
        <v>0</v>
      </c>
      <c r="AQ33" s="2">
        <f t="shared" ca="1" si="10"/>
        <v>0</v>
      </c>
      <c r="AR33" s="2">
        <f t="shared" ca="1" si="10"/>
        <v>0</v>
      </c>
      <c r="AS33" s="2">
        <f t="shared" ca="1" si="10"/>
        <v>0</v>
      </c>
      <c r="AT33" s="2">
        <f t="shared" ca="1" si="10"/>
        <v>0</v>
      </c>
      <c r="AU33" s="2">
        <f t="shared" ca="1" si="10"/>
        <v>0</v>
      </c>
      <c r="AV33" s="2">
        <f t="shared" ca="1" si="10"/>
        <v>0</v>
      </c>
      <c r="AW33" s="2">
        <f t="shared" ca="1" si="10"/>
        <v>0</v>
      </c>
      <c r="AX33" s="2">
        <f t="shared" ca="1" si="10"/>
        <v>0</v>
      </c>
      <c r="AY33" s="2">
        <f t="shared" ca="1" si="10"/>
        <v>0</v>
      </c>
      <c r="AZ33" s="2">
        <f t="shared" ca="1" si="10"/>
        <v>0</v>
      </c>
      <c r="BA33" s="2">
        <f t="shared" ca="1" si="10"/>
        <v>0</v>
      </c>
      <c r="BB33" s="2">
        <f t="shared" ca="1" si="10"/>
        <v>0</v>
      </c>
      <c r="BC33" s="2">
        <f t="shared" ca="1" si="10"/>
        <v>0</v>
      </c>
      <c r="BD33" s="2">
        <f t="shared" ca="1" si="10"/>
        <v>0</v>
      </c>
      <c r="BE33" s="2">
        <f t="shared" ca="1" si="10"/>
        <v>0</v>
      </c>
      <c r="BF33" s="2">
        <f t="shared" ca="1" si="10"/>
        <v>0</v>
      </c>
      <c r="BG33" s="2">
        <f t="shared" ca="1" si="10"/>
        <v>0</v>
      </c>
      <c r="BH33" s="2">
        <f t="shared" ca="1" si="10"/>
        <v>0</v>
      </c>
      <c r="BI33" s="2">
        <f t="shared" ca="1" si="10"/>
        <v>0</v>
      </c>
      <c r="BJ33" s="2">
        <f t="shared" ca="1" si="10"/>
        <v>0</v>
      </c>
      <c r="BK33" s="2">
        <f t="shared" ca="1" si="10"/>
        <v>0</v>
      </c>
      <c r="BL33" s="2">
        <f t="shared" ca="1" si="10"/>
        <v>0</v>
      </c>
      <c r="BM33" s="2">
        <f t="shared" ca="1" si="10"/>
        <v>0</v>
      </c>
      <c r="BN33" s="2">
        <f t="shared" ca="1" si="10"/>
        <v>0</v>
      </c>
      <c r="BO33" s="2">
        <f t="shared" ca="1" si="10"/>
        <v>0</v>
      </c>
      <c r="BP33" s="2">
        <f t="shared" ca="1" si="10"/>
        <v>0</v>
      </c>
      <c r="BQ33" s="2">
        <f t="shared" ca="1" si="10"/>
        <v>0</v>
      </c>
    </row>
    <row r="34" spans="1:69" outlineLevel="1">
      <c r="E34" s="46" t="s">
        <v>196</v>
      </c>
      <c r="G34" s="46" t="s">
        <v>252</v>
      </c>
      <c r="H34" s="2">
        <f ca="1" xml:space="preserve"> SUM( J34:BQ34 )</f>
        <v>0</v>
      </c>
      <c r="J34" s="2">
        <f t="shared" ref="J34:BQ34" si="11" xml:space="preserve">  J32 - J33</f>
        <v>0</v>
      </c>
      <c r="K34" s="2">
        <f t="shared" ca="1" si="11"/>
        <v>0</v>
      </c>
      <c r="L34" s="2">
        <f t="shared" ca="1" si="11"/>
        <v>0</v>
      </c>
      <c r="M34" s="2">
        <f t="shared" ca="1" si="11"/>
        <v>0</v>
      </c>
      <c r="N34" s="2">
        <f t="shared" ca="1" si="11"/>
        <v>0</v>
      </c>
      <c r="O34" s="2">
        <f t="shared" ca="1" si="11"/>
        <v>0</v>
      </c>
      <c r="P34" s="2">
        <f t="shared" ca="1" si="11"/>
        <v>0</v>
      </c>
      <c r="Q34" s="2">
        <f t="shared" ca="1" si="11"/>
        <v>0</v>
      </c>
      <c r="R34" s="2">
        <f t="shared" ca="1" si="11"/>
        <v>0</v>
      </c>
      <c r="S34" s="2">
        <f t="shared" ca="1" si="11"/>
        <v>0</v>
      </c>
      <c r="T34" s="2">
        <f t="shared" ca="1" si="11"/>
        <v>0</v>
      </c>
      <c r="U34" s="2">
        <f t="shared" ca="1" si="11"/>
        <v>0</v>
      </c>
      <c r="V34" s="2">
        <f t="shared" ca="1" si="11"/>
        <v>0</v>
      </c>
      <c r="W34" s="2">
        <f t="shared" ca="1" si="11"/>
        <v>0</v>
      </c>
      <c r="X34" s="2">
        <f t="shared" ca="1" si="11"/>
        <v>0</v>
      </c>
      <c r="Y34" s="2">
        <f t="shared" ca="1" si="11"/>
        <v>0</v>
      </c>
      <c r="Z34" s="2">
        <f t="shared" ca="1" si="11"/>
        <v>0</v>
      </c>
      <c r="AA34" s="2">
        <f t="shared" ca="1" si="11"/>
        <v>0</v>
      </c>
      <c r="AB34" s="2">
        <f t="shared" ca="1" si="11"/>
        <v>0</v>
      </c>
      <c r="AC34" s="2">
        <f t="shared" ca="1" si="11"/>
        <v>0</v>
      </c>
      <c r="AD34" s="2">
        <f t="shared" ca="1" si="11"/>
        <v>0</v>
      </c>
      <c r="AE34" s="2">
        <f t="shared" ca="1" si="11"/>
        <v>0</v>
      </c>
      <c r="AF34" s="2">
        <f t="shared" ca="1" si="11"/>
        <v>0</v>
      </c>
      <c r="AG34" s="2">
        <f t="shared" ca="1" si="11"/>
        <v>0</v>
      </c>
      <c r="AH34" s="2">
        <f t="shared" ca="1" si="11"/>
        <v>0</v>
      </c>
      <c r="AI34" s="2">
        <f t="shared" ca="1" si="11"/>
        <v>0</v>
      </c>
      <c r="AJ34" s="2">
        <f t="shared" ca="1" si="11"/>
        <v>0</v>
      </c>
      <c r="AK34" s="2">
        <f t="shared" ca="1" si="11"/>
        <v>0</v>
      </c>
      <c r="AL34" s="2">
        <f t="shared" ca="1" si="11"/>
        <v>0</v>
      </c>
      <c r="AM34" s="2">
        <f t="shared" ca="1" si="11"/>
        <v>0</v>
      </c>
      <c r="AN34" s="2">
        <f t="shared" ca="1" si="11"/>
        <v>0</v>
      </c>
      <c r="AO34" s="2">
        <f t="shared" ca="1" si="11"/>
        <v>0</v>
      </c>
      <c r="AP34" s="2">
        <f t="shared" ca="1" si="11"/>
        <v>0</v>
      </c>
      <c r="AQ34" s="2">
        <f t="shared" ca="1" si="11"/>
        <v>0</v>
      </c>
      <c r="AR34" s="2">
        <f t="shared" ca="1" si="11"/>
        <v>0</v>
      </c>
      <c r="AS34" s="2">
        <f t="shared" ca="1" si="11"/>
        <v>0</v>
      </c>
      <c r="AT34" s="2">
        <f t="shared" ca="1" si="11"/>
        <v>0</v>
      </c>
      <c r="AU34" s="2">
        <f t="shared" ca="1" si="11"/>
        <v>0</v>
      </c>
      <c r="AV34" s="2">
        <f t="shared" ca="1" si="11"/>
        <v>0</v>
      </c>
      <c r="AW34" s="2">
        <f t="shared" ca="1" si="11"/>
        <v>0</v>
      </c>
      <c r="AX34" s="2">
        <f t="shared" ca="1" si="11"/>
        <v>0</v>
      </c>
      <c r="AY34" s="2">
        <f t="shared" ca="1" si="11"/>
        <v>0</v>
      </c>
      <c r="AZ34" s="2">
        <f t="shared" ca="1" si="11"/>
        <v>0</v>
      </c>
      <c r="BA34" s="2">
        <f t="shared" ca="1" si="11"/>
        <v>0</v>
      </c>
      <c r="BB34" s="2">
        <f t="shared" ca="1" si="11"/>
        <v>0</v>
      </c>
      <c r="BC34" s="2">
        <f t="shared" ca="1" si="11"/>
        <v>0</v>
      </c>
      <c r="BD34" s="2">
        <f t="shared" ca="1" si="11"/>
        <v>0</v>
      </c>
      <c r="BE34" s="2">
        <f t="shared" ca="1" si="11"/>
        <v>0</v>
      </c>
      <c r="BF34" s="2">
        <f t="shared" ca="1" si="11"/>
        <v>0</v>
      </c>
      <c r="BG34" s="2">
        <f t="shared" ca="1" si="11"/>
        <v>0</v>
      </c>
      <c r="BH34" s="2">
        <f t="shared" ca="1" si="11"/>
        <v>0</v>
      </c>
      <c r="BI34" s="2">
        <f t="shared" ca="1" si="11"/>
        <v>0</v>
      </c>
      <c r="BJ34" s="2">
        <f t="shared" ca="1" si="11"/>
        <v>0</v>
      </c>
      <c r="BK34" s="2">
        <f t="shared" ca="1" si="11"/>
        <v>0</v>
      </c>
      <c r="BL34" s="2">
        <f t="shared" ca="1" si="11"/>
        <v>0</v>
      </c>
      <c r="BM34" s="2">
        <f t="shared" ca="1" si="11"/>
        <v>0</v>
      </c>
      <c r="BN34" s="2">
        <f t="shared" ca="1" si="11"/>
        <v>0</v>
      </c>
      <c r="BO34" s="2">
        <f t="shared" ca="1" si="11"/>
        <v>0</v>
      </c>
      <c r="BP34" s="2">
        <f t="shared" ca="1" si="11"/>
        <v>0</v>
      </c>
      <c r="BQ34" s="2">
        <f t="shared" ca="1" si="11"/>
        <v>0</v>
      </c>
    </row>
    <row r="37" spans="1:69">
      <c r="B37" s="27" t="s">
        <v>131</v>
      </c>
    </row>
    <row r="38" spans="1:69" outlineLevel="1">
      <c r="E38" s="58" t="str">
        <f t="shared" ref="E38:G38" si="12" xml:space="preserve">  E$54</f>
        <v>Invoice finance period interest rate</v>
      </c>
      <c r="F38" s="58">
        <f t="shared" si="12"/>
        <v>8.3333333333333332E-3</v>
      </c>
      <c r="G38" s="58" t="str">
        <f t="shared" si="12"/>
        <v>%</v>
      </c>
      <c r="M38" s="58"/>
    </row>
    <row r="39" spans="1:69" outlineLevel="1">
      <c r="E39" s="2" t="str">
        <f t="shared" ref="E39:BQ39" si="13" xml:space="preserve">  E$11</f>
        <v>Invoice finance balance BEG</v>
      </c>
      <c r="F39" s="2">
        <f t="shared" si="13"/>
        <v>0</v>
      </c>
      <c r="G39" s="2" t="str">
        <f t="shared" si="13"/>
        <v>GBP</v>
      </c>
      <c r="H39" s="2">
        <f t="shared" si="13"/>
        <v>0</v>
      </c>
      <c r="I39" s="2">
        <f t="shared" si="13"/>
        <v>0</v>
      </c>
      <c r="J39" s="2">
        <f t="shared" si="13"/>
        <v>0</v>
      </c>
      <c r="K39" s="2">
        <f t="shared" ca="1" si="13"/>
        <v>0</v>
      </c>
      <c r="L39" s="2">
        <f t="shared" ca="1" si="13"/>
        <v>0</v>
      </c>
      <c r="M39" s="2">
        <f t="shared" ca="1" si="13"/>
        <v>0</v>
      </c>
      <c r="N39" s="2">
        <f t="shared" ca="1" si="13"/>
        <v>0</v>
      </c>
      <c r="O39" s="2">
        <f t="shared" ca="1" si="13"/>
        <v>0</v>
      </c>
      <c r="P39" s="2">
        <f t="shared" ca="1" si="13"/>
        <v>0</v>
      </c>
      <c r="Q39" s="2">
        <f t="shared" ca="1" si="13"/>
        <v>0</v>
      </c>
      <c r="R39" s="2">
        <f t="shared" ca="1" si="13"/>
        <v>0</v>
      </c>
      <c r="S39" s="2">
        <f t="shared" ca="1" si="13"/>
        <v>0</v>
      </c>
      <c r="T39" s="2">
        <f t="shared" ca="1" si="13"/>
        <v>0</v>
      </c>
      <c r="U39" s="2">
        <f t="shared" ca="1" si="13"/>
        <v>0</v>
      </c>
      <c r="V39" s="2">
        <f t="shared" ca="1" si="13"/>
        <v>0</v>
      </c>
      <c r="W39" s="2">
        <f t="shared" ca="1" si="13"/>
        <v>0</v>
      </c>
      <c r="X39" s="2">
        <f t="shared" ca="1" si="13"/>
        <v>0</v>
      </c>
      <c r="Y39" s="2">
        <f t="shared" ca="1" si="13"/>
        <v>0</v>
      </c>
      <c r="Z39" s="2">
        <f t="shared" ca="1" si="13"/>
        <v>0</v>
      </c>
      <c r="AA39" s="2">
        <f t="shared" ca="1" si="13"/>
        <v>0</v>
      </c>
      <c r="AB39" s="2">
        <f t="shared" ca="1" si="13"/>
        <v>0</v>
      </c>
      <c r="AC39" s="2">
        <f t="shared" ca="1" si="13"/>
        <v>0</v>
      </c>
      <c r="AD39" s="2">
        <f t="shared" ca="1" si="13"/>
        <v>0</v>
      </c>
      <c r="AE39" s="2">
        <f t="shared" ca="1" si="13"/>
        <v>0</v>
      </c>
      <c r="AF39" s="2">
        <f t="shared" ca="1" si="13"/>
        <v>0</v>
      </c>
      <c r="AG39" s="2">
        <f t="shared" ca="1" si="13"/>
        <v>0</v>
      </c>
      <c r="AH39" s="2">
        <f t="shared" ca="1" si="13"/>
        <v>0</v>
      </c>
      <c r="AI39" s="2">
        <f t="shared" ca="1" si="13"/>
        <v>0</v>
      </c>
      <c r="AJ39" s="2">
        <f t="shared" ca="1" si="13"/>
        <v>0</v>
      </c>
      <c r="AK39" s="2">
        <f t="shared" ca="1" si="13"/>
        <v>0</v>
      </c>
      <c r="AL39" s="2">
        <f t="shared" ca="1" si="13"/>
        <v>0</v>
      </c>
      <c r="AM39" s="2">
        <f t="shared" ca="1" si="13"/>
        <v>0</v>
      </c>
      <c r="AN39" s="2">
        <f t="shared" ca="1" si="13"/>
        <v>0</v>
      </c>
      <c r="AO39" s="2">
        <f t="shared" ca="1" si="13"/>
        <v>0</v>
      </c>
      <c r="AP39" s="2">
        <f t="shared" ca="1" si="13"/>
        <v>0</v>
      </c>
      <c r="AQ39" s="2">
        <f t="shared" ca="1" si="13"/>
        <v>0</v>
      </c>
      <c r="AR39" s="2">
        <f t="shared" ca="1" si="13"/>
        <v>0</v>
      </c>
      <c r="AS39" s="2">
        <f t="shared" ca="1" si="13"/>
        <v>0</v>
      </c>
      <c r="AT39" s="2">
        <f t="shared" ca="1" si="13"/>
        <v>0</v>
      </c>
      <c r="AU39" s="2">
        <f t="shared" ca="1" si="13"/>
        <v>0</v>
      </c>
      <c r="AV39" s="2">
        <f t="shared" ca="1" si="13"/>
        <v>0</v>
      </c>
      <c r="AW39" s="2">
        <f t="shared" ca="1" si="13"/>
        <v>0</v>
      </c>
      <c r="AX39" s="2">
        <f t="shared" ca="1" si="13"/>
        <v>0</v>
      </c>
      <c r="AY39" s="2">
        <f t="shared" ca="1" si="13"/>
        <v>0</v>
      </c>
      <c r="AZ39" s="2">
        <f t="shared" ca="1" si="13"/>
        <v>0</v>
      </c>
      <c r="BA39" s="2">
        <f t="shared" ca="1" si="13"/>
        <v>0</v>
      </c>
      <c r="BB39" s="2">
        <f t="shared" ca="1" si="13"/>
        <v>0</v>
      </c>
      <c r="BC39" s="2">
        <f t="shared" ca="1" si="13"/>
        <v>0</v>
      </c>
      <c r="BD39" s="2">
        <f t="shared" ca="1" si="13"/>
        <v>0</v>
      </c>
      <c r="BE39" s="2">
        <f t="shared" ca="1" si="13"/>
        <v>0</v>
      </c>
      <c r="BF39" s="2">
        <f t="shared" ca="1" si="13"/>
        <v>0</v>
      </c>
      <c r="BG39" s="2">
        <f t="shared" ca="1" si="13"/>
        <v>0</v>
      </c>
      <c r="BH39" s="2">
        <f t="shared" ca="1" si="13"/>
        <v>0</v>
      </c>
      <c r="BI39" s="2">
        <f t="shared" ca="1" si="13"/>
        <v>0</v>
      </c>
      <c r="BJ39" s="2">
        <f t="shared" ca="1" si="13"/>
        <v>0</v>
      </c>
      <c r="BK39" s="2">
        <f t="shared" ca="1" si="13"/>
        <v>0</v>
      </c>
      <c r="BL39" s="2">
        <f t="shared" ca="1" si="13"/>
        <v>0</v>
      </c>
      <c r="BM39" s="2">
        <f t="shared" ca="1" si="13"/>
        <v>0</v>
      </c>
      <c r="BN39" s="2">
        <f t="shared" ca="1" si="13"/>
        <v>0</v>
      </c>
      <c r="BO39" s="2">
        <f t="shared" ca="1" si="13"/>
        <v>0</v>
      </c>
      <c r="BP39" s="2">
        <f t="shared" ca="1" si="13"/>
        <v>0</v>
      </c>
      <c r="BQ39" s="2">
        <f t="shared" ca="1" si="13"/>
        <v>0</v>
      </c>
    </row>
    <row r="40" spans="1:69" outlineLevel="1">
      <c r="E40" s="46" t="s">
        <v>244</v>
      </c>
      <c r="G40" s="46" t="s">
        <v>252</v>
      </c>
      <c r="H40" s="2">
        <f t="shared" ref="H40:H41" ca="1" si="14" xml:space="preserve"> SUM( J40:BQ40 )</f>
        <v>0</v>
      </c>
      <c r="J40" s="2">
        <f t="shared" ref="J40:BQ40" si="15" xml:space="preserve">  $F38 * J39</f>
        <v>0</v>
      </c>
      <c r="K40" s="2">
        <f t="shared" ca="1" si="15"/>
        <v>0</v>
      </c>
      <c r="L40" s="2">
        <f t="shared" ca="1" si="15"/>
        <v>0</v>
      </c>
      <c r="M40" s="2">
        <f t="shared" ca="1" si="15"/>
        <v>0</v>
      </c>
      <c r="N40" s="2">
        <f t="shared" ca="1" si="15"/>
        <v>0</v>
      </c>
      <c r="O40" s="2">
        <f t="shared" ca="1" si="15"/>
        <v>0</v>
      </c>
      <c r="P40" s="2">
        <f t="shared" ca="1" si="15"/>
        <v>0</v>
      </c>
      <c r="Q40" s="2">
        <f t="shared" ca="1" si="15"/>
        <v>0</v>
      </c>
      <c r="R40" s="2">
        <f t="shared" ca="1" si="15"/>
        <v>0</v>
      </c>
      <c r="S40" s="2">
        <f t="shared" ca="1" si="15"/>
        <v>0</v>
      </c>
      <c r="T40" s="2">
        <f t="shared" ca="1" si="15"/>
        <v>0</v>
      </c>
      <c r="U40" s="2">
        <f t="shared" ca="1" si="15"/>
        <v>0</v>
      </c>
      <c r="V40" s="2">
        <f t="shared" ca="1" si="15"/>
        <v>0</v>
      </c>
      <c r="W40" s="2">
        <f t="shared" ca="1" si="15"/>
        <v>0</v>
      </c>
      <c r="X40" s="2">
        <f t="shared" ca="1" si="15"/>
        <v>0</v>
      </c>
      <c r="Y40" s="2">
        <f t="shared" ca="1" si="15"/>
        <v>0</v>
      </c>
      <c r="Z40" s="2">
        <f t="shared" ca="1" si="15"/>
        <v>0</v>
      </c>
      <c r="AA40" s="2">
        <f t="shared" ca="1" si="15"/>
        <v>0</v>
      </c>
      <c r="AB40" s="2">
        <f t="shared" ca="1" si="15"/>
        <v>0</v>
      </c>
      <c r="AC40" s="2">
        <f t="shared" ca="1" si="15"/>
        <v>0</v>
      </c>
      <c r="AD40" s="2">
        <f t="shared" ca="1" si="15"/>
        <v>0</v>
      </c>
      <c r="AE40" s="2">
        <f t="shared" ca="1" si="15"/>
        <v>0</v>
      </c>
      <c r="AF40" s="2">
        <f t="shared" ca="1" si="15"/>
        <v>0</v>
      </c>
      <c r="AG40" s="2">
        <f t="shared" ca="1" si="15"/>
        <v>0</v>
      </c>
      <c r="AH40" s="2">
        <f t="shared" ca="1" si="15"/>
        <v>0</v>
      </c>
      <c r="AI40" s="2">
        <f t="shared" ca="1" si="15"/>
        <v>0</v>
      </c>
      <c r="AJ40" s="2">
        <f t="shared" ca="1" si="15"/>
        <v>0</v>
      </c>
      <c r="AK40" s="2">
        <f t="shared" ca="1" si="15"/>
        <v>0</v>
      </c>
      <c r="AL40" s="2">
        <f t="shared" ca="1" si="15"/>
        <v>0</v>
      </c>
      <c r="AM40" s="2">
        <f t="shared" ca="1" si="15"/>
        <v>0</v>
      </c>
      <c r="AN40" s="2">
        <f t="shared" ca="1" si="15"/>
        <v>0</v>
      </c>
      <c r="AO40" s="2">
        <f t="shared" ca="1" si="15"/>
        <v>0</v>
      </c>
      <c r="AP40" s="2">
        <f t="shared" ca="1" si="15"/>
        <v>0</v>
      </c>
      <c r="AQ40" s="2">
        <f t="shared" ca="1" si="15"/>
        <v>0</v>
      </c>
      <c r="AR40" s="2">
        <f t="shared" ca="1" si="15"/>
        <v>0</v>
      </c>
      <c r="AS40" s="2">
        <f t="shared" ca="1" si="15"/>
        <v>0</v>
      </c>
      <c r="AT40" s="2">
        <f t="shared" ca="1" si="15"/>
        <v>0</v>
      </c>
      <c r="AU40" s="2">
        <f t="shared" ca="1" si="15"/>
        <v>0</v>
      </c>
      <c r="AV40" s="2">
        <f t="shared" ca="1" si="15"/>
        <v>0</v>
      </c>
      <c r="AW40" s="2">
        <f t="shared" ca="1" si="15"/>
        <v>0</v>
      </c>
      <c r="AX40" s="2">
        <f t="shared" ca="1" si="15"/>
        <v>0</v>
      </c>
      <c r="AY40" s="2">
        <f t="shared" ca="1" si="15"/>
        <v>0</v>
      </c>
      <c r="AZ40" s="2">
        <f t="shared" ca="1" si="15"/>
        <v>0</v>
      </c>
      <c r="BA40" s="2">
        <f t="shared" ca="1" si="15"/>
        <v>0</v>
      </c>
      <c r="BB40" s="2">
        <f t="shared" ca="1" si="15"/>
        <v>0</v>
      </c>
      <c r="BC40" s="2">
        <f t="shared" ca="1" si="15"/>
        <v>0</v>
      </c>
      <c r="BD40" s="2">
        <f t="shared" ca="1" si="15"/>
        <v>0</v>
      </c>
      <c r="BE40" s="2">
        <f t="shared" ca="1" si="15"/>
        <v>0</v>
      </c>
      <c r="BF40" s="2">
        <f t="shared" ca="1" si="15"/>
        <v>0</v>
      </c>
      <c r="BG40" s="2">
        <f t="shared" ca="1" si="15"/>
        <v>0</v>
      </c>
      <c r="BH40" s="2">
        <f t="shared" ca="1" si="15"/>
        <v>0</v>
      </c>
      <c r="BI40" s="2">
        <f t="shared" ca="1" si="15"/>
        <v>0</v>
      </c>
      <c r="BJ40" s="2">
        <f t="shared" ca="1" si="15"/>
        <v>0</v>
      </c>
      <c r="BK40" s="2">
        <f t="shared" ca="1" si="15"/>
        <v>0</v>
      </c>
      <c r="BL40" s="2">
        <f t="shared" ca="1" si="15"/>
        <v>0</v>
      </c>
      <c r="BM40" s="2">
        <f t="shared" ca="1" si="15"/>
        <v>0</v>
      </c>
      <c r="BN40" s="2">
        <f t="shared" ca="1" si="15"/>
        <v>0</v>
      </c>
      <c r="BO40" s="2">
        <f t="shared" ca="1" si="15"/>
        <v>0</v>
      </c>
      <c r="BP40" s="2">
        <f t="shared" ca="1" si="15"/>
        <v>0</v>
      </c>
      <c r="BQ40" s="2">
        <f t="shared" ca="1" si="15"/>
        <v>0</v>
      </c>
    </row>
    <row r="41" spans="1:69" outlineLevel="1">
      <c r="A41" s="36"/>
      <c r="B41" s="36"/>
      <c r="C41" s="65"/>
      <c r="D41" s="64"/>
      <c r="E41" s="21" t="str">
        <f xml:space="preserve"> LEFT($E$40, LEN($E$40) - 3 )</f>
        <v xml:space="preserve">Invoice finance interest </v>
      </c>
      <c r="F41" s="21"/>
      <c r="G41" s="21" t="str">
        <f xml:space="preserve"> G$40</f>
        <v>GBP</v>
      </c>
      <c r="H41" s="3">
        <f t="shared" ca="1" si="14"/>
        <v>0</v>
      </c>
      <c r="I41" s="21"/>
      <c r="J41" s="3">
        <f t="shared" ref="J41:BQ41" si="16" xml:space="preserve"> -1 * J40</f>
        <v>0</v>
      </c>
      <c r="K41" s="3">
        <f t="shared" ca="1" si="16"/>
        <v>0</v>
      </c>
      <c r="L41" s="3">
        <f t="shared" ca="1" si="16"/>
        <v>0</v>
      </c>
      <c r="M41" s="3">
        <f t="shared" ca="1" si="16"/>
        <v>0</v>
      </c>
      <c r="N41" s="3">
        <f t="shared" ca="1" si="16"/>
        <v>0</v>
      </c>
      <c r="O41" s="3">
        <f t="shared" ca="1" si="16"/>
        <v>0</v>
      </c>
      <c r="P41" s="3">
        <f t="shared" ca="1" si="16"/>
        <v>0</v>
      </c>
      <c r="Q41" s="3">
        <f t="shared" ca="1" si="16"/>
        <v>0</v>
      </c>
      <c r="R41" s="3">
        <f t="shared" ca="1" si="16"/>
        <v>0</v>
      </c>
      <c r="S41" s="3">
        <f t="shared" ca="1" si="16"/>
        <v>0</v>
      </c>
      <c r="T41" s="3">
        <f t="shared" ca="1" si="16"/>
        <v>0</v>
      </c>
      <c r="U41" s="3">
        <f t="shared" ca="1" si="16"/>
        <v>0</v>
      </c>
      <c r="V41" s="3">
        <f t="shared" ca="1" si="16"/>
        <v>0</v>
      </c>
      <c r="W41" s="3">
        <f t="shared" ca="1" si="16"/>
        <v>0</v>
      </c>
      <c r="X41" s="3">
        <f t="shared" ca="1" si="16"/>
        <v>0</v>
      </c>
      <c r="Y41" s="3">
        <f t="shared" ca="1" si="16"/>
        <v>0</v>
      </c>
      <c r="Z41" s="3">
        <f t="shared" ca="1" si="16"/>
        <v>0</v>
      </c>
      <c r="AA41" s="3">
        <f t="shared" ca="1" si="16"/>
        <v>0</v>
      </c>
      <c r="AB41" s="3">
        <f t="shared" ca="1" si="16"/>
        <v>0</v>
      </c>
      <c r="AC41" s="3">
        <f t="shared" ca="1" si="16"/>
        <v>0</v>
      </c>
      <c r="AD41" s="3">
        <f t="shared" ca="1" si="16"/>
        <v>0</v>
      </c>
      <c r="AE41" s="3">
        <f t="shared" ca="1" si="16"/>
        <v>0</v>
      </c>
      <c r="AF41" s="3">
        <f t="shared" ca="1" si="16"/>
        <v>0</v>
      </c>
      <c r="AG41" s="3">
        <f t="shared" ca="1" si="16"/>
        <v>0</v>
      </c>
      <c r="AH41" s="3">
        <f t="shared" ca="1" si="16"/>
        <v>0</v>
      </c>
      <c r="AI41" s="3">
        <f t="shared" ca="1" si="16"/>
        <v>0</v>
      </c>
      <c r="AJ41" s="3">
        <f t="shared" ca="1" si="16"/>
        <v>0</v>
      </c>
      <c r="AK41" s="3">
        <f t="shared" ca="1" si="16"/>
        <v>0</v>
      </c>
      <c r="AL41" s="3">
        <f t="shared" ca="1" si="16"/>
        <v>0</v>
      </c>
      <c r="AM41" s="3">
        <f t="shared" ca="1" si="16"/>
        <v>0</v>
      </c>
      <c r="AN41" s="3">
        <f t="shared" ca="1" si="16"/>
        <v>0</v>
      </c>
      <c r="AO41" s="3">
        <f t="shared" ca="1" si="16"/>
        <v>0</v>
      </c>
      <c r="AP41" s="3">
        <f t="shared" ca="1" si="16"/>
        <v>0</v>
      </c>
      <c r="AQ41" s="3">
        <f t="shared" ca="1" si="16"/>
        <v>0</v>
      </c>
      <c r="AR41" s="3">
        <f t="shared" ca="1" si="16"/>
        <v>0</v>
      </c>
      <c r="AS41" s="3">
        <f t="shared" ca="1" si="16"/>
        <v>0</v>
      </c>
      <c r="AT41" s="3">
        <f t="shared" ca="1" si="16"/>
        <v>0</v>
      </c>
      <c r="AU41" s="3">
        <f t="shared" ca="1" si="16"/>
        <v>0</v>
      </c>
      <c r="AV41" s="3">
        <f t="shared" ca="1" si="16"/>
        <v>0</v>
      </c>
      <c r="AW41" s="3">
        <f t="shared" ca="1" si="16"/>
        <v>0</v>
      </c>
      <c r="AX41" s="3">
        <f t="shared" ca="1" si="16"/>
        <v>0</v>
      </c>
      <c r="AY41" s="3">
        <f t="shared" ca="1" si="16"/>
        <v>0</v>
      </c>
      <c r="AZ41" s="3">
        <f t="shared" ca="1" si="16"/>
        <v>0</v>
      </c>
      <c r="BA41" s="3">
        <f t="shared" ca="1" si="16"/>
        <v>0</v>
      </c>
      <c r="BB41" s="3">
        <f t="shared" ca="1" si="16"/>
        <v>0</v>
      </c>
      <c r="BC41" s="3">
        <f t="shared" ca="1" si="16"/>
        <v>0</v>
      </c>
      <c r="BD41" s="3">
        <f t="shared" ca="1" si="16"/>
        <v>0</v>
      </c>
      <c r="BE41" s="3">
        <f t="shared" ca="1" si="16"/>
        <v>0</v>
      </c>
      <c r="BF41" s="3">
        <f t="shared" ca="1" si="16"/>
        <v>0</v>
      </c>
      <c r="BG41" s="3">
        <f t="shared" ca="1" si="16"/>
        <v>0</v>
      </c>
      <c r="BH41" s="3">
        <f t="shared" ca="1" si="16"/>
        <v>0</v>
      </c>
      <c r="BI41" s="3">
        <f t="shared" ca="1" si="16"/>
        <v>0</v>
      </c>
      <c r="BJ41" s="3">
        <f t="shared" ca="1" si="16"/>
        <v>0</v>
      </c>
      <c r="BK41" s="3">
        <f t="shared" ca="1" si="16"/>
        <v>0</v>
      </c>
      <c r="BL41" s="3">
        <f t="shared" ca="1" si="16"/>
        <v>0</v>
      </c>
      <c r="BM41" s="3">
        <f t="shared" ca="1" si="16"/>
        <v>0</v>
      </c>
      <c r="BN41" s="3">
        <f t="shared" ca="1" si="16"/>
        <v>0</v>
      </c>
      <c r="BO41" s="3">
        <f t="shared" ca="1" si="16"/>
        <v>0</v>
      </c>
      <c r="BP41" s="3">
        <f t="shared" ca="1" si="16"/>
        <v>0</v>
      </c>
      <c r="BQ41" s="3">
        <f t="shared" ca="1" si="16"/>
        <v>0</v>
      </c>
    </row>
    <row r="44" spans="1:69">
      <c r="B44" s="27" t="s">
        <v>132</v>
      </c>
    </row>
    <row r="45" spans="1:69" outlineLevel="1">
      <c r="E45" s="2" t="str">
        <f t="shared" ref="E45:BQ45" si="17" xml:space="preserve">  E$40</f>
        <v>Invoice finance interest POS</v>
      </c>
      <c r="F45" s="2">
        <f t="shared" si="17"/>
        <v>0</v>
      </c>
      <c r="G45" s="2" t="str">
        <f t="shared" si="17"/>
        <v>GBP</v>
      </c>
      <c r="H45" s="2">
        <f t="shared" ca="1" si="17"/>
        <v>0</v>
      </c>
      <c r="I45" s="2">
        <f t="shared" si="17"/>
        <v>0</v>
      </c>
      <c r="J45" s="2">
        <f t="shared" si="17"/>
        <v>0</v>
      </c>
      <c r="K45" s="2">
        <f t="shared" ca="1" si="17"/>
        <v>0</v>
      </c>
      <c r="L45" s="2">
        <f t="shared" ca="1" si="17"/>
        <v>0</v>
      </c>
      <c r="M45" s="2">
        <f t="shared" ca="1" si="17"/>
        <v>0</v>
      </c>
      <c r="N45" s="2">
        <f t="shared" ca="1" si="17"/>
        <v>0</v>
      </c>
      <c r="O45" s="2">
        <f t="shared" ca="1" si="17"/>
        <v>0</v>
      </c>
      <c r="P45" s="2">
        <f t="shared" ca="1" si="17"/>
        <v>0</v>
      </c>
      <c r="Q45" s="2">
        <f t="shared" ca="1" si="17"/>
        <v>0</v>
      </c>
      <c r="R45" s="2">
        <f t="shared" ca="1" si="17"/>
        <v>0</v>
      </c>
      <c r="S45" s="2">
        <f t="shared" ca="1" si="17"/>
        <v>0</v>
      </c>
      <c r="T45" s="2">
        <f t="shared" ca="1" si="17"/>
        <v>0</v>
      </c>
      <c r="U45" s="2">
        <f t="shared" ca="1" si="17"/>
        <v>0</v>
      </c>
      <c r="V45" s="2">
        <f t="shared" ca="1" si="17"/>
        <v>0</v>
      </c>
      <c r="W45" s="2">
        <f t="shared" ca="1" si="17"/>
        <v>0</v>
      </c>
      <c r="X45" s="2">
        <f t="shared" ca="1" si="17"/>
        <v>0</v>
      </c>
      <c r="Y45" s="2">
        <f t="shared" ca="1" si="17"/>
        <v>0</v>
      </c>
      <c r="Z45" s="2">
        <f t="shared" ca="1" si="17"/>
        <v>0</v>
      </c>
      <c r="AA45" s="2">
        <f t="shared" ca="1" si="17"/>
        <v>0</v>
      </c>
      <c r="AB45" s="2">
        <f t="shared" ca="1" si="17"/>
        <v>0</v>
      </c>
      <c r="AC45" s="2">
        <f t="shared" ca="1" si="17"/>
        <v>0</v>
      </c>
      <c r="AD45" s="2">
        <f t="shared" ca="1" si="17"/>
        <v>0</v>
      </c>
      <c r="AE45" s="2">
        <f t="shared" ca="1" si="17"/>
        <v>0</v>
      </c>
      <c r="AF45" s="2">
        <f t="shared" ca="1" si="17"/>
        <v>0</v>
      </c>
      <c r="AG45" s="2">
        <f t="shared" ca="1" si="17"/>
        <v>0</v>
      </c>
      <c r="AH45" s="2">
        <f t="shared" ca="1" si="17"/>
        <v>0</v>
      </c>
      <c r="AI45" s="2">
        <f t="shared" ca="1" si="17"/>
        <v>0</v>
      </c>
      <c r="AJ45" s="2">
        <f t="shared" ca="1" si="17"/>
        <v>0</v>
      </c>
      <c r="AK45" s="2">
        <f t="shared" ca="1" si="17"/>
        <v>0</v>
      </c>
      <c r="AL45" s="2">
        <f t="shared" ca="1" si="17"/>
        <v>0</v>
      </c>
      <c r="AM45" s="2">
        <f t="shared" ca="1" si="17"/>
        <v>0</v>
      </c>
      <c r="AN45" s="2">
        <f t="shared" ca="1" si="17"/>
        <v>0</v>
      </c>
      <c r="AO45" s="2">
        <f t="shared" ca="1" si="17"/>
        <v>0</v>
      </c>
      <c r="AP45" s="2">
        <f t="shared" ca="1" si="17"/>
        <v>0</v>
      </c>
      <c r="AQ45" s="2">
        <f t="shared" ca="1" si="17"/>
        <v>0</v>
      </c>
      <c r="AR45" s="2">
        <f t="shared" ca="1" si="17"/>
        <v>0</v>
      </c>
      <c r="AS45" s="2">
        <f t="shared" ca="1" si="17"/>
        <v>0</v>
      </c>
      <c r="AT45" s="2">
        <f t="shared" ca="1" si="17"/>
        <v>0</v>
      </c>
      <c r="AU45" s="2">
        <f t="shared" ca="1" si="17"/>
        <v>0</v>
      </c>
      <c r="AV45" s="2">
        <f t="shared" ca="1" si="17"/>
        <v>0</v>
      </c>
      <c r="AW45" s="2">
        <f t="shared" ca="1" si="17"/>
        <v>0</v>
      </c>
      <c r="AX45" s="2">
        <f t="shared" ca="1" si="17"/>
        <v>0</v>
      </c>
      <c r="AY45" s="2">
        <f t="shared" ca="1" si="17"/>
        <v>0</v>
      </c>
      <c r="AZ45" s="2">
        <f t="shared" ca="1" si="17"/>
        <v>0</v>
      </c>
      <c r="BA45" s="2">
        <f t="shared" ca="1" si="17"/>
        <v>0</v>
      </c>
      <c r="BB45" s="2">
        <f t="shared" ca="1" si="17"/>
        <v>0</v>
      </c>
      <c r="BC45" s="2">
        <f t="shared" ca="1" si="17"/>
        <v>0</v>
      </c>
      <c r="BD45" s="2">
        <f t="shared" ca="1" si="17"/>
        <v>0</v>
      </c>
      <c r="BE45" s="2">
        <f t="shared" ca="1" si="17"/>
        <v>0</v>
      </c>
      <c r="BF45" s="2">
        <f t="shared" ca="1" si="17"/>
        <v>0</v>
      </c>
      <c r="BG45" s="2">
        <f t="shared" ca="1" si="17"/>
        <v>0</v>
      </c>
      <c r="BH45" s="2">
        <f t="shared" ca="1" si="17"/>
        <v>0</v>
      </c>
      <c r="BI45" s="2">
        <f t="shared" ca="1" si="17"/>
        <v>0</v>
      </c>
      <c r="BJ45" s="2">
        <f t="shared" ca="1" si="17"/>
        <v>0</v>
      </c>
      <c r="BK45" s="2">
        <f t="shared" ca="1" si="17"/>
        <v>0</v>
      </c>
      <c r="BL45" s="2">
        <f t="shared" ca="1" si="17"/>
        <v>0</v>
      </c>
      <c r="BM45" s="2">
        <f t="shared" ca="1" si="17"/>
        <v>0</v>
      </c>
      <c r="BN45" s="2">
        <f t="shared" ca="1" si="17"/>
        <v>0</v>
      </c>
      <c r="BO45" s="2">
        <f t="shared" ca="1" si="17"/>
        <v>0</v>
      </c>
      <c r="BP45" s="2">
        <f t="shared" ca="1" si="17"/>
        <v>0</v>
      </c>
      <c r="BQ45" s="2">
        <f t="shared" ca="1" si="17"/>
        <v>0</v>
      </c>
    </row>
    <row r="46" spans="1:69" outlineLevel="1">
      <c r="E46" s="46" t="s">
        <v>115</v>
      </c>
      <c r="G46" s="46" t="s">
        <v>252</v>
      </c>
      <c r="H46" s="2">
        <f t="shared" ref="H46:H47" ca="1" si="18" xml:space="preserve"> SUM( J46:BQ46 )</f>
        <v>0</v>
      </c>
      <c r="J46" s="2">
        <f t="shared" ref="J46:BQ46" si="19" xml:space="preserve">  J45</f>
        <v>0</v>
      </c>
      <c r="K46" s="2">
        <f t="shared" ca="1" si="19"/>
        <v>0</v>
      </c>
      <c r="L46" s="2">
        <f t="shared" ca="1" si="19"/>
        <v>0</v>
      </c>
      <c r="M46" s="2">
        <f t="shared" ca="1" si="19"/>
        <v>0</v>
      </c>
      <c r="N46" s="2">
        <f t="shared" ca="1" si="19"/>
        <v>0</v>
      </c>
      <c r="O46" s="2">
        <f t="shared" ca="1" si="19"/>
        <v>0</v>
      </c>
      <c r="P46" s="2">
        <f t="shared" ca="1" si="19"/>
        <v>0</v>
      </c>
      <c r="Q46" s="2">
        <f t="shared" ca="1" si="19"/>
        <v>0</v>
      </c>
      <c r="R46" s="2">
        <f t="shared" ca="1" si="19"/>
        <v>0</v>
      </c>
      <c r="S46" s="2">
        <f t="shared" ca="1" si="19"/>
        <v>0</v>
      </c>
      <c r="T46" s="2">
        <f t="shared" ca="1" si="19"/>
        <v>0</v>
      </c>
      <c r="U46" s="2">
        <f t="shared" ca="1" si="19"/>
        <v>0</v>
      </c>
      <c r="V46" s="2">
        <f t="shared" ca="1" si="19"/>
        <v>0</v>
      </c>
      <c r="W46" s="2">
        <f t="shared" ca="1" si="19"/>
        <v>0</v>
      </c>
      <c r="X46" s="2">
        <f t="shared" ca="1" si="19"/>
        <v>0</v>
      </c>
      <c r="Y46" s="2">
        <f t="shared" ca="1" si="19"/>
        <v>0</v>
      </c>
      <c r="Z46" s="2">
        <f t="shared" ca="1" si="19"/>
        <v>0</v>
      </c>
      <c r="AA46" s="2">
        <f t="shared" ca="1" si="19"/>
        <v>0</v>
      </c>
      <c r="AB46" s="2">
        <f t="shared" ca="1" si="19"/>
        <v>0</v>
      </c>
      <c r="AC46" s="2">
        <f t="shared" ca="1" si="19"/>
        <v>0</v>
      </c>
      <c r="AD46" s="2">
        <f t="shared" ca="1" si="19"/>
        <v>0</v>
      </c>
      <c r="AE46" s="2">
        <f t="shared" ca="1" si="19"/>
        <v>0</v>
      </c>
      <c r="AF46" s="2">
        <f t="shared" ca="1" si="19"/>
        <v>0</v>
      </c>
      <c r="AG46" s="2">
        <f t="shared" ca="1" si="19"/>
        <v>0</v>
      </c>
      <c r="AH46" s="2">
        <f t="shared" ca="1" si="19"/>
        <v>0</v>
      </c>
      <c r="AI46" s="2">
        <f t="shared" ca="1" si="19"/>
        <v>0</v>
      </c>
      <c r="AJ46" s="2">
        <f t="shared" ca="1" si="19"/>
        <v>0</v>
      </c>
      <c r="AK46" s="2">
        <f t="shared" ca="1" si="19"/>
        <v>0</v>
      </c>
      <c r="AL46" s="2">
        <f t="shared" ca="1" si="19"/>
        <v>0</v>
      </c>
      <c r="AM46" s="2">
        <f t="shared" ca="1" si="19"/>
        <v>0</v>
      </c>
      <c r="AN46" s="2">
        <f t="shared" ca="1" si="19"/>
        <v>0</v>
      </c>
      <c r="AO46" s="2">
        <f t="shared" ca="1" si="19"/>
        <v>0</v>
      </c>
      <c r="AP46" s="2">
        <f t="shared" ca="1" si="19"/>
        <v>0</v>
      </c>
      <c r="AQ46" s="2">
        <f t="shared" ca="1" si="19"/>
        <v>0</v>
      </c>
      <c r="AR46" s="2">
        <f t="shared" ca="1" si="19"/>
        <v>0</v>
      </c>
      <c r="AS46" s="2">
        <f t="shared" ca="1" si="19"/>
        <v>0</v>
      </c>
      <c r="AT46" s="2">
        <f t="shared" ca="1" si="19"/>
        <v>0</v>
      </c>
      <c r="AU46" s="2">
        <f t="shared" ca="1" si="19"/>
        <v>0</v>
      </c>
      <c r="AV46" s="2">
        <f t="shared" ca="1" si="19"/>
        <v>0</v>
      </c>
      <c r="AW46" s="2">
        <f t="shared" ca="1" si="19"/>
        <v>0</v>
      </c>
      <c r="AX46" s="2">
        <f t="shared" ca="1" si="19"/>
        <v>0</v>
      </c>
      <c r="AY46" s="2">
        <f t="shared" ca="1" si="19"/>
        <v>0</v>
      </c>
      <c r="AZ46" s="2">
        <f t="shared" ca="1" si="19"/>
        <v>0</v>
      </c>
      <c r="BA46" s="2">
        <f t="shared" ca="1" si="19"/>
        <v>0</v>
      </c>
      <c r="BB46" s="2">
        <f t="shared" ca="1" si="19"/>
        <v>0</v>
      </c>
      <c r="BC46" s="2">
        <f t="shared" ca="1" si="19"/>
        <v>0</v>
      </c>
      <c r="BD46" s="2">
        <f t="shared" ca="1" si="19"/>
        <v>0</v>
      </c>
      <c r="BE46" s="2">
        <f t="shared" ca="1" si="19"/>
        <v>0</v>
      </c>
      <c r="BF46" s="2">
        <f t="shared" ca="1" si="19"/>
        <v>0</v>
      </c>
      <c r="BG46" s="2">
        <f t="shared" ca="1" si="19"/>
        <v>0</v>
      </c>
      <c r="BH46" s="2">
        <f t="shared" ca="1" si="19"/>
        <v>0</v>
      </c>
      <c r="BI46" s="2">
        <f t="shared" ca="1" si="19"/>
        <v>0</v>
      </c>
      <c r="BJ46" s="2">
        <f t="shared" ca="1" si="19"/>
        <v>0</v>
      </c>
      <c r="BK46" s="2">
        <f t="shared" ca="1" si="19"/>
        <v>0</v>
      </c>
      <c r="BL46" s="2">
        <f t="shared" ca="1" si="19"/>
        <v>0</v>
      </c>
      <c r="BM46" s="2">
        <f t="shared" ca="1" si="19"/>
        <v>0</v>
      </c>
      <c r="BN46" s="2">
        <f t="shared" ca="1" si="19"/>
        <v>0</v>
      </c>
      <c r="BO46" s="2">
        <f t="shared" ca="1" si="19"/>
        <v>0</v>
      </c>
      <c r="BP46" s="2">
        <f t="shared" ca="1" si="19"/>
        <v>0</v>
      </c>
      <c r="BQ46" s="2">
        <f t="shared" ca="1" si="19"/>
        <v>0</v>
      </c>
    </row>
    <row r="47" spans="1:69" outlineLevel="1">
      <c r="A47" s="36"/>
      <c r="B47" s="36"/>
      <c r="C47" s="65"/>
      <c r="D47" s="64"/>
      <c r="E47" s="21" t="str">
        <f xml:space="preserve"> LEFT($E$46, LEN($E$46) - 3 )</f>
        <v xml:space="preserve">Invoice finance interest paid </v>
      </c>
      <c r="F47" s="21"/>
      <c r="G47" s="21" t="str">
        <f xml:space="preserve"> G$46</f>
        <v>GBP</v>
      </c>
      <c r="H47" s="3">
        <f t="shared" ca="1" si="18"/>
        <v>0</v>
      </c>
      <c r="I47" s="21"/>
      <c r="J47" s="3">
        <f t="shared" ref="J47:BQ47" si="20" xml:space="preserve"> -1 * J46</f>
        <v>0</v>
      </c>
      <c r="K47" s="3">
        <f t="shared" ca="1" si="20"/>
        <v>0</v>
      </c>
      <c r="L47" s="3">
        <f t="shared" ca="1" si="20"/>
        <v>0</v>
      </c>
      <c r="M47" s="3">
        <f t="shared" ca="1" si="20"/>
        <v>0</v>
      </c>
      <c r="N47" s="3">
        <f t="shared" ca="1" si="20"/>
        <v>0</v>
      </c>
      <c r="O47" s="3">
        <f t="shared" ca="1" si="20"/>
        <v>0</v>
      </c>
      <c r="P47" s="3">
        <f t="shared" ca="1" si="20"/>
        <v>0</v>
      </c>
      <c r="Q47" s="3">
        <f t="shared" ca="1" si="20"/>
        <v>0</v>
      </c>
      <c r="R47" s="3">
        <f t="shared" ca="1" si="20"/>
        <v>0</v>
      </c>
      <c r="S47" s="3">
        <f t="shared" ca="1" si="20"/>
        <v>0</v>
      </c>
      <c r="T47" s="3">
        <f t="shared" ca="1" si="20"/>
        <v>0</v>
      </c>
      <c r="U47" s="3">
        <f t="shared" ca="1" si="20"/>
        <v>0</v>
      </c>
      <c r="V47" s="3">
        <f t="shared" ca="1" si="20"/>
        <v>0</v>
      </c>
      <c r="W47" s="3">
        <f t="shared" ca="1" si="20"/>
        <v>0</v>
      </c>
      <c r="X47" s="3">
        <f t="shared" ca="1" si="20"/>
        <v>0</v>
      </c>
      <c r="Y47" s="3">
        <f t="shared" ca="1" si="20"/>
        <v>0</v>
      </c>
      <c r="Z47" s="3">
        <f t="shared" ca="1" si="20"/>
        <v>0</v>
      </c>
      <c r="AA47" s="3">
        <f t="shared" ca="1" si="20"/>
        <v>0</v>
      </c>
      <c r="AB47" s="3">
        <f t="shared" ca="1" si="20"/>
        <v>0</v>
      </c>
      <c r="AC47" s="3">
        <f t="shared" ca="1" si="20"/>
        <v>0</v>
      </c>
      <c r="AD47" s="3">
        <f t="shared" ca="1" si="20"/>
        <v>0</v>
      </c>
      <c r="AE47" s="3">
        <f t="shared" ca="1" si="20"/>
        <v>0</v>
      </c>
      <c r="AF47" s="3">
        <f t="shared" ca="1" si="20"/>
        <v>0</v>
      </c>
      <c r="AG47" s="3">
        <f t="shared" ca="1" si="20"/>
        <v>0</v>
      </c>
      <c r="AH47" s="3">
        <f t="shared" ca="1" si="20"/>
        <v>0</v>
      </c>
      <c r="AI47" s="3">
        <f t="shared" ca="1" si="20"/>
        <v>0</v>
      </c>
      <c r="AJ47" s="3">
        <f t="shared" ca="1" si="20"/>
        <v>0</v>
      </c>
      <c r="AK47" s="3">
        <f t="shared" ca="1" si="20"/>
        <v>0</v>
      </c>
      <c r="AL47" s="3">
        <f t="shared" ca="1" si="20"/>
        <v>0</v>
      </c>
      <c r="AM47" s="3">
        <f t="shared" ca="1" si="20"/>
        <v>0</v>
      </c>
      <c r="AN47" s="3">
        <f t="shared" ca="1" si="20"/>
        <v>0</v>
      </c>
      <c r="AO47" s="3">
        <f t="shared" ca="1" si="20"/>
        <v>0</v>
      </c>
      <c r="AP47" s="3">
        <f t="shared" ca="1" si="20"/>
        <v>0</v>
      </c>
      <c r="AQ47" s="3">
        <f t="shared" ca="1" si="20"/>
        <v>0</v>
      </c>
      <c r="AR47" s="3">
        <f t="shared" ca="1" si="20"/>
        <v>0</v>
      </c>
      <c r="AS47" s="3">
        <f t="shared" ca="1" si="20"/>
        <v>0</v>
      </c>
      <c r="AT47" s="3">
        <f t="shared" ca="1" si="20"/>
        <v>0</v>
      </c>
      <c r="AU47" s="3">
        <f t="shared" ca="1" si="20"/>
        <v>0</v>
      </c>
      <c r="AV47" s="3">
        <f t="shared" ca="1" si="20"/>
        <v>0</v>
      </c>
      <c r="AW47" s="3">
        <f t="shared" ca="1" si="20"/>
        <v>0</v>
      </c>
      <c r="AX47" s="3">
        <f t="shared" ca="1" si="20"/>
        <v>0</v>
      </c>
      <c r="AY47" s="3">
        <f t="shared" ca="1" si="20"/>
        <v>0</v>
      </c>
      <c r="AZ47" s="3">
        <f t="shared" ca="1" si="20"/>
        <v>0</v>
      </c>
      <c r="BA47" s="3">
        <f t="shared" ca="1" si="20"/>
        <v>0</v>
      </c>
      <c r="BB47" s="3">
        <f t="shared" ca="1" si="20"/>
        <v>0</v>
      </c>
      <c r="BC47" s="3">
        <f t="shared" ca="1" si="20"/>
        <v>0</v>
      </c>
      <c r="BD47" s="3">
        <f t="shared" ca="1" si="20"/>
        <v>0</v>
      </c>
      <c r="BE47" s="3">
        <f t="shared" ca="1" si="20"/>
        <v>0</v>
      </c>
      <c r="BF47" s="3">
        <f t="shared" ca="1" si="20"/>
        <v>0</v>
      </c>
      <c r="BG47" s="3">
        <f t="shared" ca="1" si="20"/>
        <v>0</v>
      </c>
      <c r="BH47" s="3">
        <f t="shared" ca="1" si="20"/>
        <v>0</v>
      </c>
      <c r="BI47" s="3">
        <f t="shared" ca="1" si="20"/>
        <v>0</v>
      </c>
      <c r="BJ47" s="3">
        <f t="shared" ca="1" si="20"/>
        <v>0</v>
      </c>
      <c r="BK47" s="3">
        <f t="shared" ca="1" si="20"/>
        <v>0</v>
      </c>
      <c r="BL47" s="3">
        <f t="shared" ca="1" si="20"/>
        <v>0</v>
      </c>
      <c r="BM47" s="3">
        <f t="shared" ca="1" si="20"/>
        <v>0</v>
      </c>
      <c r="BN47" s="3">
        <f t="shared" ca="1" si="20"/>
        <v>0</v>
      </c>
      <c r="BO47" s="3">
        <f t="shared" ca="1" si="20"/>
        <v>0</v>
      </c>
      <c r="BP47" s="3">
        <f t="shared" ca="1" si="20"/>
        <v>0</v>
      </c>
      <c r="BQ47" s="3">
        <f t="shared" ca="1" si="20"/>
        <v>0</v>
      </c>
    </row>
    <row r="50" spans="1:13">
      <c r="B50" s="27" t="s">
        <v>36</v>
      </c>
    </row>
    <row r="51" spans="1:13" outlineLevel="1">
      <c r="A51" s="18"/>
      <c r="B51" s="18"/>
      <c r="C51" s="30"/>
      <c r="D51" s="31"/>
      <c r="E51" s="44" t="str">
        <f xml:space="preserve">  InpC!E$62</f>
        <v>All in Invoice Finance annual interest rate</v>
      </c>
      <c r="F51" s="44">
        <f xml:space="preserve">  InpC!F$62</f>
        <v>0.1</v>
      </c>
      <c r="G51" s="44" t="str">
        <f xml:space="preserve">  InpC!G$62</f>
        <v>%</v>
      </c>
      <c r="M51" s="58"/>
    </row>
    <row r="52" spans="1:13" outlineLevel="1">
      <c r="A52" s="18"/>
      <c r="B52" s="18"/>
      <c r="C52" s="30"/>
      <c r="D52" s="31"/>
      <c r="E52" s="4" t="str">
        <f xml:space="preserve">  InpC!E$56</f>
        <v>debt day count convention</v>
      </c>
      <c r="F52" s="4">
        <f xml:space="preserve">  InpC!F$56</f>
        <v>360</v>
      </c>
      <c r="G52" s="4" t="str">
        <f xml:space="preserve">  InpC!G$56</f>
        <v>day</v>
      </c>
      <c r="M52" s="2"/>
    </row>
    <row r="53" spans="1:13" outlineLevel="1">
      <c r="A53" s="18"/>
      <c r="B53" s="18"/>
      <c r="C53" s="30"/>
      <c r="D53" s="31"/>
      <c r="E53" s="4" t="str">
        <f xml:space="preserve">  InpC!E$55</f>
        <v>Days in period</v>
      </c>
      <c r="F53" s="4">
        <f xml:space="preserve">  InpC!F$55</f>
        <v>30</v>
      </c>
      <c r="G53" s="4" t="str">
        <f xml:space="preserve">  InpC!G$55</f>
        <v>day</v>
      </c>
      <c r="M53" s="2"/>
    </row>
    <row r="54" spans="1:13" outlineLevel="1">
      <c r="E54" s="46" t="s">
        <v>36</v>
      </c>
      <c r="F54" s="58">
        <f xml:space="preserve">  $F51 / $F52 * $F53</f>
        <v>8.3333333333333332E-3</v>
      </c>
      <c r="G54" s="46" t="s">
        <v>205</v>
      </c>
      <c r="M54" s="58"/>
    </row>
    <row r="57" spans="1:13">
      <c r="B57" s="27" t="s">
        <v>265</v>
      </c>
    </row>
  </sheetData>
  <conditionalFormatting sqref="F2:F3">
    <cfRule type="cellIs" dxfId="196" priority="1" stopIfTrue="1" operator="notEqual">
      <formula>0</formula>
    </cfRule>
    <cfRule type="cellIs" dxfId="195" priority="2" stopIfTrue="1" operator="equal">
      <formula>""</formula>
    </cfRule>
  </conditionalFormatting>
  <conditionalFormatting sqref="J3:BQ3">
    <cfRule type="cellIs" dxfId="194" priority="8" operator="equal">
      <formula>"PPA ext."</formula>
    </cfRule>
    <cfRule type="cellIs" dxfId="193" priority="9" operator="equal">
      <formula>"Delay"</formula>
    </cfRule>
    <cfRule type="cellIs" dxfId="192" priority="10" operator="equal">
      <formula>"Fin Close"</formula>
    </cfRule>
    <cfRule type="cellIs" dxfId="191" priority="11" stopIfTrue="1" operator="equal">
      <formula>"Construction"</formula>
    </cfRule>
    <cfRule type="cellIs" dxfId="190"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9.54296875" style="46" bestFit="1" customWidth="1"/>
    <col min="6" max="6" width="20.54296875" style="46" bestFit="1" customWidth="1"/>
    <col min="7" max="7" width="13.1796875" style="46" bestFit="1" customWidth="1"/>
    <col min="8" max="8" width="10"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Supply Chain finance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133</v>
      </c>
    </row>
    <row r="9" spans="1:69" s="85" customFormat="1">
      <c r="A9" s="59"/>
      <c r="B9" s="59"/>
      <c r="C9" s="86"/>
      <c r="D9" s="84"/>
      <c r="E9" s="40" t="str">
        <f xml:space="preserve">  InpC!E$68</f>
        <v>Opening Supply Chain Finance balance</v>
      </c>
      <c r="F9" s="40">
        <f xml:space="preserve">  InpC!F$68</f>
        <v>0</v>
      </c>
      <c r="G9" s="40" t="str">
        <f xml:space="preserve">  InpC!G$68</f>
        <v>GBP</v>
      </c>
      <c r="M9" s="87"/>
    </row>
    <row r="10" spans="1:69">
      <c r="A10" s="18"/>
      <c r="B10" s="18"/>
      <c r="C10" s="30"/>
      <c r="D10" s="31"/>
      <c r="E10" s="10" t="str">
        <f xml:space="preserve">  Time!E$28</f>
        <v>Period number</v>
      </c>
      <c r="F10" s="10">
        <f xml:space="preserve">  Time!F$28</f>
        <v>0</v>
      </c>
      <c r="G10" s="10" t="str">
        <f xml:space="preserve">  Time!G$28</f>
        <v>Counter</v>
      </c>
      <c r="H10" s="10">
        <f xml:space="preserve">  Time!H$28</f>
        <v>0</v>
      </c>
      <c r="I10" s="10">
        <f xml:space="preserve">  Time!I$28</f>
        <v>0</v>
      </c>
      <c r="J10" s="10">
        <f xml:space="preserve">  Time!J$28</f>
        <v>1</v>
      </c>
      <c r="K10" s="10">
        <f xml:space="preserve">  Time!K$28</f>
        <v>2</v>
      </c>
      <c r="L10" s="10">
        <f xml:space="preserve">  Time!L$28</f>
        <v>3</v>
      </c>
      <c r="M10" s="10">
        <f xml:space="preserve">  Time!M$28</f>
        <v>4</v>
      </c>
      <c r="N10" s="10">
        <f xml:space="preserve">  Time!N$28</f>
        <v>5</v>
      </c>
      <c r="O10" s="10">
        <f xml:space="preserve">  Time!O$28</f>
        <v>6</v>
      </c>
      <c r="P10" s="10">
        <f xml:space="preserve">  Time!P$28</f>
        <v>7</v>
      </c>
      <c r="Q10" s="10">
        <f xml:space="preserve">  Time!Q$28</f>
        <v>8</v>
      </c>
      <c r="R10" s="10">
        <f xml:space="preserve">  Time!R$28</f>
        <v>9</v>
      </c>
      <c r="S10" s="10">
        <f xml:space="preserve">  Time!S$28</f>
        <v>10</v>
      </c>
      <c r="T10" s="10">
        <f xml:space="preserve">  Time!T$28</f>
        <v>11</v>
      </c>
      <c r="U10" s="10">
        <f xml:space="preserve">  Time!U$28</f>
        <v>12</v>
      </c>
      <c r="V10" s="10">
        <f xml:space="preserve">  Time!V$28</f>
        <v>13</v>
      </c>
      <c r="W10" s="10">
        <f xml:space="preserve">  Time!W$28</f>
        <v>14</v>
      </c>
      <c r="X10" s="10">
        <f xml:space="preserve">  Time!X$28</f>
        <v>15</v>
      </c>
      <c r="Y10" s="10">
        <f xml:space="preserve">  Time!Y$28</f>
        <v>16</v>
      </c>
      <c r="Z10" s="10">
        <f xml:space="preserve">  Time!Z$28</f>
        <v>17</v>
      </c>
      <c r="AA10" s="10">
        <f xml:space="preserve">  Time!AA$28</f>
        <v>18</v>
      </c>
      <c r="AB10" s="10">
        <f xml:space="preserve">  Time!AB$28</f>
        <v>19</v>
      </c>
      <c r="AC10" s="10">
        <f xml:space="preserve">  Time!AC$28</f>
        <v>20</v>
      </c>
      <c r="AD10" s="10">
        <f xml:space="preserve">  Time!AD$28</f>
        <v>21</v>
      </c>
      <c r="AE10" s="10">
        <f xml:space="preserve">  Time!AE$28</f>
        <v>22</v>
      </c>
      <c r="AF10" s="10">
        <f xml:space="preserve">  Time!AF$28</f>
        <v>23</v>
      </c>
      <c r="AG10" s="10">
        <f xml:space="preserve">  Time!AG$28</f>
        <v>24</v>
      </c>
      <c r="AH10" s="10">
        <f xml:space="preserve">  Time!AH$28</f>
        <v>25</v>
      </c>
      <c r="AI10" s="10">
        <f xml:space="preserve">  Time!AI$28</f>
        <v>26</v>
      </c>
      <c r="AJ10" s="10">
        <f xml:space="preserve">  Time!AJ$28</f>
        <v>27</v>
      </c>
      <c r="AK10" s="10">
        <f xml:space="preserve">  Time!AK$28</f>
        <v>28</v>
      </c>
      <c r="AL10" s="10">
        <f xml:space="preserve">  Time!AL$28</f>
        <v>29</v>
      </c>
      <c r="AM10" s="10">
        <f xml:space="preserve">  Time!AM$28</f>
        <v>30</v>
      </c>
      <c r="AN10" s="10">
        <f xml:space="preserve">  Time!AN$28</f>
        <v>31</v>
      </c>
      <c r="AO10" s="10">
        <f xml:space="preserve">  Time!AO$28</f>
        <v>32</v>
      </c>
      <c r="AP10" s="10">
        <f xml:space="preserve">  Time!AP$28</f>
        <v>33</v>
      </c>
      <c r="AQ10" s="10">
        <f xml:space="preserve">  Time!AQ$28</f>
        <v>34</v>
      </c>
      <c r="AR10" s="10">
        <f xml:space="preserve">  Time!AR$28</f>
        <v>35</v>
      </c>
      <c r="AS10" s="10">
        <f xml:space="preserve">  Time!AS$28</f>
        <v>36</v>
      </c>
      <c r="AT10" s="10">
        <f xml:space="preserve">  Time!AT$28</f>
        <v>37</v>
      </c>
      <c r="AU10" s="10">
        <f xml:space="preserve">  Time!AU$28</f>
        <v>38</v>
      </c>
      <c r="AV10" s="10">
        <f xml:space="preserve">  Time!AV$28</f>
        <v>39</v>
      </c>
      <c r="AW10" s="10">
        <f xml:space="preserve">  Time!AW$28</f>
        <v>40</v>
      </c>
      <c r="AX10" s="10">
        <f xml:space="preserve">  Time!AX$28</f>
        <v>41</v>
      </c>
      <c r="AY10" s="10">
        <f xml:space="preserve">  Time!AY$28</f>
        <v>42</v>
      </c>
      <c r="AZ10" s="10">
        <f xml:space="preserve">  Time!AZ$28</f>
        <v>43</v>
      </c>
      <c r="BA10" s="10">
        <f xml:space="preserve">  Time!BA$28</f>
        <v>44</v>
      </c>
      <c r="BB10" s="10">
        <f xml:space="preserve">  Time!BB$28</f>
        <v>45</v>
      </c>
      <c r="BC10" s="10">
        <f xml:space="preserve">  Time!BC$28</f>
        <v>46</v>
      </c>
      <c r="BD10" s="10">
        <f xml:space="preserve">  Time!BD$28</f>
        <v>47</v>
      </c>
      <c r="BE10" s="10">
        <f xml:space="preserve">  Time!BE$28</f>
        <v>48</v>
      </c>
      <c r="BF10" s="10">
        <f xml:space="preserve">  Time!BF$28</f>
        <v>49</v>
      </c>
      <c r="BG10" s="10">
        <f xml:space="preserve">  Time!BG$28</f>
        <v>50</v>
      </c>
      <c r="BH10" s="10">
        <f xml:space="preserve">  Time!BH$28</f>
        <v>51</v>
      </c>
      <c r="BI10" s="10">
        <f xml:space="preserve">  Time!BI$28</f>
        <v>52</v>
      </c>
      <c r="BJ10" s="10">
        <f xml:space="preserve">  Time!BJ$28</f>
        <v>53</v>
      </c>
      <c r="BK10" s="10">
        <f xml:space="preserve">  Time!BK$28</f>
        <v>54</v>
      </c>
      <c r="BL10" s="10">
        <f xml:space="preserve">  Time!BL$28</f>
        <v>55</v>
      </c>
      <c r="BM10" s="10">
        <f xml:space="preserve">  Time!BM$28</f>
        <v>56</v>
      </c>
      <c r="BN10" s="10">
        <f xml:space="preserve">  Time!BN$28</f>
        <v>57</v>
      </c>
      <c r="BO10" s="10">
        <f xml:space="preserve">  Time!BO$28</f>
        <v>58</v>
      </c>
      <c r="BP10" s="10">
        <f xml:space="preserve">  Time!BP$28</f>
        <v>59</v>
      </c>
      <c r="BQ10" s="10">
        <f xml:space="preserve">  Time!BQ$28</f>
        <v>60</v>
      </c>
    </row>
    <row r="11" spans="1:69">
      <c r="E11" s="46" t="s">
        <v>341</v>
      </c>
      <c r="G11" s="46" t="s">
        <v>252</v>
      </c>
      <c r="J11" s="2">
        <f t="shared" ref="J11:BQ11" si="0" xml:space="preserve">  I15</f>
        <v>0</v>
      </c>
      <c r="K11" s="2">
        <f t="shared" ca="1" si="0"/>
        <v>0</v>
      </c>
      <c r="L11" s="2">
        <f t="shared" ca="1" si="0"/>
        <v>0</v>
      </c>
      <c r="M11" s="2">
        <f t="shared" ca="1" si="0"/>
        <v>0</v>
      </c>
      <c r="N11" s="2">
        <f t="shared" ca="1" si="0"/>
        <v>0</v>
      </c>
      <c r="O11" s="2">
        <f t="shared" ca="1" si="0"/>
        <v>0</v>
      </c>
      <c r="P11" s="2">
        <f t="shared" ca="1" si="0"/>
        <v>0</v>
      </c>
      <c r="Q11" s="2">
        <f t="shared" ca="1" si="0"/>
        <v>0</v>
      </c>
      <c r="R11" s="2">
        <f t="shared" ca="1" si="0"/>
        <v>0</v>
      </c>
      <c r="S11" s="2">
        <f t="shared" ca="1" si="0"/>
        <v>0</v>
      </c>
      <c r="T11" s="2">
        <f t="shared" ca="1" si="0"/>
        <v>0</v>
      </c>
      <c r="U11" s="2">
        <f t="shared" ca="1" si="0"/>
        <v>0</v>
      </c>
      <c r="V11" s="2">
        <f t="shared" ca="1" si="0"/>
        <v>0</v>
      </c>
      <c r="W11" s="2">
        <f t="shared" ca="1" si="0"/>
        <v>0</v>
      </c>
      <c r="X11" s="2">
        <f t="shared" ca="1" si="0"/>
        <v>0</v>
      </c>
      <c r="Y11" s="2">
        <f t="shared" ca="1" si="0"/>
        <v>0</v>
      </c>
      <c r="Z11" s="2">
        <f t="shared" ca="1" si="0"/>
        <v>0</v>
      </c>
      <c r="AA11" s="2">
        <f t="shared" ca="1" si="0"/>
        <v>0</v>
      </c>
      <c r="AB11" s="2">
        <f t="shared" ca="1" si="0"/>
        <v>0</v>
      </c>
      <c r="AC11" s="2">
        <f t="shared" ca="1" si="0"/>
        <v>0</v>
      </c>
      <c r="AD11" s="2">
        <f t="shared" ca="1" si="0"/>
        <v>0</v>
      </c>
      <c r="AE11" s="2">
        <f t="shared" ca="1" si="0"/>
        <v>0</v>
      </c>
      <c r="AF11" s="2">
        <f t="shared" ca="1" si="0"/>
        <v>0</v>
      </c>
      <c r="AG11" s="2">
        <f t="shared" ca="1" si="0"/>
        <v>0</v>
      </c>
      <c r="AH11" s="2">
        <f t="shared" ca="1" si="0"/>
        <v>0</v>
      </c>
      <c r="AI11" s="2">
        <f t="shared" ca="1" si="0"/>
        <v>0</v>
      </c>
      <c r="AJ11" s="2">
        <f t="shared" ca="1" si="0"/>
        <v>0</v>
      </c>
      <c r="AK11" s="2">
        <f t="shared" ca="1" si="0"/>
        <v>0</v>
      </c>
      <c r="AL11" s="2">
        <f t="shared" ca="1" si="0"/>
        <v>0</v>
      </c>
      <c r="AM11" s="2">
        <f t="shared" ca="1" si="0"/>
        <v>0</v>
      </c>
      <c r="AN11" s="2">
        <f t="shared" ca="1" si="0"/>
        <v>0</v>
      </c>
      <c r="AO11" s="2">
        <f t="shared" ca="1" si="0"/>
        <v>0</v>
      </c>
      <c r="AP11" s="2">
        <f t="shared" ca="1" si="0"/>
        <v>0</v>
      </c>
      <c r="AQ11" s="2">
        <f t="shared" ca="1" si="0"/>
        <v>0</v>
      </c>
      <c r="AR11" s="2">
        <f t="shared" ca="1" si="0"/>
        <v>0</v>
      </c>
      <c r="AS11" s="2">
        <f t="shared" ca="1" si="0"/>
        <v>0</v>
      </c>
      <c r="AT11" s="2">
        <f t="shared" ca="1" si="0"/>
        <v>0</v>
      </c>
      <c r="AU11" s="2">
        <f t="shared" ca="1" si="0"/>
        <v>0</v>
      </c>
      <c r="AV11" s="2">
        <f t="shared" ca="1" si="0"/>
        <v>0</v>
      </c>
      <c r="AW11" s="2">
        <f t="shared" ca="1" si="0"/>
        <v>0</v>
      </c>
      <c r="AX11" s="2">
        <f t="shared" ca="1" si="0"/>
        <v>0</v>
      </c>
      <c r="AY11" s="2">
        <f t="shared" ca="1" si="0"/>
        <v>0</v>
      </c>
      <c r="AZ11" s="2">
        <f t="shared" ca="1" si="0"/>
        <v>0</v>
      </c>
      <c r="BA11" s="2">
        <f t="shared" ca="1" si="0"/>
        <v>0</v>
      </c>
      <c r="BB11" s="2">
        <f t="shared" ca="1" si="0"/>
        <v>0</v>
      </c>
      <c r="BC11" s="2">
        <f t="shared" ca="1" si="0"/>
        <v>0</v>
      </c>
      <c r="BD11" s="2">
        <f t="shared" ca="1" si="0"/>
        <v>0</v>
      </c>
      <c r="BE11" s="2">
        <f t="shared" ca="1" si="0"/>
        <v>0</v>
      </c>
      <c r="BF11" s="2">
        <f t="shared" ca="1" si="0"/>
        <v>0</v>
      </c>
      <c r="BG11" s="2">
        <f t="shared" ca="1" si="0"/>
        <v>0</v>
      </c>
      <c r="BH11" s="2">
        <f t="shared" ca="1" si="0"/>
        <v>0</v>
      </c>
      <c r="BI11" s="2">
        <f t="shared" ca="1" si="0"/>
        <v>0</v>
      </c>
      <c r="BJ11" s="2">
        <f t="shared" ca="1" si="0"/>
        <v>0</v>
      </c>
      <c r="BK11" s="2">
        <f t="shared" ca="1" si="0"/>
        <v>0</v>
      </c>
      <c r="BL11" s="2">
        <f t="shared" ca="1" si="0"/>
        <v>0</v>
      </c>
      <c r="BM11" s="2">
        <f t="shared" ca="1" si="0"/>
        <v>0</v>
      </c>
      <c r="BN11" s="2">
        <f t="shared" ca="1" si="0"/>
        <v>0</v>
      </c>
      <c r="BO11" s="2">
        <f t="shared" ca="1" si="0"/>
        <v>0</v>
      </c>
      <c r="BP11" s="2">
        <f t="shared" ca="1" si="0"/>
        <v>0</v>
      </c>
      <c r="BQ11" s="2">
        <f t="shared" ca="1" si="0"/>
        <v>0</v>
      </c>
    </row>
    <row r="12" spans="1:69">
      <c r="D12" s="88" t="s">
        <v>216</v>
      </c>
      <c r="E12" s="2" t="str">
        <f t="shared" ref="E12:BQ12" si="1" xml:space="preserve">  E$22</f>
        <v>Supply Chain Finance drawdown</v>
      </c>
      <c r="F12" s="2">
        <f t="shared" si="1"/>
        <v>0</v>
      </c>
      <c r="G12" s="2" t="str">
        <f t="shared" si="1"/>
        <v>GBP</v>
      </c>
      <c r="H12" s="2">
        <f t="shared" ca="1" si="1"/>
        <v>0</v>
      </c>
      <c r="I12" s="2">
        <f t="shared" si="1"/>
        <v>0</v>
      </c>
      <c r="J12" s="2">
        <f t="shared" ca="1" si="1"/>
        <v>0</v>
      </c>
      <c r="K12" s="2">
        <f t="shared" ca="1" si="1"/>
        <v>0</v>
      </c>
      <c r="L12" s="2">
        <f t="shared" ca="1" si="1"/>
        <v>0</v>
      </c>
      <c r="M12" s="2">
        <f t="shared" ca="1" si="1"/>
        <v>0</v>
      </c>
      <c r="N12" s="2">
        <f t="shared" ca="1" si="1"/>
        <v>0</v>
      </c>
      <c r="O12" s="2">
        <f t="shared" ca="1" si="1"/>
        <v>0</v>
      </c>
      <c r="P12" s="2">
        <f t="shared" ca="1" si="1"/>
        <v>0</v>
      </c>
      <c r="Q12" s="2">
        <f t="shared" ca="1" si="1"/>
        <v>0</v>
      </c>
      <c r="R12" s="2">
        <f t="shared" ca="1" si="1"/>
        <v>0</v>
      </c>
      <c r="S12" s="2">
        <f t="shared" ca="1" si="1"/>
        <v>0</v>
      </c>
      <c r="T12" s="2">
        <f t="shared" ca="1" si="1"/>
        <v>0</v>
      </c>
      <c r="U12" s="2">
        <f t="shared" ca="1" si="1"/>
        <v>0</v>
      </c>
      <c r="V12" s="2">
        <f t="shared" ca="1" si="1"/>
        <v>0</v>
      </c>
      <c r="W12" s="2">
        <f t="shared" ca="1" si="1"/>
        <v>0</v>
      </c>
      <c r="X12" s="2">
        <f t="shared" ca="1" si="1"/>
        <v>0</v>
      </c>
      <c r="Y12" s="2">
        <f t="shared" ca="1" si="1"/>
        <v>0</v>
      </c>
      <c r="Z12" s="2">
        <f t="shared" ca="1" si="1"/>
        <v>0</v>
      </c>
      <c r="AA12" s="2">
        <f t="shared" ca="1" si="1"/>
        <v>0</v>
      </c>
      <c r="AB12" s="2">
        <f t="shared" ca="1" si="1"/>
        <v>0</v>
      </c>
      <c r="AC12" s="2">
        <f t="shared" ca="1" si="1"/>
        <v>0</v>
      </c>
      <c r="AD12" s="2">
        <f t="shared" ca="1" si="1"/>
        <v>0</v>
      </c>
      <c r="AE12" s="2">
        <f t="shared" ca="1" si="1"/>
        <v>0</v>
      </c>
      <c r="AF12" s="2">
        <f t="shared" ca="1" si="1"/>
        <v>0</v>
      </c>
      <c r="AG12" s="2">
        <f t="shared" ca="1" si="1"/>
        <v>0</v>
      </c>
      <c r="AH12" s="2">
        <f t="shared" ca="1" si="1"/>
        <v>0</v>
      </c>
      <c r="AI12" s="2">
        <f t="shared" ca="1" si="1"/>
        <v>0</v>
      </c>
      <c r="AJ12" s="2">
        <f t="shared" ca="1" si="1"/>
        <v>0</v>
      </c>
      <c r="AK12" s="2">
        <f t="shared" ca="1" si="1"/>
        <v>0</v>
      </c>
      <c r="AL12" s="2">
        <f t="shared" ca="1" si="1"/>
        <v>0</v>
      </c>
      <c r="AM12" s="2">
        <f t="shared" ca="1" si="1"/>
        <v>0</v>
      </c>
      <c r="AN12" s="2">
        <f t="shared" ca="1" si="1"/>
        <v>0</v>
      </c>
      <c r="AO12" s="2">
        <f t="shared" ca="1" si="1"/>
        <v>0</v>
      </c>
      <c r="AP12" s="2">
        <f t="shared" ca="1" si="1"/>
        <v>0</v>
      </c>
      <c r="AQ12" s="2">
        <f t="shared" ca="1" si="1"/>
        <v>0</v>
      </c>
      <c r="AR12" s="2">
        <f t="shared" ca="1" si="1"/>
        <v>0</v>
      </c>
      <c r="AS12" s="2">
        <f t="shared" ca="1" si="1"/>
        <v>0</v>
      </c>
      <c r="AT12" s="2">
        <f t="shared" ca="1" si="1"/>
        <v>0</v>
      </c>
      <c r="AU12" s="2">
        <f t="shared" ca="1" si="1"/>
        <v>0</v>
      </c>
      <c r="AV12" s="2">
        <f t="shared" ca="1" si="1"/>
        <v>0</v>
      </c>
      <c r="AW12" s="2">
        <f t="shared" ca="1" si="1"/>
        <v>0</v>
      </c>
      <c r="AX12" s="2">
        <f t="shared" ca="1" si="1"/>
        <v>0</v>
      </c>
      <c r="AY12" s="2">
        <f t="shared" ca="1" si="1"/>
        <v>0</v>
      </c>
      <c r="AZ12" s="2">
        <f t="shared" ca="1" si="1"/>
        <v>0</v>
      </c>
      <c r="BA12" s="2">
        <f t="shared" ca="1" si="1"/>
        <v>0</v>
      </c>
      <c r="BB12" s="2">
        <f t="shared" ca="1" si="1"/>
        <v>0</v>
      </c>
      <c r="BC12" s="2">
        <f t="shared" ca="1" si="1"/>
        <v>0</v>
      </c>
      <c r="BD12" s="2">
        <f t="shared" ca="1" si="1"/>
        <v>0</v>
      </c>
      <c r="BE12" s="2">
        <f t="shared" ca="1" si="1"/>
        <v>0</v>
      </c>
      <c r="BF12" s="2">
        <f t="shared" ca="1" si="1"/>
        <v>0</v>
      </c>
      <c r="BG12" s="2">
        <f t="shared" ca="1" si="1"/>
        <v>0</v>
      </c>
      <c r="BH12" s="2">
        <f t="shared" ca="1" si="1"/>
        <v>0</v>
      </c>
      <c r="BI12" s="2">
        <f t="shared" ca="1" si="1"/>
        <v>0</v>
      </c>
      <c r="BJ12" s="2">
        <f t="shared" ca="1" si="1"/>
        <v>0</v>
      </c>
      <c r="BK12" s="2">
        <f t="shared" ca="1" si="1"/>
        <v>0</v>
      </c>
      <c r="BL12" s="2">
        <f t="shared" ca="1" si="1"/>
        <v>0</v>
      </c>
      <c r="BM12" s="2">
        <f t="shared" ca="1" si="1"/>
        <v>0</v>
      </c>
      <c r="BN12" s="2">
        <f t="shared" ca="1" si="1"/>
        <v>0</v>
      </c>
      <c r="BO12" s="2">
        <f t="shared" ca="1" si="1"/>
        <v>0</v>
      </c>
      <c r="BP12" s="2">
        <f t="shared" ca="1" si="1"/>
        <v>0</v>
      </c>
      <c r="BQ12" s="2">
        <f t="shared" ca="1" si="1"/>
        <v>0</v>
      </c>
    </row>
    <row r="13" spans="1:69">
      <c r="D13" s="88" t="s">
        <v>216</v>
      </c>
      <c r="E13" s="2" t="str">
        <f t="shared" ref="E13:BQ13" si="2" xml:space="preserve">  E$35</f>
        <v>Supply Chain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88" t="s">
        <v>293</v>
      </c>
      <c r="E14" s="2" t="str">
        <f t="shared" ref="E14:BQ14" si="3" xml:space="preserve">  E$28</f>
        <v>Supply Chain Finance principal repayment POS</v>
      </c>
      <c r="F14" s="2">
        <f t="shared" si="3"/>
        <v>0</v>
      </c>
      <c r="G14" s="2" t="str">
        <f t="shared" si="3"/>
        <v>GBP</v>
      </c>
      <c r="H14" s="2">
        <f t="shared" ca="1" si="3"/>
        <v>0</v>
      </c>
      <c r="I14" s="2">
        <f t="shared" si="3"/>
        <v>0</v>
      </c>
      <c r="J14" s="2">
        <f t="shared" ca="1" si="3"/>
        <v>0</v>
      </c>
      <c r="K14" s="2">
        <f t="shared" ca="1" si="3"/>
        <v>0</v>
      </c>
      <c r="L14" s="2">
        <f t="shared" ca="1" si="3"/>
        <v>0</v>
      </c>
      <c r="M14" s="2">
        <f t="shared" ca="1" si="3"/>
        <v>0</v>
      </c>
      <c r="N14" s="2">
        <f t="shared" ca="1" si="3"/>
        <v>0</v>
      </c>
      <c r="O14" s="2">
        <f t="shared" ca="1" si="3"/>
        <v>0</v>
      </c>
      <c r="P14" s="2">
        <f t="shared" ca="1" si="3"/>
        <v>0</v>
      </c>
      <c r="Q14" s="2">
        <f t="shared" ca="1" si="3"/>
        <v>0</v>
      </c>
      <c r="R14" s="2">
        <f t="shared" ca="1" si="3"/>
        <v>0</v>
      </c>
      <c r="S14" s="2">
        <f t="shared" ca="1" si="3"/>
        <v>0</v>
      </c>
      <c r="T14" s="2">
        <f t="shared" ca="1" si="3"/>
        <v>0</v>
      </c>
      <c r="U14" s="2">
        <f t="shared" ca="1" si="3"/>
        <v>0</v>
      </c>
      <c r="V14" s="2">
        <f t="shared" ca="1" si="3"/>
        <v>0</v>
      </c>
      <c r="W14" s="2">
        <f t="shared" ca="1" si="3"/>
        <v>0</v>
      </c>
      <c r="X14" s="2">
        <f t="shared" ca="1" si="3"/>
        <v>0</v>
      </c>
      <c r="Y14" s="2">
        <f t="shared" ca="1" si="3"/>
        <v>0</v>
      </c>
      <c r="Z14" s="2">
        <f t="shared" ca="1" si="3"/>
        <v>0</v>
      </c>
      <c r="AA14" s="2">
        <f t="shared" ca="1" si="3"/>
        <v>0</v>
      </c>
      <c r="AB14" s="2">
        <f t="shared" ca="1" si="3"/>
        <v>0</v>
      </c>
      <c r="AC14" s="2">
        <f t="shared" ca="1" si="3"/>
        <v>0</v>
      </c>
      <c r="AD14" s="2">
        <f t="shared" ca="1" si="3"/>
        <v>0</v>
      </c>
      <c r="AE14" s="2">
        <f t="shared" ca="1" si="3"/>
        <v>0</v>
      </c>
      <c r="AF14" s="2">
        <f t="shared" ca="1" si="3"/>
        <v>0</v>
      </c>
      <c r="AG14" s="2">
        <f t="shared" ca="1" si="3"/>
        <v>0</v>
      </c>
      <c r="AH14" s="2">
        <f t="shared" ca="1" si="3"/>
        <v>0</v>
      </c>
      <c r="AI14" s="2">
        <f t="shared" ca="1" si="3"/>
        <v>0</v>
      </c>
      <c r="AJ14" s="2">
        <f t="shared" ca="1" si="3"/>
        <v>0</v>
      </c>
      <c r="AK14" s="2">
        <f t="shared" ca="1" si="3"/>
        <v>0</v>
      </c>
      <c r="AL14" s="2">
        <f t="shared" ca="1" si="3"/>
        <v>0</v>
      </c>
      <c r="AM14" s="2">
        <f t="shared" ca="1" si="3"/>
        <v>0</v>
      </c>
      <c r="AN14" s="2">
        <f t="shared" ca="1" si="3"/>
        <v>0</v>
      </c>
      <c r="AO14" s="2">
        <f t="shared" ca="1" si="3"/>
        <v>0</v>
      </c>
      <c r="AP14" s="2">
        <f t="shared" ca="1" si="3"/>
        <v>0</v>
      </c>
      <c r="AQ14" s="2">
        <f t="shared" ca="1" si="3"/>
        <v>0</v>
      </c>
      <c r="AR14" s="2">
        <f t="shared" ca="1" si="3"/>
        <v>0</v>
      </c>
      <c r="AS14" s="2">
        <f t="shared" ca="1" si="3"/>
        <v>0</v>
      </c>
      <c r="AT14" s="2">
        <f t="shared" ca="1" si="3"/>
        <v>0</v>
      </c>
      <c r="AU14" s="2">
        <f t="shared" ca="1" si="3"/>
        <v>0</v>
      </c>
      <c r="AV14" s="2">
        <f t="shared" ca="1" si="3"/>
        <v>0</v>
      </c>
      <c r="AW14" s="2">
        <f t="shared" ca="1" si="3"/>
        <v>0</v>
      </c>
      <c r="AX14" s="2">
        <f t="shared" ca="1" si="3"/>
        <v>0</v>
      </c>
      <c r="AY14" s="2">
        <f t="shared" ca="1" si="3"/>
        <v>0</v>
      </c>
      <c r="AZ14" s="2">
        <f t="shared" ca="1" si="3"/>
        <v>0</v>
      </c>
      <c r="BA14" s="2">
        <f t="shared" ca="1" si="3"/>
        <v>0</v>
      </c>
      <c r="BB14" s="2">
        <f t="shared" ca="1" si="3"/>
        <v>0</v>
      </c>
      <c r="BC14" s="2">
        <f t="shared" ca="1" si="3"/>
        <v>0</v>
      </c>
      <c r="BD14" s="2">
        <f t="shared" ca="1" si="3"/>
        <v>0</v>
      </c>
      <c r="BE14" s="2">
        <f t="shared" ca="1" si="3"/>
        <v>0</v>
      </c>
      <c r="BF14" s="2">
        <f t="shared" ca="1" si="3"/>
        <v>0</v>
      </c>
      <c r="BG14" s="2">
        <f t="shared" ca="1" si="3"/>
        <v>0</v>
      </c>
      <c r="BH14" s="2">
        <f t="shared" ca="1" si="3"/>
        <v>0</v>
      </c>
      <c r="BI14" s="2">
        <f t="shared" ca="1" si="3"/>
        <v>0</v>
      </c>
      <c r="BJ14" s="2">
        <f t="shared" ca="1" si="3"/>
        <v>0</v>
      </c>
      <c r="BK14" s="2">
        <f t="shared" ca="1" si="3"/>
        <v>0</v>
      </c>
      <c r="BL14" s="2">
        <f t="shared" ca="1" si="3"/>
        <v>0</v>
      </c>
      <c r="BM14" s="2">
        <f t="shared" ca="1" si="3"/>
        <v>0</v>
      </c>
      <c r="BN14" s="2">
        <f t="shared" ca="1" si="3"/>
        <v>0</v>
      </c>
      <c r="BO14" s="2">
        <f t="shared" ca="1" si="3"/>
        <v>0</v>
      </c>
      <c r="BP14" s="2">
        <f t="shared" ca="1" si="3"/>
        <v>0</v>
      </c>
      <c r="BQ14" s="2">
        <f t="shared" ca="1" si="3"/>
        <v>0</v>
      </c>
    </row>
    <row r="15" spans="1:69" s="83" customFormat="1">
      <c r="A15" s="62"/>
      <c r="B15" s="62"/>
      <c r="C15" s="90"/>
      <c r="D15" s="91"/>
      <c r="E15" s="35" t="s">
        <v>133</v>
      </c>
      <c r="F15" s="35"/>
      <c r="G15" s="35" t="s">
        <v>252</v>
      </c>
      <c r="H15" s="35"/>
      <c r="I15" s="11">
        <f t="shared" ref="I15:BQ15" si="4" xml:space="preserve">  IF( I10 = 0, $F9, I11 + I12 + I13 - I14 )</f>
        <v>0</v>
      </c>
      <c r="J15" s="11">
        <f t="shared" ca="1" si="4"/>
        <v>0</v>
      </c>
      <c r="K15" s="11">
        <f t="shared" ca="1" si="4"/>
        <v>0</v>
      </c>
      <c r="L15" s="11">
        <f t="shared" ca="1" si="4"/>
        <v>0</v>
      </c>
      <c r="M15" s="11">
        <f t="shared" ca="1" si="4"/>
        <v>0</v>
      </c>
      <c r="N15" s="11">
        <f t="shared" ca="1" si="4"/>
        <v>0</v>
      </c>
      <c r="O15" s="11">
        <f t="shared" ca="1" si="4"/>
        <v>0</v>
      </c>
      <c r="P15" s="11">
        <f t="shared" ca="1" si="4"/>
        <v>0</v>
      </c>
      <c r="Q15" s="11">
        <f t="shared" ca="1" si="4"/>
        <v>0</v>
      </c>
      <c r="R15" s="11">
        <f t="shared" ca="1" si="4"/>
        <v>0</v>
      </c>
      <c r="S15" s="11">
        <f t="shared" ca="1" si="4"/>
        <v>0</v>
      </c>
      <c r="T15" s="11">
        <f t="shared" ca="1" si="4"/>
        <v>0</v>
      </c>
      <c r="U15" s="11">
        <f t="shared" ca="1" si="4"/>
        <v>0</v>
      </c>
      <c r="V15" s="11">
        <f t="shared" ca="1" si="4"/>
        <v>0</v>
      </c>
      <c r="W15" s="11">
        <f t="shared" ca="1" si="4"/>
        <v>0</v>
      </c>
      <c r="X15" s="11">
        <f t="shared" ca="1" si="4"/>
        <v>0</v>
      </c>
      <c r="Y15" s="11">
        <f t="shared" ca="1" si="4"/>
        <v>0</v>
      </c>
      <c r="Z15" s="11">
        <f t="shared" ca="1" si="4"/>
        <v>0</v>
      </c>
      <c r="AA15" s="11">
        <f t="shared" ca="1" si="4"/>
        <v>0</v>
      </c>
      <c r="AB15" s="11">
        <f t="shared" ca="1" si="4"/>
        <v>0</v>
      </c>
      <c r="AC15" s="11">
        <f t="shared" ca="1" si="4"/>
        <v>0</v>
      </c>
      <c r="AD15" s="11">
        <f t="shared" ca="1" si="4"/>
        <v>0</v>
      </c>
      <c r="AE15" s="11">
        <f t="shared" ca="1" si="4"/>
        <v>0</v>
      </c>
      <c r="AF15" s="11">
        <f t="shared" ca="1" si="4"/>
        <v>0</v>
      </c>
      <c r="AG15" s="11">
        <f t="shared" ca="1" si="4"/>
        <v>0</v>
      </c>
      <c r="AH15" s="11">
        <f t="shared" ca="1" si="4"/>
        <v>0</v>
      </c>
      <c r="AI15" s="11">
        <f t="shared" ca="1" si="4"/>
        <v>0</v>
      </c>
      <c r="AJ15" s="11">
        <f t="shared" ca="1" si="4"/>
        <v>0</v>
      </c>
      <c r="AK15" s="11">
        <f t="shared" ca="1" si="4"/>
        <v>0</v>
      </c>
      <c r="AL15" s="11">
        <f t="shared" ca="1" si="4"/>
        <v>0</v>
      </c>
      <c r="AM15" s="11">
        <f t="shared" ca="1" si="4"/>
        <v>0</v>
      </c>
      <c r="AN15" s="11">
        <f t="shared" ca="1" si="4"/>
        <v>0</v>
      </c>
      <c r="AO15" s="11">
        <f t="shared" ca="1" si="4"/>
        <v>0</v>
      </c>
      <c r="AP15" s="11">
        <f t="shared" ca="1" si="4"/>
        <v>0</v>
      </c>
      <c r="AQ15" s="11">
        <f t="shared" ca="1" si="4"/>
        <v>0</v>
      </c>
      <c r="AR15" s="11">
        <f t="shared" ca="1" si="4"/>
        <v>0</v>
      </c>
      <c r="AS15" s="11">
        <f t="shared" ca="1" si="4"/>
        <v>0</v>
      </c>
      <c r="AT15" s="11">
        <f t="shared" ca="1" si="4"/>
        <v>0</v>
      </c>
      <c r="AU15" s="11">
        <f t="shared" ca="1" si="4"/>
        <v>0</v>
      </c>
      <c r="AV15" s="11">
        <f t="shared" ca="1" si="4"/>
        <v>0</v>
      </c>
      <c r="AW15" s="11">
        <f t="shared" ca="1" si="4"/>
        <v>0</v>
      </c>
      <c r="AX15" s="11">
        <f t="shared" ca="1" si="4"/>
        <v>0</v>
      </c>
      <c r="AY15" s="11">
        <f t="shared" ca="1" si="4"/>
        <v>0</v>
      </c>
      <c r="AZ15" s="11">
        <f t="shared" ca="1" si="4"/>
        <v>0</v>
      </c>
      <c r="BA15" s="11">
        <f t="shared" ca="1" si="4"/>
        <v>0</v>
      </c>
      <c r="BB15" s="11">
        <f t="shared" ca="1" si="4"/>
        <v>0</v>
      </c>
      <c r="BC15" s="11">
        <f t="shared" ca="1" si="4"/>
        <v>0</v>
      </c>
      <c r="BD15" s="11">
        <f t="shared" ca="1" si="4"/>
        <v>0</v>
      </c>
      <c r="BE15" s="11">
        <f t="shared" ca="1" si="4"/>
        <v>0</v>
      </c>
      <c r="BF15" s="11">
        <f t="shared" ca="1" si="4"/>
        <v>0</v>
      </c>
      <c r="BG15" s="11">
        <f t="shared" ca="1" si="4"/>
        <v>0</v>
      </c>
      <c r="BH15" s="11">
        <f t="shared" ca="1" si="4"/>
        <v>0</v>
      </c>
      <c r="BI15" s="11">
        <f t="shared" ca="1" si="4"/>
        <v>0</v>
      </c>
      <c r="BJ15" s="11">
        <f t="shared" ca="1" si="4"/>
        <v>0</v>
      </c>
      <c r="BK15" s="11">
        <f t="shared" ca="1" si="4"/>
        <v>0</v>
      </c>
      <c r="BL15" s="11">
        <f t="shared" ca="1" si="4"/>
        <v>0</v>
      </c>
      <c r="BM15" s="11">
        <f t="shared" ca="1" si="4"/>
        <v>0</v>
      </c>
      <c r="BN15" s="11">
        <f t="shared" ca="1" si="4"/>
        <v>0</v>
      </c>
      <c r="BO15" s="11">
        <f t="shared" ca="1" si="4"/>
        <v>0</v>
      </c>
      <c r="BP15" s="11">
        <f t="shared" ca="1" si="4"/>
        <v>0</v>
      </c>
      <c r="BQ15" s="11">
        <f t="shared" ca="1" si="4"/>
        <v>0</v>
      </c>
    </row>
    <row r="17" spans="1:69">
      <c r="B17" s="27" t="s">
        <v>15</v>
      </c>
    </row>
    <row r="18" spans="1:69" outlineLevel="1">
      <c r="A18" s="18"/>
      <c r="B18" s="18"/>
      <c r="C18" s="30"/>
      <c r="D18" s="31"/>
      <c r="E18" s="4" t="str">
        <f xml:space="preserve">  InpC!E$34</f>
        <v>Supplier price per unit</v>
      </c>
      <c r="F18" s="4">
        <f xml:space="preserve">  InpC!F$34</f>
        <v>35</v>
      </c>
      <c r="G18" s="4" t="str">
        <f xml:space="preserve">  InpC!G$34</f>
        <v>GBP</v>
      </c>
      <c r="M18" s="2"/>
    </row>
    <row r="19" spans="1:69" outlineLevel="1">
      <c r="A19" s="18"/>
      <c r="B19" s="18"/>
      <c r="C19" s="30"/>
      <c r="D19" s="31"/>
      <c r="E19" s="44" t="str">
        <f xml:space="preserve">  InpC!E$70</f>
        <v>Supply Chain Finance Advance %</v>
      </c>
      <c r="F19" s="44">
        <f xml:space="preserve">  InpC!F$70</f>
        <v>0.8</v>
      </c>
      <c r="G19" s="44" t="str">
        <f xml:space="preserve">  InpC!G$70</f>
        <v>%</v>
      </c>
      <c r="M19" s="58"/>
    </row>
    <row r="20" spans="1:69" outlineLevel="1">
      <c r="A20" s="18"/>
      <c r="B20" s="18"/>
      <c r="C20" s="30"/>
      <c r="D20" s="31"/>
      <c r="E20" s="4" t="str">
        <f xml:space="preserve">  Inventory!E$26</f>
        <v>Units ordered</v>
      </c>
      <c r="F20" s="4">
        <f xml:space="preserve">  Inventory!F$26</f>
        <v>0</v>
      </c>
      <c r="G20" s="4" t="str">
        <f xml:space="preserve">  Inventory!G$26</f>
        <v>Units</v>
      </c>
      <c r="H20" s="4">
        <f ca="1" xml:space="preserve">  Inventory!H$26</f>
        <v>165000</v>
      </c>
      <c r="I20" s="4">
        <f xml:space="preserve">  Inventory!I$26</f>
        <v>0</v>
      </c>
      <c r="J20" s="4">
        <f ca="1" xml:space="preserve">  Inventory!J$26</f>
        <v>5000</v>
      </c>
      <c r="K20" s="4">
        <f ca="1" xml:space="preserve">  Inventory!K$26</f>
        <v>0</v>
      </c>
      <c r="L20" s="4">
        <f ca="1" xml:space="preserve">  Inventory!L$26</f>
        <v>0</v>
      </c>
      <c r="M20" s="4">
        <f ca="1" xml:space="preserve">  Inventory!M$26</f>
        <v>0</v>
      </c>
      <c r="N20" s="4">
        <f ca="1" xml:space="preserve">  Inventory!N$26</f>
        <v>0</v>
      </c>
      <c r="O20" s="4">
        <f ca="1" xml:space="preserve">  Inventory!O$26</f>
        <v>0</v>
      </c>
      <c r="P20" s="4">
        <f ca="1" xml:space="preserve">  Inventory!P$26</f>
        <v>5000</v>
      </c>
      <c r="Q20" s="4">
        <f ca="1" xml:space="preserve">  Inventory!Q$26</f>
        <v>0</v>
      </c>
      <c r="R20" s="4">
        <f ca="1" xml:space="preserve">  Inventory!R$26</f>
        <v>0</v>
      </c>
      <c r="S20" s="4">
        <f ca="1" xml:space="preserve">  Inventory!S$26</f>
        <v>0</v>
      </c>
      <c r="T20" s="4">
        <f ca="1" xml:space="preserve">  Inventory!T$26</f>
        <v>0</v>
      </c>
      <c r="U20" s="4">
        <f ca="1" xml:space="preserve">  Inventory!U$26</f>
        <v>0</v>
      </c>
      <c r="V20" s="4">
        <f ca="1" xml:space="preserve">  Inventory!V$26</f>
        <v>5000</v>
      </c>
      <c r="W20" s="4">
        <f ca="1" xml:space="preserve">  Inventory!W$26</f>
        <v>0</v>
      </c>
      <c r="X20" s="4">
        <f ca="1" xml:space="preserve">  Inventory!X$26</f>
        <v>0</v>
      </c>
      <c r="Y20" s="4">
        <f ca="1" xml:space="preserve">  Inventory!Y$26</f>
        <v>0</v>
      </c>
      <c r="Z20" s="4">
        <f ca="1" xml:space="preserve">  Inventory!Z$26</f>
        <v>5000</v>
      </c>
      <c r="AA20" s="4">
        <f ca="1" xml:space="preserve">  Inventory!AA$26</f>
        <v>0</v>
      </c>
      <c r="AB20" s="4">
        <f ca="1" xml:space="preserve">  Inventory!AB$26</f>
        <v>0</v>
      </c>
      <c r="AC20" s="4">
        <f ca="1" xml:space="preserve">  Inventory!AC$26</f>
        <v>0</v>
      </c>
      <c r="AD20" s="4">
        <f ca="1" xml:space="preserve">  Inventory!AD$26</f>
        <v>5000</v>
      </c>
      <c r="AE20" s="4">
        <f ca="1" xml:space="preserve">  Inventory!AE$26</f>
        <v>0</v>
      </c>
      <c r="AF20" s="4">
        <f ca="1" xml:space="preserve">  Inventory!AF$26</f>
        <v>0</v>
      </c>
      <c r="AG20" s="4">
        <f ca="1" xml:space="preserve">  Inventory!AG$26</f>
        <v>5000</v>
      </c>
      <c r="AH20" s="4">
        <f ca="1" xml:space="preserve">  Inventory!AH$26</f>
        <v>0</v>
      </c>
      <c r="AI20" s="4">
        <f ca="1" xml:space="preserve">  Inventory!AI$26</f>
        <v>5000</v>
      </c>
      <c r="AJ20" s="4">
        <f ca="1" xml:space="preserve">  Inventory!AJ$26</f>
        <v>0</v>
      </c>
      <c r="AK20" s="4">
        <f ca="1" xml:space="preserve">  Inventory!AK$26</f>
        <v>0</v>
      </c>
      <c r="AL20" s="4">
        <f ca="1" xml:space="preserve">  Inventory!AL$26</f>
        <v>5000</v>
      </c>
      <c r="AM20" s="4">
        <f ca="1" xml:space="preserve">  Inventory!AM$26</f>
        <v>0</v>
      </c>
      <c r="AN20" s="4">
        <f ca="1" xml:space="preserve">  Inventory!AN$26</f>
        <v>0</v>
      </c>
      <c r="AO20" s="4">
        <f ca="1" xml:space="preserve">  Inventory!AO$26</f>
        <v>5000</v>
      </c>
      <c r="AP20" s="4">
        <f ca="1" xml:space="preserve">  Inventory!AP$26</f>
        <v>0</v>
      </c>
      <c r="AQ20" s="4">
        <f ca="1" xml:space="preserve">  Inventory!AQ$26</f>
        <v>5000</v>
      </c>
      <c r="AR20" s="4">
        <f ca="1" xml:space="preserve">  Inventory!AR$26</f>
        <v>0</v>
      </c>
      <c r="AS20" s="4">
        <f ca="1" xml:space="preserve">  Inventory!AS$26</f>
        <v>5000</v>
      </c>
      <c r="AT20" s="4">
        <f ca="1" xml:space="preserve">  Inventory!AT$26</f>
        <v>5000</v>
      </c>
      <c r="AU20" s="4">
        <f ca="1" xml:space="preserve">  Inventory!AU$26</f>
        <v>0</v>
      </c>
      <c r="AV20" s="4">
        <f ca="1" xml:space="preserve">  Inventory!AV$26</f>
        <v>5000</v>
      </c>
      <c r="AW20" s="4">
        <f ca="1" xml:space="preserve">  Inventory!AW$26</f>
        <v>5000</v>
      </c>
      <c r="AX20" s="4">
        <f ca="1" xml:space="preserve">  Inventory!AX$26</f>
        <v>0</v>
      </c>
      <c r="AY20" s="4">
        <f ca="1" xml:space="preserve">  Inventory!AY$26</f>
        <v>5000</v>
      </c>
      <c r="AZ20" s="4">
        <f ca="1" xml:space="preserve">  Inventory!AZ$26</f>
        <v>5000</v>
      </c>
      <c r="BA20" s="4">
        <f ca="1" xml:space="preserve">  Inventory!BA$26</f>
        <v>5000</v>
      </c>
      <c r="BB20" s="4">
        <f ca="1" xml:space="preserve">  Inventory!BB$26</f>
        <v>5000</v>
      </c>
      <c r="BC20" s="4">
        <f ca="1" xml:space="preserve">  Inventory!BC$26</f>
        <v>5000</v>
      </c>
      <c r="BD20" s="4">
        <f ca="1" xml:space="preserve">  Inventory!BD$26</f>
        <v>5000</v>
      </c>
      <c r="BE20" s="4">
        <f ca="1" xml:space="preserve">  Inventory!BE$26</f>
        <v>5000</v>
      </c>
      <c r="BF20" s="4">
        <f ca="1" xml:space="preserve">  Inventory!BF$26</f>
        <v>5000</v>
      </c>
      <c r="BG20" s="4">
        <f ca="1" xml:space="preserve">  Inventory!BG$26</f>
        <v>5000</v>
      </c>
      <c r="BH20" s="4">
        <f ca="1" xml:space="preserve">  Inventory!BH$26</f>
        <v>5000</v>
      </c>
      <c r="BI20" s="4">
        <f ca="1" xml:space="preserve">  Inventory!BI$26</f>
        <v>5000</v>
      </c>
      <c r="BJ20" s="4">
        <f ca="1" xml:space="preserve">  Inventory!BJ$26</f>
        <v>5000</v>
      </c>
      <c r="BK20" s="4">
        <f ca="1" xml:space="preserve">  Inventory!BK$26</f>
        <v>5000</v>
      </c>
      <c r="BL20" s="4">
        <f ca="1" xml:space="preserve">  Inventory!BL$26</f>
        <v>5000</v>
      </c>
      <c r="BM20" s="4">
        <f ca="1" xml:space="preserve">  Inventory!BM$26</f>
        <v>5000</v>
      </c>
      <c r="BN20" s="4">
        <f ca="1" xml:space="preserve">  Inventory!BN$26</f>
        <v>5000</v>
      </c>
      <c r="BO20" s="4">
        <f ca="1" xml:space="preserve">  Inventory!BO$26</f>
        <v>5000</v>
      </c>
      <c r="BP20" s="4">
        <f ca="1" xml:space="preserve">  Inventory!BP$26</f>
        <v>5000</v>
      </c>
      <c r="BQ20" s="4">
        <f ca="1" xml:space="preserve">  Inventory!BQ$26</f>
        <v>5000</v>
      </c>
    </row>
    <row r="21" spans="1:69" outlineLevel="1">
      <c r="A21" s="18"/>
      <c r="B21" s="18"/>
      <c r="C21" s="30"/>
      <c r="D21" s="31"/>
      <c r="E21" s="4" t="str">
        <f xml:space="preserve">  Time!E$229</f>
        <v>Supply Chain Finance enabled flag</v>
      </c>
      <c r="F21" s="4">
        <f xml:space="preserve">  Time!F$229</f>
        <v>0</v>
      </c>
      <c r="G21" s="4" t="str">
        <f xml:space="preserve">  Time!G$229</f>
        <v>flag</v>
      </c>
      <c r="H21" s="4">
        <f xml:space="preserve">  Time!H$229</f>
        <v>0</v>
      </c>
      <c r="I21" s="4">
        <f xml:space="preserve">  Time!I$229</f>
        <v>0</v>
      </c>
      <c r="J21" s="4">
        <f xml:space="preserve">  Time!J$229</f>
        <v>0</v>
      </c>
      <c r="K21" s="4">
        <f xml:space="preserve">  Time!K$229</f>
        <v>0</v>
      </c>
      <c r="L21" s="4">
        <f xml:space="preserve">  Time!L$229</f>
        <v>0</v>
      </c>
      <c r="M21" s="4">
        <f xml:space="preserve">  Time!M$229</f>
        <v>0</v>
      </c>
      <c r="N21" s="4">
        <f xml:space="preserve">  Time!N$229</f>
        <v>0</v>
      </c>
      <c r="O21" s="4">
        <f xml:space="preserve">  Time!O$229</f>
        <v>0</v>
      </c>
      <c r="P21" s="4">
        <f xml:space="preserve">  Time!P$229</f>
        <v>0</v>
      </c>
      <c r="Q21" s="4">
        <f xml:space="preserve">  Time!Q$229</f>
        <v>0</v>
      </c>
      <c r="R21" s="4">
        <f xml:space="preserve">  Time!R$229</f>
        <v>0</v>
      </c>
      <c r="S21" s="4">
        <f xml:space="preserve">  Time!S$229</f>
        <v>0</v>
      </c>
      <c r="T21" s="4">
        <f xml:space="preserve">  Time!T$229</f>
        <v>0</v>
      </c>
      <c r="U21" s="4">
        <f xml:space="preserve">  Time!U$229</f>
        <v>0</v>
      </c>
      <c r="V21" s="4">
        <f xml:space="preserve">  Time!V$229</f>
        <v>0</v>
      </c>
      <c r="W21" s="4">
        <f xml:space="preserve">  Time!W$229</f>
        <v>0</v>
      </c>
      <c r="X21" s="4">
        <f xml:space="preserve">  Time!X$229</f>
        <v>0</v>
      </c>
      <c r="Y21" s="4">
        <f xml:space="preserve">  Time!Y$229</f>
        <v>0</v>
      </c>
      <c r="Z21" s="4">
        <f xml:space="preserve">  Time!Z$229</f>
        <v>0</v>
      </c>
      <c r="AA21" s="4">
        <f xml:space="preserve">  Time!AA$229</f>
        <v>0</v>
      </c>
      <c r="AB21" s="4">
        <f xml:space="preserve">  Time!AB$229</f>
        <v>0</v>
      </c>
      <c r="AC21" s="4">
        <f xml:space="preserve">  Time!AC$229</f>
        <v>0</v>
      </c>
      <c r="AD21" s="4">
        <f xml:space="preserve">  Time!AD$229</f>
        <v>0</v>
      </c>
      <c r="AE21" s="4">
        <f xml:space="preserve">  Time!AE$229</f>
        <v>0</v>
      </c>
      <c r="AF21" s="4">
        <f xml:space="preserve">  Time!AF$229</f>
        <v>0</v>
      </c>
      <c r="AG21" s="4">
        <f xml:space="preserve">  Time!AG$229</f>
        <v>0</v>
      </c>
      <c r="AH21" s="4">
        <f xml:space="preserve">  Time!AH$229</f>
        <v>0</v>
      </c>
      <c r="AI21" s="4">
        <f xml:space="preserve">  Time!AI$229</f>
        <v>0</v>
      </c>
      <c r="AJ21" s="4">
        <f xml:space="preserve">  Time!AJ$229</f>
        <v>0</v>
      </c>
      <c r="AK21" s="4">
        <f xml:space="preserve">  Time!AK$229</f>
        <v>0</v>
      </c>
      <c r="AL21" s="4">
        <f xml:space="preserve">  Time!AL$229</f>
        <v>0</v>
      </c>
      <c r="AM21" s="4">
        <f xml:space="preserve">  Time!AM$229</f>
        <v>0</v>
      </c>
      <c r="AN21" s="4">
        <f xml:space="preserve">  Time!AN$229</f>
        <v>0</v>
      </c>
      <c r="AO21" s="4">
        <f xml:space="preserve">  Time!AO$229</f>
        <v>0</v>
      </c>
      <c r="AP21" s="4">
        <f xml:space="preserve">  Time!AP$229</f>
        <v>0</v>
      </c>
      <c r="AQ21" s="4">
        <f xml:space="preserve">  Time!AQ$229</f>
        <v>0</v>
      </c>
      <c r="AR21" s="4">
        <f xml:space="preserve">  Time!AR$229</f>
        <v>0</v>
      </c>
      <c r="AS21" s="4">
        <f xml:space="preserve">  Time!AS$229</f>
        <v>0</v>
      </c>
      <c r="AT21" s="4">
        <f xml:space="preserve">  Time!AT$229</f>
        <v>0</v>
      </c>
      <c r="AU21" s="4">
        <f xml:space="preserve">  Time!AU$229</f>
        <v>0</v>
      </c>
      <c r="AV21" s="4">
        <f xml:space="preserve">  Time!AV$229</f>
        <v>0</v>
      </c>
      <c r="AW21" s="4">
        <f xml:space="preserve">  Time!AW$229</f>
        <v>0</v>
      </c>
      <c r="AX21" s="4">
        <f xml:space="preserve">  Time!AX$229</f>
        <v>0</v>
      </c>
      <c r="AY21" s="4">
        <f xml:space="preserve">  Time!AY$229</f>
        <v>0</v>
      </c>
      <c r="AZ21" s="4">
        <f xml:space="preserve">  Time!AZ$229</f>
        <v>0</v>
      </c>
      <c r="BA21" s="4">
        <f xml:space="preserve">  Time!BA$229</f>
        <v>0</v>
      </c>
      <c r="BB21" s="4">
        <f xml:space="preserve">  Time!BB$229</f>
        <v>0</v>
      </c>
      <c r="BC21" s="4">
        <f xml:space="preserve">  Time!BC$229</f>
        <v>0</v>
      </c>
      <c r="BD21" s="4">
        <f xml:space="preserve">  Time!BD$229</f>
        <v>0</v>
      </c>
      <c r="BE21" s="4">
        <f xml:space="preserve">  Time!BE$229</f>
        <v>0</v>
      </c>
      <c r="BF21" s="4">
        <f xml:space="preserve">  Time!BF$229</f>
        <v>0</v>
      </c>
      <c r="BG21" s="4">
        <f xml:space="preserve">  Time!BG$229</f>
        <v>0</v>
      </c>
      <c r="BH21" s="4">
        <f xml:space="preserve">  Time!BH$229</f>
        <v>0</v>
      </c>
      <c r="BI21" s="4">
        <f xml:space="preserve">  Time!BI$229</f>
        <v>0</v>
      </c>
      <c r="BJ21" s="4">
        <f xml:space="preserve">  Time!BJ$229</f>
        <v>0</v>
      </c>
      <c r="BK21" s="4">
        <f xml:space="preserve">  Time!BK$229</f>
        <v>0</v>
      </c>
      <c r="BL21" s="4">
        <f xml:space="preserve">  Time!BL$229</f>
        <v>0</v>
      </c>
      <c r="BM21" s="4">
        <f xml:space="preserve">  Time!BM$229</f>
        <v>0</v>
      </c>
      <c r="BN21" s="4">
        <f xml:space="preserve">  Time!BN$229</f>
        <v>0</v>
      </c>
      <c r="BO21" s="4">
        <f xml:space="preserve">  Time!BO$229</f>
        <v>0</v>
      </c>
      <c r="BP21" s="4">
        <f xml:space="preserve">  Time!BP$229</f>
        <v>0</v>
      </c>
      <c r="BQ21" s="4">
        <f xml:space="preserve">  Time!BQ$229</f>
        <v>0</v>
      </c>
    </row>
    <row r="22" spans="1:69" outlineLevel="1">
      <c r="A22" s="36"/>
      <c r="B22" s="36"/>
      <c r="C22" s="65"/>
      <c r="D22" s="64"/>
      <c r="E22" s="21" t="s">
        <v>15</v>
      </c>
      <c r="F22" s="21"/>
      <c r="G22" s="21" t="s">
        <v>252</v>
      </c>
      <c r="H22" s="3">
        <f ca="1" xml:space="preserve"> SUM( J22:BQ22 )</f>
        <v>0</v>
      </c>
      <c r="I22" s="21"/>
      <c r="J22" s="3">
        <f t="shared" ref="J22:BQ22" ca="1" si="5" xml:space="preserve">  J21 * ( J20 * $F18 * $F19 )</f>
        <v>0</v>
      </c>
      <c r="K22" s="3">
        <f t="shared" ca="1" si="5"/>
        <v>0</v>
      </c>
      <c r="L22" s="3">
        <f t="shared" ca="1" si="5"/>
        <v>0</v>
      </c>
      <c r="M22" s="3">
        <f t="shared" ca="1" si="5"/>
        <v>0</v>
      </c>
      <c r="N22" s="3">
        <f t="shared" ca="1" si="5"/>
        <v>0</v>
      </c>
      <c r="O22" s="3">
        <f t="shared" ca="1" si="5"/>
        <v>0</v>
      </c>
      <c r="P22" s="3">
        <f t="shared" ca="1" si="5"/>
        <v>0</v>
      </c>
      <c r="Q22" s="3">
        <f t="shared" ca="1" si="5"/>
        <v>0</v>
      </c>
      <c r="R22" s="3">
        <f t="shared" ca="1" si="5"/>
        <v>0</v>
      </c>
      <c r="S22" s="3">
        <f t="shared" ca="1" si="5"/>
        <v>0</v>
      </c>
      <c r="T22" s="3">
        <f t="shared" ca="1" si="5"/>
        <v>0</v>
      </c>
      <c r="U22" s="3">
        <f t="shared" ca="1" si="5"/>
        <v>0</v>
      </c>
      <c r="V22" s="3">
        <f t="shared" ca="1" si="5"/>
        <v>0</v>
      </c>
      <c r="W22" s="3">
        <f t="shared" ca="1" si="5"/>
        <v>0</v>
      </c>
      <c r="X22" s="3">
        <f t="shared" ca="1" si="5"/>
        <v>0</v>
      </c>
      <c r="Y22" s="3">
        <f t="shared" ca="1" si="5"/>
        <v>0</v>
      </c>
      <c r="Z22" s="3">
        <f t="shared" ca="1" si="5"/>
        <v>0</v>
      </c>
      <c r="AA22" s="3">
        <f t="shared" ca="1" si="5"/>
        <v>0</v>
      </c>
      <c r="AB22" s="3">
        <f t="shared" ca="1" si="5"/>
        <v>0</v>
      </c>
      <c r="AC22" s="3">
        <f t="shared" ca="1" si="5"/>
        <v>0</v>
      </c>
      <c r="AD22" s="3">
        <f t="shared" ca="1" si="5"/>
        <v>0</v>
      </c>
      <c r="AE22" s="3">
        <f t="shared" ca="1" si="5"/>
        <v>0</v>
      </c>
      <c r="AF22" s="3">
        <f t="shared" ca="1" si="5"/>
        <v>0</v>
      </c>
      <c r="AG22" s="3">
        <f t="shared" ca="1" si="5"/>
        <v>0</v>
      </c>
      <c r="AH22" s="3">
        <f t="shared" ca="1" si="5"/>
        <v>0</v>
      </c>
      <c r="AI22" s="3">
        <f t="shared" ca="1" si="5"/>
        <v>0</v>
      </c>
      <c r="AJ22" s="3">
        <f t="shared" ca="1" si="5"/>
        <v>0</v>
      </c>
      <c r="AK22" s="3">
        <f t="shared" ca="1" si="5"/>
        <v>0</v>
      </c>
      <c r="AL22" s="3">
        <f t="shared" ca="1" si="5"/>
        <v>0</v>
      </c>
      <c r="AM22" s="3">
        <f t="shared" ca="1" si="5"/>
        <v>0</v>
      </c>
      <c r="AN22" s="3">
        <f t="shared" ca="1" si="5"/>
        <v>0</v>
      </c>
      <c r="AO22" s="3">
        <f t="shared" ca="1" si="5"/>
        <v>0</v>
      </c>
      <c r="AP22" s="3">
        <f t="shared" ca="1" si="5"/>
        <v>0</v>
      </c>
      <c r="AQ22" s="3">
        <f t="shared" ca="1" si="5"/>
        <v>0</v>
      </c>
      <c r="AR22" s="3">
        <f t="shared" ca="1" si="5"/>
        <v>0</v>
      </c>
      <c r="AS22" s="3">
        <f t="shared" ca="1" si="5"/>
        <v>0</v>
      </c>
      <c r="AT22" s="3">
        <f t="shared" ca="1" si="5"/>
        <v>0</v>
      </c>
      <c r="AU22" s="3">
        <f t="shared" ca="1" si="5"/>
        <v>0</v>
      </c>
      <c r="AV22" s="3">
        <f t="shared" ca="1" si="5"/>
        <v>0</v>
      </c>
      <c r="AW22" s="3">
        <f t="shared" ca="1" si="5"/>
        <v>0</v>
      </c>
      <c r="AX22" s="3">
        <f t="shared" ca="1" si="5"/>
        <v>0</v>
      </c>
      <c r="AY22" s="3">
        <f t="shared" ca="1" si="5"/>
        <v>0</v>
      </c>
      <c r="AZ22" s="3">
        <f t="shared" ca="1" si="5"/>
        <v>0</v>
      </c>
      <c r="BA22" s="3">
        <f t="shared" ca="1" si="5"/>
        <v>0</v>
      </c>
      <c r="BB22" s="3">
        <f t="shared" ca="1" si="5"/>
        <v>0</v>
      </c>
      <c r="BC22" s="3">
        <f t="shared" ca="1" si="5"/>
        <v>0</v>
      </c>
      <c r="BD22" s="3">
        <f t="shared" ca="1" si="5"/>
        <v>0</v>
      </c>
      <c r="BE22" s="3">
        <f t="shared" ca="1" si="5"/>
        <v>0</v>
      </c>
      <c r="BF22" s="3">
        <f t="shared" ca="1" si="5"/>
        <v>0</v>
      </c>
      <c r="BG22" s="3">
        <f t="shared" ca="1" si="5"/>
        <v>0</v>
      </c>
      <c r="BH22" s="3">
        <f t="shared" ca="1" si="5"/>
        <v>0</v>
      </c>
      <c r="BI22" s="3">
        <f t="shared" ca="1" si="5"/>
        <v>0</v>
      </c>
      <c r="BJ22" s="3">
        <f t="shared" ca="1" si="5"/>
        <v>0</v>
      </c>
      <c r="BK22" s="3">
        <f t="shared" ca="1" si="5"/>
        <v>0</v>
      </c>
      <c r="BL22" s="3">
        <f t="shared" ca="1" si="5"/>
        <v>0</v>
      </c>
      <c r="BM22" s="3">
        <f t="shared" ca="1" si="5"/>
        <v>0</v>
      </c>
      <c r="BN22" s="3">
        <f t="shared" ca="1" si="5"/>
        <v>0</v>
      </c>
      <c r="BO22" s="3">
        <f t="shared" ca="1" si="5"/>
        <v>0</v>
      </c>
      <c r="BP22" s="3">
        <f t="shared" ca="1" si="5"/>
        <v>0</v>
      </c>
      <c r="BQ22" s="3">
        <f t="shared" ca="1" si="5"/>
        <v>0</v>
      </c>
    </row>
    <row r="25" spans="1:69">
      <c r="B25" s="27" t="s">
        <v>111</v>
      </c>
    </row>
    <row r="26" spans="1:69" outlineLevel="1">
      <c r="A26" s="18"/>
      <c r="B26" s="18"/>
      <c r="C26" s="30"/>
      <c r="D26" s="31"/>
      <c r="E26" s="4" t="str">
        <f xml:space="preserve">  InpC!E$33</f>
        <v>Order lead time (months)</v>
      </c>
      <c r="F26" s="4">
        <f xml:space="preserve">  InpC!F$33</f>
        <v>6</v>
      </c>
      <c r="G26" s="4" t="str">
        <f xml:space="preserve">  InpC!G$33</f>
        <v>Months</v>
      </c>
      <c r="M26" s="2"/>
    </row>
    <row r="27" spans="1:69" outlineLevel="1">
      <c r="E27" s="2" t="str">
        <f t="shared" ref="E27:BQ27" si="6" xml:space="preserve">  E$22</f>
        <v>Supply Chain Finance drawdown</v>
      </c>
      <c r="F27" s="2">
        <f t="shared" si="6"/>
        <v>0</v>
      </c>
      <c r="G27" s="2" t="str">
        <f t="shared" si="6"/>
        <v>GBP</v>
      </c>
      <c r="H27" s="2">
        <f t="shared" ca="1" si="6"/>
        <v>0</v>
      </c>
      <c r="I27" s="2">
        <f t="shared" si="6"/>
        <v>0</v>
      </c>
      <c r="J27" s="2">
        <f t="shared" ca="1" si="6"/>
        <v>0</v>
      </c>
      <c r="K27" s="2">
        <f t="shared" ca="1" si="6"/>
        <v>0</v>
      </c>
      <c r="L27" s="2">
        <f t="shared" ca="1" si="6"/>
        <v>0</v>
      </c>
      <c r="M27" s="2">
        <f t="shared" ca="1" si="6"/>
        <v>0</v>
      </c>
      <c r="N27" s="2">
        <f t="shared" ca="1" si="6"/>
        <v>0</v>
      </c>
      <c r="O27" s="2">
        <f t="shared" ca="1" si="6"/>
        <v>0</v>
      </c>
      <c r="P27" s="2">
        <f t="shared" ca="1" si="6"/>
        <v>0</v>
      </c>
      <c r="Q27" s="2">
        <f t="shared" ca="1" si="6"/>
        <v>0</v>
      </c>
      <c r="R27" s="2">
        <f t="shared" ca="1" si="6"/>
        <v>0</v>
      </c>
      <c r="S27" s="2">
        <f t="shared" ca="1" si="6"/>
        <v>0</v>
      </c>
      <c r="T27" s="2">
        <f t="shared" ca="1" si="6"/>
        <v>0</v>
      </c>
      <c r="U27" s="2">
        <f t="shared" ca="1" si="6"/>
        <v>0</v>
      </c>
      <c r="V27" s="2">
        <f t="shared" ca="1" si="6"/>
        <v>0</v>
      </c>
      <c r="W27" s="2">
        <f t="shared" ca="1" si="6"/>
        <v>0</v>
      </c>
      <c r="X27" s="2">
        <f t="shared" ca="1" si="6"/>
        <v>0</v>
      </c>
      <c r="Y27" s="2">
        <f t="shared" ca="1" si="6"/>
        <v>0</v>
      </c>
      <c r="Z27" s="2">
        <f t="shared" ca="1" si="6"/>
        <v>0</v>
      </c>
      <c r="AA27" s="2">
        <f t="shared" ca="1" si="6"/>
        <v>0</v>
      </c>
      <c r="AB27" s="2">
        <f t="shared" ca="1" si="6"/>
        <v>0</v>
      </c>
      <c r="AC27" s="2">
        <f t="shared" ca="1" si="6"/>
        <v>0</v>
      </c>
      <c r="AD27" s="2">
        <f t="shared" ca="1" si="6"/>
        <v>0</v>
      </c>
      <c r="AE27" s="2">
        <f t="shared" ca="1" si="6"/>
        <v>0</v>
      </c>
      <c r="AF27" s="2">
        <f t="shared" ca="1" si="6"/>
        <v>0</v>
      </c>
      <c r="AG27" s="2">
        <f t="shared" ca="1" si="6"/>
        <v>0</v>
      </c>
      <c r="AH27" s="2">
        <f t="shared" ca="1" si="6"/>
        <v>0</v>
      </c>
      <c r="AI27" s="2">
        <f t="shared" ca="1" si="6"/>
        <v>0</v>
      </c>
      <c r="AJ27" s="2">
        <f t="shared" ca="1" si="6"/>
        <v>0</v>
      </c>
      <c r="AK27" s="2">
        <f t="shared" ca="1" si="6"/>
        <v>0</v>
      </c>
      <c r="AL27" s="2">
        <f t="shared" ca="1" si="6"/>
        <v>0</v>
      </c>
      <c r="AM27" s="2">
        <f t="shared" ca="1" si="6"/>
        <v>0</v>
      </c>
      <c r="AN27" s="2">
        <f t="shared" ca="1" si="6"/>
        <v>0</v>
      </c>
      <c r="AO27" s="2">
        <f t="shared" ca="1" si="6"/>
        <v>0</v>
      </c>
      <c r="AP27" s="2">
        <f t="shared" ca="1" si="6"/>
        <v>0</v>
      </c>
      <c r="AQ27" s="2">
        <f t="shared" ca="1" si="6"/>
        <v>0</v>
      </c>
      <c r="AR27" s="2">
        <f t="shared" ca="1" si="6"/>
        <v>0</v>
      </c>
      <c r="AS27" s="2">
        <f t="shared" ca="1" si="6"/>
        <v>0</v>
      </c>
      <c r="AT27" s="2">
        <f t="shared" ca="1" si="6"/>
        <v>0</v>
      </c>
      <c r="AU27" s="2">
        <f t="shared" ca="1" si="6"/>
        <v>0</v>
      </c>
      <c r="AV27" s="2">
        <f t="shared" ca="1" si="6"/>
        <v>0</v>
      </c>
      <c r="AW27" s="2">
        <f t="shared" ca="1" si="6"/>
        <v>0</v>
      </c>
      <c r="AX27" s="2">
        <f t="shared" ca="1" si="6"/>
        <v>0</v>
      </c>
      <c r="AY27" s="2">
        <f t="shared" ca="1" si="6"/>
        <v>0</v>
      </c>
      <c r="AZ27" s="2">
        <f t="shared" ca="1" si="6"/>
        <v>0</v>
      </c>
      <c r="BA27" s="2">
        <f t="shared" ca="1" si="6"/>
        <v>0</v>
      </c>
      <c r="BB27" s="2">
        <f t="shared" ca="1" si="6"/>
        <v>0</v>
      </c>
      <c r="BC27" s="2">
        <f t="shared" ca="1" si="6"/>
        <v>0</v>
      </c>
      <c r="BD27" s="2">
        <f t="shared" ca="1" si="6"/>
        <v>0</v>
      </c>
      <c r="BE27" s="2">
        <f t="shared" ca="1" si="6"/>
        <v>0</v>
      </c>
      <c r="BF27" s="2">
        <f t="shared" ca="1" si="6"/>
        <v>0</v>
      </c>
      <c r="BG27" s="2">
        <f t="shared" ca="1" si="6"/>
        <v>0</v>
      </c>
      <c r="BH27" s="2">
        <f t="shared" ca="1" si="6"/>
        <v>0</v>
      </c>
      <c r="BI27" s="2">
        <f t="shared" ca="1" si="6"/>
        <v>0</v>
      </c>
      <c r="BJ27" s="2">
        <f t="shared" ca="1" si="6"/>
        <v>0</v>
      </c>
      <c r="BK27" s="2">
        <f t="shared" ca="1" si="6"/>
        <v>0</v>
      </c>
      <c r="BL27" s="2">
        <f t="shared" ca="1" si="6"/>
        <v>0</v>
      </c>
      <c r="BM27" s="2">
        <f t="shared" ca="1" si="6"/>
        <v>0</v>
      </c>
      <c r="BN27" s="2">
        <f t="shared" ca="1" si="6"/>
        <v>0</v>
      </c>
      <c r="BO27" s="2">
        <f t="shared" ca="1" si="6"/>
        <v>0</v>
      </c>
      <c r="BP27" s="2">
        <f t="shared" ca="1" si="6"/>
        <v>0</v>
      </c>
      <c r="BQ27" s="2">
        <f t="shared" ca="1" si="6"/>
        <v>0</v>
      </c>
    </row>
    <row r="28" spans="1:69" outlineLevel="1">
      <c r="E28" s="46" t="s">
        <v>180</v>
      </c>
      <c r="G28" s="46" t="s">
        <v>252</v>
      </c>
      <c r="H28" s="2">
        <f t="shared" ref="H28:H29" ca="1" si="7" xml:space="preserve"> SUM( J28:BQ28 )</f>
        <v>0</v>
      </c>
      <c r="J28" s="2">
        <f ca="1" xml:space="preserve">  IF( Time!J28 &lt; 1 + $F26, 0, OFFSET( J27, 0, - 1 * ( $F26 ) ) )</f>
        <v>0</v>
      </c>
      <c r="K28" s="2">
        <f ca="1" xml:space="preserve">  IF( Time!K28 &lt; 1 + $F26, 0, OFFSET( K27, 0, - 1 * ( $F26 ) ) )</f>
        <v>0</v>
      </c>
      <c r="L28" s="2">
        <f ca="1" xml:space="preserve">  IF( Time!L28 &lt; 1 + $F26, 0, OFFSET( L27, 0, - 1 * ( $F26 ) ) )</f>
        <v>0</v>
      </c>
      <c r="M28" s="2">
        <f ca="1" xml:space="preserve">  IF( Time!M28 &lt; 1 + $F26, 0, OFFSET( M27, 0, - 1 * ( $F26 ) ) )</f>
        <v>0</v>
      </c>
      <c r="N28" s="2">
        <f ca="1" xml:space="preserve">  IF( Time!N28 &lt; 1 + $F26, 0, OFFSET( N27, 0, - 1 * ( $F26 ) ) )</f>
        <v>0</v>
      </c>
      <c r="O28" s="2">
        <f ca="1" xml:space="preserve">  IF( Time!O28 &lt; 1 + $F26, 0, OFFSET( O27, 0, - 1 * ( $F26 ) ) )</f>
        <v>0</v>
      </c>
      <c r="P28" s="2">
        <f ca="1" xml:space="preserve">  IF( Time!P28 &lt; 1 + $F26, 0, OFFSET( P27, 0, - 1 * ( $F26 ) ) )</f>
        <v>0</v>
      </c>
      <c r="Q28" s="2">
        <f ca="1" xml:space="preserve">  IF( Time!Q28 &lt; 1 + $F26, 0, OFFSET( Q27, 0, - 1 * ( $F26 ) ) )</f>
        <v>0</v>
      </c>
      <c r="R28" s="2">
        <f ca="1" xml:space="preserve">  IF( Time!R28 &lt; 1 + $F26, 0, OFFSET( R27, 0, - 1 * ( $F26 ) ) )</f>
        <v>0</v>
      </c>
      <c r="S28" s="2">
        <f ca="1" xml:space="preserve">  IF( Time!S28 &lt; 1 + $F26, 0, OFFSET( S27, 0, - 1 * ( $F26 ) ) )</f>
        <v>0</v>
      </c>
      <c r="T28" s="2">
        <f ca="1" xml:space="preserve">  IF( Time!T28 &lt; 1 + $F26, 0, OFFSET( T27, 0, - 1 * ( $F26 ) ) )</f>
        <v>0</v>
      </c>
      <c r="U28" s="2">
        <f ca="1" xml:space="preserve">  IF( Time!U28 &lt; 1 + $F26, 0, OFFSET( U27, 0, - 1 * ( $F26 ) ) )</f>
        <v>0</v>
      </c>
      <c r="V28" s="2">
        <f ca="1" xml:space="preserve">  IF( Time!V28 &lt; 1 + $F26, 0, OFFSET( V27, 0, - 1 * ( $F26 ) ) )</f>
        <v>0</v>
      </c>
      <c r="W28" s="2">
        <f ca="1" xml:space="preserve">  IF( Time!W28 &lt; 1 + $F26, 0, OFFSET( W27, 0, - 1 * ( $F26 ) ) )</f>
        <v>0</v>
      </c>
      <c r="X28" s="2">
        <f ca="1" xml:space="preserve">  IF( Time!X28 &lt; 1 + $F26, 0, OFFSET( X27, 0, - 1 * ( $F26 ) ) )</f>
        <v>0</v>
      </c>
      <c r="Y28" s="2">
        <f ca="1" xml:space="preserve">  IF( Time!Y28 &lt; 1 + $F26, 0, OFFSET( Y27, 0, - 1 * ( $F26 ) ) )</f>
        <v>0</v>
      </c>
      <c r="Z28" s="2">
        <f ca="1" xml:space="preserve">  IF( Time!Z28 &lt; 1 + $F26, 0, OFFSET( Z27, 0, - 1 * ( $F26 ) ) )</f>
        <v>0</v>
      </c>
      <c r="AA28" s="2">
        <f ca="1" xml:space="preserve">  IF( Time!AA28 &lt; 1 + $F26, 0, OFFSET( AA27, 0, - 1 * ( $F26 ) ) )</f>
        <v>0</v>
      </c>
      <c r="AB28" s="2">
        <f ca="1" xml:space="preserve">  IF( Time!AB28 &lt; 1 + $F26, 0, OFFSET( AB27, 0, - 1 * ( $F26 ) ) )</f>
        <v>0</v>
      </c>
      <c r="AC28" s="2">
        <f ca="1" xml:space="preserve">  IF( Time!AC28 &lt; 1 + $F26, 0, OFFSET( AC27, 0, - 1 * ( $F26 ) ) )</f>
        <v>0</v>
      </c>
      <c r="AD28" s="2">
        <f ca="1" xml:space="preserve">  IF( Time!AD28 &lt; 1 + $F26, 0, OFFSET( AD27, 0, - 1 * ( $F26 ) ) )</f>
        <v>0</v>
      </c>
      <c r="AE28" s="2">
        <f ca="1" xml:space="preserve">  IF( Time!AE28 &lt; 1 + $F26, 0, OFFSET( AE27, 0, - 1 * ( $F26 ) ) )</f>
        <v>0</v>
      </c>
      <c r="AF28" s="2">
        <f ca="1" xml:space="preserve">  IF( Time!AF28 &lt; 1 + $F26, 0, OFFSET( AF27, 0, - 1 * ( $F26 ) ) )</f>
        <v>0</v>
      </c>
      <c r="AG28" s="2">
        <f ca="1" xml:space="preserve">  IF( Time!AG28 &lt; 1 + $F26, 0, OFFSET( AG27, 0, - 1 * ( $F26 ) ) )</f>
        <v>0</v>
      </c>
      <c r="AH28" s="2">
        <f ca="1" xml:space="preserve">  IF( Time!AH28 &lt; 1 + $F26, 0, OFFSET( AH27, 0, - 1 * ( $F26 ) ) )</f>
        <v>0</v>
      </c>
      <c r="AI28" s="2">
        <f ca="1" xml:space="preserve">  IF( Time!AI28 &lt; 1 + $F26, 0, OFFSET( AI27, 0, - 1 * ( $F26 ) ) )</f>
        <v>0</v>
      </c>
      <c r="AJ28" s="2">
        <f ca="1" xml:space="preserve">  IF( Time!AJ28 &lt; 1 + $F26, 0, OFFSET( AJ27, 0, - 1 * ( $F26 ) ) )</f>
        <v>0</v>
      </c>
      <c r="AK28" s="2">
        <f ca="1" xml:space="preserve">  IF( Time!AK28 &lt; 1 + $F26, 0, OFFSET( AK27, 0, - 1 * ( $F26 ) ) )</f>
        <v>0</v>
      </c>
      <c r="AL28" s="2">
        <f ca="1" xml:space="preserve">  IF( Time!AL28 &lt; 1 + $F26, 0, OFFSET( AL27, 0, - 1 * ( $F26 ) ) )</f>
        <v>0</v>
      </c>
      <c r="AM28" s="2">
        <f ca="1" xml:space="preserve">  IF( Time!AM28 &lt; 1 + $F26, 0, OFFSET( AM27, 0, - 1 * ( $F26 ) ) )</f>
        <v>0</v>
      </c>
      <c r="AN28" s="2">
        <f ca="1" xml:space="preserve">  IF( Time!AN28 &lt; 1 + $F26, 0, OFFSET( AN27, 0, - 1 * ( $F26 ) ) )</f>
        <v>0</v>
      </c>
      <c r="AO28" s="2">
        <f ca="1" xml:space="preserve">  IF( Time!AO28 &lt; 1 + $F26, 0, OFFSET( AO27, 0, - 1 * ( $F26 ) ) )</f>
        <v>0</v>
      </c>
      <c r="AP28" s="2">
        <f ca="1" xml:space="preserve">  IF( Time!AP28 &lt; 1 + $F26, 0, OFFSET( AP27, 0, - 1 * ( $F26 ) ) )</f>
        <v>0</v>
      </c>
      <c r="AQ28" s="2">
        <f ca="1" xml:space="preserve">  IF( Time!AQ28 &lt; 1 + $F26, 0, OFFSET( AQ27, 0, - 1 * ( $F26 ) ) )</f>
        <v>0</v>
      </c>
      <c r="AR28" s="2">
        <f ca="1" xml:space="preserve">  IF( Time!AR28 &lt; 1 + $F26, 0, OFFSET( AR27, 0, - 1 * ( $F26 ) ) )</f>
        <v>0</v>
      </c>
      <c r="AS28" s="2">
        <f ca="1" xml:space="preserve">  IF( Time!AS28 &lt; 1 + $F26, 0, OFFSET( AS27, 0, - 1 * ( $F26 ) ) )</f>
        <v>0</v>
      </c>
      <c r="AT28" s="2">
        <f ca="1" xml:space="preserve">  IF( Time!AT28 &lt; 1 + $F26, 0, OFFSET( AT27, 0, - 1 * ( $F26 ) ) )</f>
        <v>0</v>
      </c>
      <c r="AU28" s="2">
        <f ca="1" xml:space="preserve">  IF( Time!AU28 &lt; 1 + $F26, 0, OFFSET( AU27, 0, - 1 * ( $F26 ) ) )</f>
        <v>0</v>
      </c>
      <c r="AV28" s="2">
        <f ca="1" xml:space="preserve">  IF( Time!AV28 &lt; 1 + $F26, 0, OFFSET( AV27, 0, - 1 * ( $F26 ) ) )</f>
        <v>0</v>
      </c>
      <c r="AW28" s="2">
        <f ca="1" xml:space="preserve">  IF( Time!AW28 &lt; 1 + $F26, 0, OFFSET( AW27, 0, - 1 * ( $F26 ) ) )</f>
        <v>0</v>
      </c>
      <c r="AX28" s="2">
        <f ca="1" xml:space="preserve">  IF( Time!AX28 &lt; 1 + $F26, 0, OFFSET( AX27, 0, - 1 * ( $F26 ) ) )</f>
        <v>0</v>
      </c>
      <c r="AY28" s="2">
        <f ca="1" xml:space="preserve">  IF( Time!AY28 &lt; 1 + $F26, 0, OFFSET( AY27, 0, - 1 * ( $F26 ) ) )</f>
        <v>0</v>
      </c>
      <c r="AZ28" s="2">
        <f ca="1" xml:space="preserve">  IF( Time!AZ28 &lt; 1 + $F26, 0, OFFSET( AZ27, 0, - 1 * ( $F26 ) ) )</f>
        <v>0</v>
      </c>
      <c r="BA28" s="2">
        <f ca="1" xml:space="preserve">  IF( Time!BA28 &lt; 1 + $F26, 0, OFFSET( BA27, 0, - 1 * ( $F26 ) ) )</f>
        <v>0</v>
      </c>
      <c r="BB28" s="2">
        <f ca="1" xml:space="preserve">  IF( Time!BB28 &lt; 1 + $F26, 0, OFFSET( BB27, 0, - 1 * ( $F26 ) ) )</f>
        <v>0</v>
      </c>
      <c r="BC28" s="2">
        <f ca="1" xml:space="preserve">  IF( Time!BC28 &lt; 1 + $F26, 0, OFFSET( BC27, 0, - 1 * ( $F26 ) ) )</f>
        <v>0</v>
      </c>
      <c r="BD28" s="2">
        <f ca="1" xml:space="preserve">  IF( Time!BD28 &lt; 1 + $F26, 0, OFFSET( BD27, 0, - 1 * ( $F26 ) ) )</f>
        <v>0</v>
      </c>
      <c r="BE28" s="2">
        <f ca="1" xml:space="preserve">  IF( Time!BE28 &lt; 1 + $F26, 0, OFFSET( BE27, 0, - 1 * ( $F26 ) ) )</f>
        <v>0</v>
      </c>
      <c r="BF28" s="2">
        <f ca="1" xml:space="preserve">  IF( Time!BF28 &lt; 1 + $F26, 0, OFFSET( BF27, 0, - 1 * ( $F26 ) ) )</f>
        <v>0</v>
      </c>
      <c r="BG28" s="2">
        <f ca="1" xml:space="preserve">  IF( Time!BG28 &lt; 1 + $F26, 0, OFFSET( BG27, 0, - 1 * ( $F26 ) ) )</f>
        <v>0</v>
      </c>
      <c r="BH28" s="2">
        <f ca="1" xml:space="preserve">  IF( Time!BH28 &lt; 1 + $F26, 0, OFFSET( BH27, 0, - 1 * ( $F26 ) ) )</f>
        <v>0</v>
      </c>
      <c r="BI28" s="2">
        <f ca="1" xml:space="preserve">  IF( Time!BI28 &lt; 1 + $F26, 0, OFFSET( BI27, 0, - 1 * ( $F26 ) ) )</f>
        <v>0</v>
      </c>
      <c r="BJ28" s="2">
        <f ca="1" xml:space="preserve">  IF( Time!BJ28 &lt; 1 + $F26, 0, OFFSET( BJ27, 0, - 1 * ( $F26 ) ) )</f>
        <v>0</v>
      </c>
      <c r="BK28" s="2">
        <f ca="1" xml:space="preserve">  IF( Time!BK28 &lt; 1 + $F26, 0, OFFSET( BK27, 0, - 1 * ( $F26 ) ) )</f>
        <v>0</v>
      </c>
      <c r="BL28" s="2">
        <f ca="1" xml:space="preserve">  IF( Time!BL28 &lt; 1 + $F26, 0, OFFSET( BL27, 0, - 1 * ( $F26 ) ) )</f>
        <v>0</v>
      </c>
      <c r="BM28" s="2">
        <f ca="1" xml:space="preserve">  IF( Time!BM28 &lt; 1 + $F26, 0, OFFSET( BM27, 0, - 1 * ( $F26 ) ) )</f>
        <v>0</v>
      </c>
      <c r="BN28" s="2">
        <f ca="1" xml:space="preserve">  IF( Time!BN28 &lt; 1 + $F26, 0, OFFSET( BN27, 0, - 1 * ( $F26 ) ) )</f>
        <v>0</v>
      </c>
      <c r="BO28" s="2">
        <f ca="1" xml:space="preserve">  IF( Time!BO28 &lt; 1 + $F26, 0, OFFSET( BO27, 0, - 1 * ( $F26 ) ) )</f>
        <v>0</v>
      </c>
      <c r="BP28" s="2">
        <f ca="1" xml:space="preserve">  IF( Time!BP28 &lt; 1 + $F26, 0, OFFSET( BP27, 0, - 1 * ( $F26 ) ) )</f>
        <v>0</v>
      </c>
      <c r="BQ28" s="2">
        <f ca="1" xml:space="preserve">  IF( Time!BQ28 &lt; 1 + $F26, 0, OFFSET( BQ27, 0, - 1 * ( $F26 ) ) )</f>
        <v>0</v>
      </c>
    </row>
    <row r="29" spans="1:69" outlineLevel="1">
      <c r="A29" s="36"/>
      <c r="B29" s="36"/>
      <c r="C29" s="65"/>
      <c r="D29" s="64"/>
      <c r="E29" s="21" t="str">
        <f xml:space="preserve"> LEFT($E$28, LEN($E$28) - 3 )</f>
        <v xml:space="preserve">Supply Chain Finance principal repayment </v>
      </c>
      <c r="F29" s="21"/>
      <c r="G29" s="21" t="str">
        <f xml:space="preserve"> G$28</f>
        <v>GBP</v>
      </c>
      <c r="H29" s="3">
        <f t="shared" ca="1" si="7"/>
        <v>0</v>
      </c>
      <c r="I29" s="21"/>
      <c r="J29" s="3">
        <f t="shared" ref="J29:BQ29" ca="1" si="8" xml:space="preserve"> -1 * J28</f>
        <v>0</v>
      </c>
      <c r="K29" s="3">
        <f t="shared" ca="1" si="8"/>
        <v>0</v>
      </c>
      <c r="L29" s="3">
        <f t="shared" ca="1" si="8"/>
        <v>0</v>
      </c>
      <c r="M29" s="3">
        <f t="shared" ca="1" si="8"/>
        <v>0</v>
      </c>
      <c r="N29" s="3">
        <f t="shared" ca="1" si="8"/>
        <v>0</v>
      </c>
      <c r="O29" s="3">
        <f t="shared" ca="1" si="8"/>
        <v>0</v>
      </c>
      <c r="P29" s="3">
        <f t="shared" ca="1" si="8"/>
        <v>0</v>
      </c>
      <c r="Q29" s="3">
        <f t="shared" ca="1" si="8"/>
        <v>0</v>
      </c>
      <c r="R29" s="3">
        <f t="shared" ca="1" si="8"/>
        <v>0</v>
      </c>
      <c r="S29" s="3">
        <f t="shared" ca="1" si="8"/>
        <v>0</v>
      </c>
      <c r="T29" s="3">
        <f t="shared" ca="1" si="8"/>
        <v>0</v>
      </c>
      <c r="U29" s="3">
        <f t="shared" ca="1" si="8"/>
        <v>0</v>
      </c>
      <c r="V29" s="3">
        <f t="shared" ca="1" si="8"/>
        <v>0</v>
      </c>
      <c r="W29" s="3">
        <f t="shared" ca="1" si="8"/>
        <v>0</v>
      </c>
      <c r="X29" s="3">
        <f t="shared" ca="1" si="8"/>
        <v>0</v>
      </c>
      <c r="Y29" s="3">
        <f t="shared" ca="1" si="8"/>
        <v>0</v>
      </c>
      <c r="Z29" s="3">
        <f t="shared" ca="1" si="8"/>
        <v>0</v>
      </c>
      <c r="AA29" s="3">
        <f t="shared" ca="1" si="8"/>
        <v>0</v>
      </c>
      <c r="AB29" s="3">
        <f t="shared" ca="1" si="8"/>
        <v>0</v>
      </c>
      <c r="AC29" s="3">
        <f t="shared" ca="1" si="8"/>
        <v>0</v>
      </c>
      <c r="AD29" s="3">
        <f t="shared" ca="1" si="8"/>
        <v>0</v>
      </c>
      <c r="AE29" s="3">
        <f t="shared" ca="1" si="8"/>
        <v>0</v>
      </c>
      <c r="AF29" s="3">
        <f t="shared" ca="1" si="8"/>
        <v>0</v>
      </c>
      <c r="AG29" s="3">
        <f t="shared" ca="1" si="8"/>
        <v>0</v>
      </c>
      <c r="AH29" s="3">
        <f t="shared" ca="1" si="8"/>
        <v>0</v>
      </c>
      <c r="AI29" s="3">
        <f t="shared" ca="1" si="8"/>
        <v>0</v>
      </c>
      <c r="AJ29" s="3">
        <f t="shared" ca="1" si="8"/>
        <v>0</v>
      </c>
      <c r="AK29" s="3">
        <f t="shared" ca="1" si="8"/>
        <v>0</v>
      </c>
      <c r="AL29" s="3">
        <f t="shared" ca="1" si="8"/>
        <v>0</v>
      </c>
      <c r="AM29" s="3">
        <f t="shared" ca="1" si="8"/>
        <v>0</v>
      </c>
      <c r="AN29" s="3">
        <f t="shared" ca="1" si="8"/>
        <v>0</v>
      </c>
      <c r="AO29" s="3">
        <f t="shared" ca="1" si="8"/>
        <v>0</v>
      </c>
      <c r="AP29" s="3">
        <f t="shared" ca="1" si="8"/>
        <v>0</v>
      </c>
      <c r="AQ29" s="3">
        <f t="shared" ca="1" si="8"/>
        <v>0</v>
      </c>
      <c r="AR29" s="3">
        <f t="shared" ca="1" si="8"/>
        <v>0</v>
      </c>
      <c r="AS29" s="3">
        <f t="shared" ca="1" si="8"/>
        <v>0</v>
      </c>
      <c r="AT29" s="3">
        <f t="shared" ca="1" si="8"/>
        <v>0</v>
      </c>
      <c r="AU29" s="3">
        <f t="shared" ca="1" si="8"/>
        <v>0</v>
      </c>
      <c r="AV29" s="3">
        <f t="shared" ca="1" si="8"/>
        <v>0</v>
      </c>
      <c r="AW29" s="3">
        <f t="shared" ca="1" si="8"/>
        <v>0</v>
      </c>
      <c r="AX29" s="3">
        <f t="shared" ca="1" si="8"/>
        <v>0</v>
      </c>
      <c r="AY29" s="3">
        <f t="shared" ca="1" si="8"/>
        <v>0</v>
      </c>
      <c r="AZ29" s="3">
        <f t="shared" ca="1" si="8"/>
        <v>0</v>
      </c>
      <c r="BA29" s="3">
        <f t="shared" ca="1" si="8"/>
        <v>0</v>
      </c>
      <c r="BB29" s="3">
        <f t="shared" ca="1" si="8"/>
        <v>0</v>
      </c>
      <c r="BC29" s="3">
        <f t="shared" ca="1" si="8"/>
        <v>0</v>
      </c>
      <c r="BD29" s="3">
        <f t="shared" ca="1" si="8"/>
        <v>0</v>
      </c>
      <c r="BE29" s="3">
        <f t="shared" ca="1" si="8"/>
        <v>0</v>
      </c>
      <c r="BF29" s="3">
        <f t="shared" ca="1" si="8"/>
        <v>0</v>
      </c>
      <c r="BG29" s="3">
        <f t="shared" ca="1" si="8"/>
        <v>0</v>
      </c>
      <c r="BH29" s="3">
        <f t="shared" ca="1" si="8"/>
        <v>0</v>
      </c>
      <c r="BI29" s="3">
        <f t="shared" ca="1" si="8"/>
        <v>0</v>
      </c>
      <c r="BJ29" s="3">
        <f t="shared" ca="1" si="8"/>
        <v>0</v>
      </c>
      <c r="BK29" s="3">
        <f t="shared" ca="1" si="8"/>
        <v>0</v>
      </c>
      <c r="BL29" s="3">
        <f t="shared" ca="1" si="8"/>
        <v>0</v>
      </c>
      <c r="BM29" s="3">
        <f t="shared" ca="1" si="8"/>
        <v>0</v>
      </c>
      <c r="BN29" s="3">
        <f t="shared" ca="1" si="8"/>
        <v>0</v>
      </c>
      <c r="BO29" s="3">
        <f t="shared" ca="1" si="8"/>
        <v>0</v>
      </c>
      <c r="BP29" s="3">
        <f t="shared" ca="1" si="8"/>
        <v>0</v>
      </c>
      <c r="BQ29" s="3">
        <f t="shared" ca="1" si="8"/>
        <v>0</v>
      </c>
    </row>
    <row r="32" spans="1:69">
      <c r="B32" s="27" t="s">
        <v>151</v>
      </c>
    </row>
    <row r="33" spans="1:69" outlineLevel="1">
      <c r="E33" s="2" t="str">
        <f t="shared" ref="E33:BQ33" si="9" xml:space="preserve">  E$41</f>
        <v>Supply Chain Finance interest POS</v>
      </c>
      <c r="F33" s="2">
        <f t="shared" si="9"/>
        <v>0</v>
      </c>
      <c r="G33" s="2" t="str">
        <f t="shared" si="9"/>
        <v>GBP</v>
      </c>
      <c r="H33" s="2">
        <f t="shared" ca="1" si="9"/>
        <v>0</v>
      </c>
      <c r="I33" s="2">
        <f t="shared" si="9"/>
        <v>0</v>
      </c>
      <c r="J33" s="2">
        <f t="shared" si="9"/>
        <v>0</v>
      </c>
      <c r="K33" s="2">
        <f t="shared" ca="1" si="9"/>
        <v>0</v>
      </c>
      <c r="L33" s="2">
        <f t="shared" ca="1" si="9"/>
        <v>0</v>
      </c>
      <c r="M33" s="2">
        <f t="shared" ca="1" si="9"/>
        <v>0</v>
      </c>
      <c r="N33" s="2">
        <f t="shared" ca="1" si="9"/>
        <v>0</v>
      </c>
      <c r="O33" s="2">
        <f t="shared" ca="1" si="9"/>
        <v>0</v>
      </c>
      <c r="P33" s="2">
        <f t="shared" ca="1" si="9"/>
        <v>0</v>
      </c>
      <c r="Q33" s="2">
        <f t="shared" ca="1" si="9"/>
        <v>0</v>
      </c>
      <c r="R33" s="2">
        <f t="shared" ca="1" si="9"/>
        <v>0</v>
      </c>
      <c r="S33" s="2">
        <f t="shared" ca="1" si="9"/>
        <v>0</v>
      </c>
      <c r="T33" s="2">
        <f t="shared" ca="1" si="9"/>
        <v>0</v>
      </c>
      <c r="U33" s="2">
        <f t="shared" ca="1" si="9"/>
        <v>0</v>
      </c>
      <c r="V33" s="2">
        <f t="shared" ca="1" si="9"/>
        <v>0</v>
      </c>
      <c r="W33" s="2">
        <f t="shared" ca="1" si="9"/>
        <v>0</v>
      </c>
      <c r="X33" s="2">
        <f t="shared" ca="1" si="9"/>
        <v>0</v>
      </c>
      <c r="Y33" s="2">
        <f t="shared" ca="1" si="9"/>
        <v>0</v>
      </c>
      <c r="Z33" s="2">
        <f t="shared" ca="1" si="9"/>
        <v>0</v>
      </c>
      <c r="AA33" s="2">
        <f t="shared" ca="1" si="9"/>
        <v>0</v>
      </c>
      <c r="AB33" s="2">
        <f t="shared" ca="1" si="9"/>
        <v>0</v>
      </c>
      <c r="AC33" s="2">
        <f t="shared" ca="1" si="9"/>
        <v>0</v>
      </c>
      <c r="AD33" s="2">
        <f t="shared" ca="1" si="9"/>
        <v>0</v>
      </c>
      <c r="AE33" s="2">
        <f t="shared" ca="1" si="9"/>
        <v>0</v>
      </c>
      <c r="AF33" s="2">
        <f t="shared" ca="1" si="9"/>
        <v>0</v>
      </c>
      <c r="AG33" s="2">
        <f t="shared" ca="1" si="9"/>
        <v>0</v>
      </c>
      <c r="AH33" s="2">
        <f t="shared" ca="1" si="9"/>
        <v>0</v>
      </c>
      <c r="AI33" s="2">
        <f t="shared" ca="1" si="9"/>
        <v>0</v>
      </c>
      <c r="AJ33" s="2">
        <f t="shared" ca="1" si="9"/>
        <v>0</v>
      </c>
      <c r="AK33" s="2">
        <f t="shared" ca="1" si="9"/>
        <v>0</v>
      </c>
      <c r="AL33" s="2">
        <f t="shared" ca="1" si="9"/>
        <v>0</v>
      </c>
      <c r="AM33" s="2">
        <f t="shared" ca="1" si="9"/>
        <v>0</v>
      </c>
      <c r="AN33" s="2">
        <f t="shared" ca="1" si="9"/>
        <v>0</v>
      </c>
      <c r="AO33" s="2">
        <f t="shared" ca="1" si="9"/>
        <v>0</v>
      </c>
      <c r="AP33" s="2">
        <f t="shared" ca="1" si="9"/>
        <v>0</v>
      </c>
      <c r="AQ33" s="2">
        <f t="shared" ca="1" si="9"/>
        <v>0</v>
      </c>
      <c r="AR33" s="2">
        <f t="shared" ca="1" si="9"/>
        <v>0</v>
      </c>
      <c r="AS33" s="2">
        <f t="shared" ca="1" si="9"/>
        <v>0</v>
      </c>
      <c r="AT33" s="2">
        <f t="shared" ca="1" si="9"/>
        <v>0</v>
      </c>
      <c r="AU33" s="2">
        <f t="shared" ca="1" si="9"/>
        <v>0</v>
      </c>
      <c r="AV33" s="2">
        <f t="shared" ca="1" si="9"/>
        <v>0</v>
      </c>
      <c r="AW33" s="2">
        <f t="shared" ca="1" si="9"/>
        <v>0</v>
      </c>
      <c r="AX33" s="2">
        <f t="shared" ca="1" si="9"/>
        <v>0</v>
      </c>
      <c r="AY33" s="2">
        <f t="shared" ca="1" si="9"/>
        <v>0</v>
      </c>
      <c r="AZ33" s="2">
        <f t="shared" ca="1" si="9"/>
        <v>0</v>
      </c>
      <c r="BA33" s="2">
        <f t="shared" ca="1" si="9"/>
        <v>0</v>
      </c>
      <c r="BB33" s="2">
        <f t="shared" ca="1" si="9"/>
        <v>0</v>
      </c>
      <c r="BC33" s="2">
        <f t="shared" ca="1" si="9"/>
        <v>0</v>
      </c>
      <c r="BD33" s="2">
        <f t="shared" ca="1" si="9"/>
        <v>0</v>
      </c>
      <c r="BE33" s="2">
        <f t="shared" ca="1" si="9"/>
        <v>0</v>
      </c>
      <c r="BF33" s="2">
        <f t="shared" ca="1" si="9"/>
        <v>0</v>
      </c>
      <c r="BG33" s="2">
        <f t="shared" ca="1" si="9"/>
        <v>0</v>
      </c>
      <c r="BH33" s="2">
        <f t="shared" ca="1" si="9"/>
        <v>0</v>
      </c>
      <c r="BI33" s="2">
        <f t="shared" ca="1" si="9"/>
        <v>0</v>
      </c>
      <c r="BJ33" s="2">
        <f t="shared" ca="1" si="9"/>
        <v>0</v>
      </c>
      <c r="BK33" s="2">
        <f t="shared" ca="1" si="9"/>
        <v>0</v>
      </c>
      <c r="BL33" s="2">
        <f t="shared" ca="1" si="9"/>
        <v>0</v>
      </c>
      <c r="BM33" s="2">
        <f t="shared" ca="1" si="9"/>
        <v>0</v>
      </c>
      <c r="BN33" s="2">
        <f t="shared" ca="1" si="9"/>
        <v>0</v>
      </c>
      <c r="BO33" s="2">
        <f t="shared" ca="1" si="9"/>
        <v>0</v>
      </c>
      <c r="BP33" s="2">
        <f t="shared" ca="1" si="9"/>
        <v>0</v>
      </c>
      <c r="BQ33" s="2">
        <f t="shared" ca="1" si="9"/>
        <v>0</v>
      </c>
    </row>
    <row r="34" spans="1:69" outlineLevel="1">
      <c r="E34" s="2" t="str">
        <f t="shared" ref="E34:BQ34" si="10" xml:space="preserve">  E$47</f>
        <v>Supply Chain Finance interest paid POS</v>
      </c>
      <c r="F34" s="2">
        <f t="shared" si="10"/>
        <v>0</v>
      </c>
      <c r="G34" s="2" t="str">
        <f t="shared" si="10"/>
        <v>GBP</v>
      </c>
      <c r="H34" s="2">
        <f t="shared" ca="1" si="10"/>
        <v>0</v>
      </c>
      <c r="I34" s="2">
        <f t="shared" si="10"/>
        <v>0</v>
      </c>
      <c r="J34" s="2">
        <f t="shared" si="10"/>
        <v>0</v>
      </c>
      <c r="K34" s="2">
        <f t="shared" ca="1" si="10"/>
        <v>0</v>
      </c>
      <c r="L34" s="2">
        <f t="shared" ca="1" si="10"/>
        <v>0</v>
      </c>
      <c r="M34" s="2">
        <f t="shared" ca="1" si="10"/>
        <v>0</v>
      </c>
      <c r="N34" s="2">
        <f t="shared" ca="1" si="10"/>
        <v>0</v>
      </c>
      <c r="O34" s="2">
        <f t="shared" ca="1" si="10"/>
        <v>0</v>
      </c>
      <c r="P34" s="2">
        <f t="shared" ca="1" si="10"/>
        <v>0</v>
      </c>
      <c r="Q34" s="2">
        <f t="shared" ca="1" si="10"/>
        <v>0</v>
      </c>
      <c r="R34" s="2">
        <f t="shared" ca="1" si="10"/>
        <v>0</v>
      </c>
      <c r="S34" s="2">
        <f t="shared" ca="1" si="10"/>
        <v>0</v>
      </c>
      <c r="T34" s="2">
        <f t="shared" ca="1" si="10"/>
        <v>0</v>
      </c>
      <c r="U34" s="2">
        <f t="shared" ca="1" si="10"/>
        <v>0</v>
      </c>
      <c r="V34" s="2">
        <f t="shared" ca="1" si="10"/>
        <v>0</v>
      </c>
      <c r="W34" s="2">
        <f t="shared" ca="1" si="10"/>
        <v>0</v>
      </c>
      <c r="X34" s="2">
        <f t="shared" ca="1" si="10"/>
        <v>0</v>
      </c>
      <c r="Y34" s="2">
        <f t="shared" ca="1" si="10"/>
        <v>0</v>
      </c>
      <c r="Z34" s="2">
        <f t="shared" ca="1" si="10"/>
        <v>0</v>
      </c>
      <c r="AA34" s="2">
        <f t="shared" ca="1" si="10"/>
        <v>0</v>
      </c>
      <c r="AB34" s="2">
        <f t="shared" ca="1" si="10"/>
        <v>0</v>
      </c>
      <c r="AC34" s="2">
        <f t="shared" ca="1" si="10"/>
        <v>0</v>
      </c>
      <c r="AD34" s="2">
        <f t="shared" ca="1" si="10"/>
        <v>0</v>
      </c>
      <c r="AE34" s="2">
        <f t="shared" ca="1" si="10"/>
        <v>0</v>
      </c>
      <c r="AF34" s="2">
        <f t="shared" ca="1" si="10"/>
        <v>0</v>
      </c>
      <c r="AG34" s="2">
        <f t="shared" ca="1" si="10"/>
        <v>0</v>
      </c>
      <c r="AH34" s="2">
        <f t="shared" ca="1" si="10"/>
        <v>0</v>
      </c>
      <c r="AI34" s="2">
        <f t="shared" ca="1" si="10"/>
        <v>0</v>
      </c>
      <c r="AJ34" s="2">
        <f t="shared" ca="1" si="10"/>
        <v>0</v>
      </c>
      <c r="AK34" s="2">
        <f t="shared" ca="1" si="10"/>
        <v>0</v>
      </c>
      <c r="AL34" s="2">
        <f t="shared" ca="1" si="10"/>
        <v>0</v>
      </c>
      <c r="AM34" s="2">
        <f t="shared" ca="1" si="10"/>
        <v>0</v>
      </c>
      <c r="AN34" s="2">
        <f t="shared" ca="1" si="10"/>
        <v>0</v>
      </c>
      <c r="AO34" s="2">
        <f t="shared" ca="1" si="10"/>
        <v>0</v>
      </c>
      <c r="AP34" s="2">
        <f t="shared" ca="1" si="10"/>
        <v>0</v>
      </c>
      <c r="AQ34" s="2">
        <f t="shared" ca="1" si="10"/>
        <v>0</v>
      </c>
      <c r="AR34" s="2">
        <f t="shared" ca="1" si="10"/>
        <v>0</v>
      </c>
      <c r="AS34" s="2">
        <f t="shared" ca="1" si="10"/>
        <v>0</v>
      </c>
      <c r="AT34" s="2">
        <f t="shared" ca="1" si="10"/>
        <v>0</v>
      </c>
      <c r="AU34" s="2">
        <f t="shared" ca="1" si="10"/>
        <v>0</v>
      </c>
      <c r="AV34" s="2">
        <f t="shared" ca="1" si="10"/>
        <v>0</v>
      </c>
      <c r="AW34" s="2">
        <f t="shared" ca="1" si="10"/>
        <v>0</v>
      </c>
      <c r="AX34" s="2">
        <f t="shared" ca="1" si="10"/>
        <v>0</v>
      </c>
      <c r="AY34" s="2">
        <f t="shared" ca="1" si="10"/>
        <v>0</v>
      </c>
      <c r="AZ34" s="2">
        <f t="shared" ca="1" si="10"/>
        <v>0</v>
      </c>
      <c r="BA34" s="2">
        <f t="shared" ca="1" si="10"/>
        <v>0</v>
      </c>
      <c r="BB34" s="2">
        <f t="shared" ca="1" si="10"/>
        <v>0</v>
      </c>
      <c r="BC34" s="2">
        <f t="shared" ca="1" si="10"/>
        <v>0</v>
      </c>
      <c r="BD34" s="2">
        <f t="shared" ca="1" si="10"/>
        <v>0</v>
      </c>
      <c r="BE34" s="2">
        <f t="shared" ca="1" si="10"/>
        <v>0</v>
      </c>
      <c r="BF34" s="2">
        <f t="shared" ca="1" si="10"/>
        <v>0</v>
      </c>
      <c r="BG34" s="2">
        <f t="shared" ca="1" si="10"/>
        <v>0</v>
      </c>
      <c r="BH34" s="2">
        <f t="shared" ca="1" si="10"/>
        <v>0</v>
      </c>
      <c r="BI34" s="2">
        <f t="shared" ca="1" si="10"/>
        <v>0</v>
      </c>
      <c r="BJ34" s="2">
        <f t="shared" ca="1" si="10"/>
        <v>0</v>
      </c>
      <c r="BK34" s="2">
        <f t="shared" ca="1" si="10"/>
        <v>0</v>
      </c>
      <c r="BL34" s="2">
        <f t="shared" ca="1" si="10"/>
        <v>0</v>
      </c>
      <c r="BM34" s="2">
        <f t="shared" ca="1" si="10"/>
        <v>0</v>
      </c>
      <c r="BN34" s="2">
        <f t="shared" ca="1" si="10"/>
        <v>0</v>
      </c>
      <c r="BO34" s="2">
        <f t="shared" ca="1" si="10"/>
        <v>0</v>
      </c>
      <c r="BP34" s="2">
        <f t="shared" ca="1" si="10"/>
        <v>0</v>
      </c>
      <c r="BQ34" s="2">
        <f t="shared" ca="1" si="10"/>
        <v>0</v>
      </c>
    </row>
    <row r="35" spans="1:69" outlineLevel="1">
      <c r="E35" s="46" t="s">
        <v>151</v>
      </c>
      <c r="G35" s="46" t="s">
        <v>252</v>
      </c>
      <c r="H35" s="2">
        <f ca="1" xml:space="preserve"> SUM( J35:BQ35 )</f>
        <v>0</v>
      </c>
      <c r="J35" s="2">
        <f t="shared" ref="J35:BQ35" si="11" xml:space="preserve">  J33 - J34</f>
        <v>0</v>
      </c>
      <c r="K35" s="2">
        <f t="shared" ca="1" si="11"/>
        <v>0</v>
      </c>
      <c r="L35" s="2">
        <f t="shared" ca="1" si="11"/>
        <v>0</v>
      </c>
      <c r="M35" s="2">
        <f t="shared" ca="1" si="11"/>
        <v>0</v>
      </c>
      <c r="N35" s="2">
        <f t="shared" ca="1" si="11"/>
        <v>0</v>
      </c>
      <c r="O35" s="2">
        <f t="shared" ca="1" si="11"/>
        <v>0</v>
      </c>
      <c r="P35" s="2">
        <f t="shared" ca="1" si="11"/>
        <v>0</v>
      </c>
      <c r="Q35" s="2">
        <f t="shared" ca="1" si="11"/>
        <v>0</v>
      </c>
      <c r="R35" s="2">
        <f t="shared" ca="1" si="11"/>
        <v>0</v>
      </c>
      <c r="S35" s="2">
        <f t="shared" ca="1" si="11"/>
        <v>0</v>
      </c>
      <c r="T35" s="2">
        <f t="shared" ca="1" si="11"/>
        <v>0</v>
      </c>
      <c r="U35" s="2">
        <f t="shared" ca="1" si="11"/>
        <v>0</v>
      </c>
      <c r="V35" s="2">
        <f t="shared" ca="1" si="11"/>
        <v>0</v>
      </c>
      <c r="W35" s="2">
        <f t="shared" ca="1" si="11"/>
        <v>0</v>
      </c>
      <c r="X35" s="2">
        <f t="shared" ca="1" si="11"/>
        <v>0</v>
      </c>
      <c r="Y35" s="2">
        <f t="shared" ca="1" si="11"/>
        <v>0</v>
      </c>
      <c r="Z35" s="2">
        <f t="shared" ca="1" si="11"/>
        <v>0</v>
      </c>
      <c r="AA35" s="2">
        <f t="shared" ca="1" si="11"/>
        <v>0</v>
      </c>
      <c r="AB35" s="2">
        <f t="shared" ca="1" si="11"/>
        <v>0</v>
      </c>
      <c r="AC35" s="2">
        <f t="shared" ca="1" si="11"/>
        <v>0</v>
      </c>
      <c r="AD35" s="2">
        <f t="shared" ca="1" si="11"/>
        <v>0</v>
      </c>
      <c r="AE35" s="2">
        <f t="shared" ca="1" si="11"/>
        <v>0</v>
      </c>
      <c r="AF35" s="2">
        <f t="shared" ca="1" si="11"/>
        <v>0</v>
      </c>
      <c r="AG35" s="2">
        <f t="shared" ca="1" si="11"/>
        <v>0</v>
      </c>
      <c r="AH35" s="2">
        <f t="shared" ca="1" si="11"/>
        <v>0</v>
      </c>
      <c r="AI35" s="2">
        <f t="shared" ca="1" si="11"/>
        <v>0</v>
      </c>
      <c r="AJ35" s="2">
        <f t="shared" ca="1" si="11"/>
        <v>0</v>
      </c>
      <c r="AK35" s="2">
        <f t="shared" ca="1" si="11"/>
        <v>0</v>
      </c>
      <c r="AL35" s="2">
        <f t="shared" ca="1" si="11"/>
        <v>0</v>
      </c>
      <c r="AM35" s="2">
        <f t="shared" ca="1" si="11"/>
        <v>0</v>
      </c>
      <c r="AN35" s="2">
        <f t="shared" ca="1" si="11"/>
        <v>0</v>
      </c>
      <c r="AO35" s="2">
        <f t="shared" ca="1" si="11"/>
        <v>0</v>
      </c>
      <c r="AP35" s="2">
        <f t="shared" ca="1" si="11"/>
        <v>0</v>
      </c>
      <c r="AQ35" s="2">
        <f t="shared" ca="1" si="11"/>
        <v>0</v>
      </c>
      <c r="AR35" s="2">
        <f t="shared" ca="1" si="11"/>
        <v>0</v>
      </c>
      <c r="AS35" s="2">
        <f t="shared" ca="1" si="11"/>
        <v>0</v>
      </c>
      <c r="AT35" s="2">
        <f t="shared" ca="1" si="11"/>
        <v>0</v>
      </c>
      <c r="AU35" s="2">
        <f t="shared" ca="1" si="11"/>
        <v>0</v>
      </c>
      <c r="AV35" s="2">
        <f t="shared" ca="1" si="11"/>
        <v>0</v>
      </c>
      <c r="AW35" s="2">
        <f t="shared" ca="1" si="11"/>
        <v>0</v>
      </c>
      <c r="AX35" s="2">
        <f t="shared" ca="1" si="11"/>
        <v>0</v>
      </c>
      <c r="AY35" s="2">
        <f t="shared" ca="1" si="11"/>
        <v>0</v>
      </c>
      <c r="AZ35" s="2">
        <f t="shared" ca="1" si="11"/>
        <v>0</v>
      </c>
      <c r="BA35" s="2">
        <f t="shared" ca="1" si="11"/>
        <v>0</v>
      </c>
      <c r="BB35" s="2">
        <f t="shared" ca="1" si="11"/>
        <v>0</v>
      </c>
      <c r="BC35" s="2">
        <f t="shared" ca="1" si="11"/>
        <v>0</v>
      </c>
      <c r="BD35" s="2">
        <f t="shared" ca="1" si="11"/>
        <v>0</v>
      </c>
      <c r="BE35" s="2">
        <f t="shared" ca="1" si="11"/>
        <v>0</v>
      </c>
      <c r="BF35" s="2">
        <f t="shared" ca="1" si="11"/>
        <v>0</v>
      </c>
      <c r="BG35" s="2">
        <f t="shared" ca="1" si="11"/>
        <v>0</v>
      </c>
      <c r="BH35" s="2">
        <f t="shared" ca="1" si="11"/>
        <v>0</v>
      </c>
      <c r="BI35" s="2">
        <f t="shared" ca="1" si="11"/>
        <v>0</v>
      </c>
      <c r="BJ35" s="2">
        <f t="shared" ca="1" si="11"/>
        <v>0</v>
      </c>
      <c r="BK35" s="2">
        <f t="shared" ca="1" si="11"/>
        <v>0</v>
      </c>
      <c r="BL35" s="2">
        <f t="shared" ca="1" si="11"/>
        <v>0</v>
      </c>
      <c r="BM35" s="2">
        <f t="shared" ca="1" si="11"/>
        <v>0</v>
      </c>
      <c r="BN35" s="2">
        <f t="shared" ca="1" si="11"/>
        <v>0</v>
      </c>
      <c r="BO35" s="2">
        <f t="shared" ca="1" si="11"/>
        <v>0</v>
      </c>
      <c r="BP35" s="2">
        <f t="shared" ca="1" si="11"/>
        <v>0</v>
      </c>
      <c r="BQ35" s="2">
        <f t="shared" ca="1" si="11"/>
        <v>0</v>
      </c>
    </row>
    <row r="38" spans="1:69">
      <c r="B38" s="27" t="s">
        <v>112</v>
      </c>
    </row>
    <row r="39" spans="1:69" outlineLevel="1">
      <c r="E39" s="58" t="str">
        <f t="shared" ref="E39:G39" si="12" xml:space="preserve">  E$55</f>
        <v>Supply Chain Finance period interest rate</v>
      </c>
      <c r="F39" s="58">
        <f t="shared" si="12"/>
        <v>6.6666666666666671E-3</v>
      </c>
      <c r="G39" s="58" t="str">
        <f t="shared" si="12"/>
        <v>%</v>
      </c>
      <c r="M39" s="58"/>
    </row>
    <row r="40" spans="1:69" outlineLevel="1">
      <c r="E40" s="2" t="str">
        <f t="shared" ref="E40:BQ40" si="13" xml:space="preserve">  E$11</f>
        <v>Supply Chain Finance balance BEG</v>
      </c>
      <c r="F40" s="2">
        <f t="shared" si="13"/>
        <v>0</v>
      </c>
      <c r="G40" s="2" t="str">
        <f t="shared" si="13"/>
        <v>GBP</v>
      </c>
      <c r="H40" s="2">
        <f t="shared" si="13"/>
        <v>0</v>
      </c>
      <c r="I40" s="2">
        <f t="shared" si="13"/>
        <v>0</v>
      </c>
      <c r="J40" s="2">
        <f t="shared" si="13"/>
        <v>0</v>
      </c>
      <c r="K40" s="2">
        <f t="shared" ca="1" si="13"/>
        <v>0</v>
      </c>
      <c r="L40" s="2">
        <f t="shared" ca="1" si="13"/>
        <v>0</v>
      </c>
      <c r="M40" s="2">
        <f t="shared" ca="1" si="13"/>
        <v>0</v>
      </c>
      <c r="N40" s="2">
        <f t="shared" ca="1" si="13"/>
        <v>0</v>
      </c>
      <c r="O40" s="2">
        <f t="shared" ca="1" si="13"/>
        <v>0</v>
      </c>
      <c r="P40" s="2">
        <f t="shared" ca="1" si="13"/>
        <v>0</v>
      </c>
      <c r="Q40" s="2">
        <f t="shared" ca="1" si="13"/>
        <v>0</v>
      </c>
      <c r="R40" s="2">
        <f t="shared" ca="1" si="13"/>
        <v>0</v>
      </c>
      <c r="S40" s="2">
        <f t="shared" ca="1" si="13"/>
        <v>0</v>
      </c>
      <c r="T40" s="2">
        <f t="shared" ca="1" si="13"/>
        <v>0</v>
      </c>
      <c r="U40" s="2">
        <f t="shared" ca="1" si="13"/>
        <v>0</v>
      </c>
      <c r="V40" s="2">
        <f t="shared" ca="1" si="13"/>
        <v>0</v>
      </c>
      <c r="W40" s="2">
        <f t="shared" ca="1" si="13"/>
        <v>0</v>
      </c>
      <c r="X40" s="2">
        <f t="shared" ca="1" si="13"/>
        <v>0</v>
      </c>
      <c r="Y40" s="2">
        <f t="shared" ca="1" si="13"/>
        <v>0</v>
      </c>
      <c r="Z40" s="2">
        <f t="shared" ca="1" si="13"/>
        <v>0</v>
      </c>
      <c r="AA40" s="2">
        <f t="shared" ca="1" si="13"/>
        <v>0</v>
      </c>
      <c r="AB40" s="2">
        <f t="shared" ca="1" si="13"/>
        <v>0</v>
      </c>
      <c r="AC40" s="2">
        <f t="shared" ca="1" si="13"/>
        <v>0</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6" t="s">
        <v>280</v>
      </c>
      <c r="G41" s="46" t="s">
        <v>252</v>
      </c>
      <c r="H41" s="2">
        <f t="shared" ref="H41:H42" ca="1" si="14" xml:space="preserve"> SUM( J41:BQ41 )</f>
        <v>0</v>
      </c>
      <c r="J41" s="2">
        <f t="shared" ref="J41:BQ41" si="15" xml:space="preserve">  $F39 * J40</f>
        <v>0</v>
      </c>
      <c r="K41" s="2">
        <f t="shared" ca="1" si="15"/>
        <v>0</v>
      </c>
      <c r="L41" s="2">
        <f t="shared" ca="1" si="15"/>
        <v>0</v>
      </c>
      <c r="M41" s="2">
        <f t="shared" ca="1" si="15"/>
        <v>0</v>
      </c>
      <c r="N41" s="2">
        <f t="shared" ca="1" si="15"/>
        <v>0</v>
      </c>
      <c r="O41" s="2">
        <f t="shared" ca="1" si="15"/>
        <v>0</v>
      </c>
      <c r="P41" s="2">
        <f t="shared" ca="1" si="15"/>
        <v>0</v>
      </c>
      <c r="Q41" s="2">
        <f t="shared" ca="1" si="15"/>
        <v>0</v>
      </c>
      <c r="R41" s="2">
        <f t="shared" ca="1" si="15"/>
        <v>0</v>
      </c>
      <c r="S41" s="2">
        <f t="shared" ca="1" si="15"/>
        <v>0</v>
      </c>
      <c r="T41" s="2">
        <f t="shared" ca="1" si="15"/>
        <v>0</v>
      </c>
      <c r="U41" s="2">
        <f t="shared" ca="1" si="15"/>
        <v>0</v>
      </c>
      <c r="V41" s="2">
        <f t="shared" ca="1" si="15"/>
        <v>0</v>
      </c>
      <c r="W41" s="2">
        <f t="shared" ca="1" si="15"/>
        <v>0</v>
      </c>
      <c r="X41" s="2">
        <f t="shared" ca="1" si="15"/>
        <v>0</v>
      </c>
      <c r="Y41" s="2">
        <f t="shared" ca="1" si="15"/>
        <v>0</v>
      </c>
      <c r="Z41" s="2">
        <f t="shared" ca="1" si="15"/>
        <v>0</v>
      </c>
      <c r="AA41" s="2">
        <f t="shared" ca="1" si="15"/>
        <v>0</v>
      </c>
      <c r="AB41" s="2">
        <f t="shared" ca="1" si="15"/>
        <v>0</v>
      </c>
      <c r="AC41" s="2">
        <f t="shared" ca="1" si="15"/>
        <v>0</v>
      </c>
      <c r="AD41" s="2">
        <f t="shared" ca="1" si="15"/>
        <v>0</v>
      </c>
      <c r="AE41" s="2">
        <f t="shared" ca="1" si="15"/>
        <v>0</v>
      </c>
      <c r="AF41" s="2">
        <f t="shared" ca="1" si="15"/>
        <v>0</v>
      </c>
      <c r="AG41" s="2">
        <f t="shared" ca="1" si="15"/>
        <v>0</v>
      </c>
      <c r="AH41" s="2">
        <f t="shared" ca="1" si="15"/>
        <v>0</v>
      </c>
      <c r="AI41" s="2">
        <f t="shared" ca="1" si="15"/>
        <v>0</v>
      </c>
      <c r="AJ41" s="2">
        <f t="shared" ca="1" si="15"/>
        <v>0</v>
      </c>
      <c r="AK41" s="2">
        <f t="shared" ca="1" si="15"/>
        <v>0</v>
      </c>
      <c r="AL41" s="2">
        <f t="shared" ca="1" si="15"/>
        <v>0</v>
      </c>
      <c r="AM41" s="2">
        <f t="shared" ca="1" si="15"/>
        <v>0</v>
      </c>
      <c r="AN41" s="2">
        <f t="shared" ca="1" si="15"/>
        <v>0</v>
      </c>
      <c r="AO41" s="2">
        <f t="shared" ca="1" si="15"/>
        <v>0</v>
      </c>
      <c r="AP41" s="2">
        <f t="shared" ca="1" si="15"/>
        <v>0</v>
      </c>
      <c r="AQ41" s="2">
        <f t="shared" ca="1" si="15"/>
        <v>0</v>
      </c>
      <c r="AR41" s="2">
        <f t="shared" ca="1" si="15"/>
        <v>0</v>
      </c>
      <c r="AS41" s="2">
        <f t="shared" ca="1" si="15"/>
        <v>0</v>
      </c>
      <c r="AT41" s="2">
        <f t="shared" ca="1" si="15"/>
        <v>0</v>
      </c>
      <c r="AU41" s="2">
        <f t="shared" ca="1" si="15"/>
        <v>0</v>
      </c>
      <c r="AV41" s="2">
        <f t="shared" ca="1" si="15"/>
        <v>0</v>
      </c>
      <c r="AW41" s="2">
        <f t="shared" ca="1" si="15"/>
        <v>0</v>
      </c>
      <c r="AX41" s="2">
        <f t="shared" ca="1" si="15"/>
        <v>0</v>
      </c>
      <c r="AY41" s="2">
        <f t="shared" ca="1" si="15"/>
        <v>0</v>
      </c>
      <c r="AZ41" s="2">
        <f t="shared" ca="1" si="15"/>
        <v>0</v>
      </c>
      <c r="BA41" s="2">
        <f t="shared" ca="1" si="15"/>
        <v>0</v>
      </c>
      <c r="BB41" s="2">
        <f t="shared" ca="1" si="15"/>
        <v>0</v>
      </c>
      <c r="BC41" s="2">
        <f t="shared" ca="1" si="15"/>
        <v>0</v>
      </c>
      <c r="BD41" s="2">
        <f t="shared" ca="1" si="15"/>
        <v>0</v>
      </c>
      <c r="BE41" s="2">
        <f t="shared" ca="1" si="15"/>
        <v>0</v>
      </c>
      <c r="BF41" s="2">
        <f t="shared" ca="1" si="15"/>
        <v>0</v>
      </c>
      <c r="BG41" s="2">
        <f t="shared" ca="1" si="15"/>
        <v>0</v>
      </c>
      <c r="BH41" s="2">
        <f t="shared" ca="1" si="15"/>
        <v>0</v>
      </c>
      <c r="BI41" s="2">
        <f t="shared" ca="1" si="15"/>
        <v>0</v>
      </c>
      <c r="BJ41" s="2">
        <f t="shared" ca="1" si="15"/>
        <v>0</v>
      </c>
      <c r="BK41" s="2">
        <f t="shared" ca="1" si="15"/>
        <v>0</v>
      </c>
      <c r="BL41" s="2">
        <f t="shared" ca="1" si="15"/>
        <v>0</v>
      </c>
      <c r="BM41" s="2">
        <f t="shared" ca="1" si="15"/>
        <v>0</v>
      </c>
      <c r="BN41" s="2">
        <f t="shared" ca="1" si="15"/>
        <v>0</v>
      </c>
      <c r="BO41" s="2">
        <f t="shared" ca="1" si="15"/>
        <v>0</v>
      </c>
      <c r="BP41" s="2">
        <f t="shared" ca="1" si="15"/>
        <v>0</v>
      </c>
      <c r="BQ41" s="2">
        <f t="shared" ca="1" si="15"/>
        <v>0</v>
      </c>
    </row>
    <row r="42" spans="1:69" outlineLevel="1">
      <c r="A42" s="36"/>
      <c r="B42" s="36"/>
      <c r="C42" s="65"/>
      <c r="D42" s="64"/>
      <c r="E42" s="21" t="str">
        <f xml:space="preserve"> LEFT($E$41, LEN($E$41) - 3 )</f>
        <v xml:space="preserve">Supply Chain Finance interest </v>
      </c>
      <c r="F42" s="21"/>
      <c r="G42" s="21" t="str">
        <f xml:space="preserve"> G$41</f>
        <v>GBP</v>
      </c>
      <c r="H42" s="3">
        <f t="shared" ca="1" si="14"/>
        <v>0</v>
      </c>
      <c r="I42" s="21"/>
      <c r="J42" s="3">
        <f t="shared" ref="J42:BQ42" si="16" xml:space="preserve"> -1 * J41</f>
        <v>0</v>
      </c>
      <c r="K42" s="3">
        <f t="shared" ca="1" si="16"/>
        <v>0</v>
      </c>
      <c r="L42" s="3">
        <f t="shared" ca="1" si="16"/>
        <v>0</v>
      </c>
      <c r="M42" s="3">
        <f t="shared" ca="1" si="16"/>
        <v>0</v>
      </c>
      <c r="N42" s="3">
        <f t="shared" ca="1" si="16"/>
        <v>0</v>
      </c>
      <c r="O42" s="3">
        <f t="shared" ca="1" si="16"/>
        <v>0</v>
      </c>
      <c r="P42" s="3">
        <f t="shared" ca="1" si="16"/>
        <v>0</v>
      </c>
      <c r="Q42" s="3">
        <f t="shared" ca="1" si="16"/>
        <v>0</v>
      </c>
      <c r="R42" s="3">
        <f t="shared" ca="1" si="16"/>
        <v>0</v>
      </c>
      <c r="S42" s="3">
        <f t="shared" ca="1" si="16"/>
        <v>0</v>
      </c>
      <c r="T42" s="3">
        <f t="shared" ca="1" si="16"/>
        <v>0</v>
      </c>
      <c r="U42" s="3">
        <f t="shared" ca="1" si="16"/>
        <v>0</v>
      </c>
      <c r="V42" s="3">
        <f t="shared" ca="1" si="16"/>
        <v>0</v>
      </c>
      <c r="W42" s="3">
        <f t="shared" ca="1" si="16"/>
        <v>0</v>
      </c>
      <c r="X42" s="3">
        <f t="shared" ca="1" si="16"/>
        <v>0</v>
      </c>
      <c r="Y42" s="3">
        <f t="shared" ca="1" si="16"/>
        <v>0</v>
      </c>
      <c r="Z42" s="3">
        <f t="shared" ca="1" si="16"/>
        <v>0</v>
      </c>
      <c r="AA42" s="3">
        <f t="shared" ca="1" si="16"/>
        <v>0</v>
      </c>
      <c r="AB42" s="3">
        <f t="shared" ca="1" si="16"/>
        <v>0</v>
      </c>
      <c r="AC42" s="3">
        <f t="shared" ca="1" si="16"/>
        <v>0</v>
      </c>
      <c r="AD42" s="3">
        <f t="shared" ca="1" si="16"/>
        <v>0</v>
      </c>
      <c r="AE42" s="3">
        <f t="shared" ca="1" si="16"/>
        <v>0</v>
      </c>
      <c r="AF42" s="3">
        <f t="shared" ca="1" si="16"/>
        <v>0</v>
      </c>
      <c r="AG42" s="3">
        <f t="shared" ca="1" si="16"/>
        <v>0</v>
      </c>
      <c r="AH42" s="3">
        <f t="shared" ca="1" si="16"/>
        <v>0</v>
      </c>
      <c r="AI42" s="3">
        <f t="shared" ca="1" si="16"/>
        <v>0</v>
      </c>
      <c r="AJ42" s="3">
        <f t="shared" ca="1" si="16"/>
        <v>0</v>
      </c>
      <c r="AK42" s="3">
        <f t="shared" ca="1" si="16"/>
        <v>0</v>
      </c>
      <c r="AL42" s="3">
        <f t="shared" ca="1" si="16"/>
        <v>0</v>
      </c>
      <c r="AM42" s="3">
        <f t="shared" ca="1" si="16"/>
        <v>0</v>
      </c>
      <c r="AN42" s="3">
        <f t="shared" ca="1" si="16"/>
        <v>0</v>
      </c>
      <c r="AO42" s="3">
        <f t="shared" ca="1" si="16"/>
        <v>0</v>
      </c>
      <c r="AP42" s="3">
        <f t="shared" ca="1" si="16"/>
        <v>0</v>
      </c>
      <c r="AQ42" s="3">
        <f t="shared" ca="1" si="16"/>
        <v>0</v>
      </c>
      <c r="AR42" s="3">
        <f t="shared" ca="1" si="16"/>
        <v>0</v>
      </c>
      <c r="AS42" s="3">
        <f t="shared" ca="1" si="16"/>
        <v>0</v>
      </c>
      <c r="AT42" s="3">
        <f t="shared" ca="1" si="16"/>
        <v>0</v>
      </c>
      <c r="AU42" s="3">
        <f t="shared" ca="1" si="16"/>
        <v>0</v>
      </c>
      <c r="AV42" s="3">
        <f t="shared" ca="1" si="16"/>
        <v>0</v>
      </c>
      <c r="AW42" s="3">
        <f t="shared" ca="1" si="16"/>
        <v>0</v>
      </c>
      <c r="AX42" s="3">
        <f t="shared" ca="1" si="16"/>
        <v>0</v>
      </c>
      <c r="AY42" s="3">
        <f t="shared" ca="1" si="16"/>
        <v>0</v>
      </c>
      <c r="AZ42" s="3">
        <f t="shared" ca="1" si="16"/>
        <v>0</v>
      </c>
      <c r="BA42" s="3">
        <f t="shared" ca="1" si="16"/>
        <v>0</v>
      </c>
      <c r="BB42" s="3">
        <f t="shared" ca="1" si="16"/>
        <v>0</v>
      </c>
      <c r="BC42" s="3">
        <f t="shared" ca="1" si="16"/>
        <v>0</v>
      </c>
      <c r="BD42" s="3">
        <f t="shared" ca="1" si="16"/>
        <v>0</v>
      </c>
      <c r="BE42" s="3">
        <f t="shared" ca="1" si="16"/>
        <v>0</v>
      </c>
      <c r="BF42" s="3">
        <f t="shared" ca="1" si="16"/>
        <v>0</v>
      </c>
      <c r="BG42" s="3">
        <f t="shared" ca="1" si="16"/>
        <v>0</v>
      </c>
      <c r="BH42" s="3">
        <f t="shared" ca="1" si="16"/>
        <v>0</v>
      </c>
      <c r="BI42" s="3">
        <f t="shared" ca="1" si="16"/>
        <v>0</v>
      </c>
      <c r="BJ42" s="3">
        <f t="shared" ca="1" si="16"/>
        <v>0</v>
      </c>
      <c r="BK42" s="3">
        <f t="shared" ca="1" si="16"/>
        <v>0</v>
      </c>
      <c r="BL42" s="3">
        <f t="shared" ca="1" si="16"/>
        <v>0</v>
      </c>
      <c r="BM42" s="3">
        <f t="shared" ca="1" si="16"/>
        <v>0</v>
      </c>
      <c r="BN42" s="3">
        <f t="shared" ca="1" si="16"/>
        <v>0</v>
      </c>
      <c r="BO42" s="3">
        <f t="shared" ca="1" si="16"/>
        <v>0</v>
      </c>
      <c r="BP42" s="3">
        <f t="shared" ca="1" si="16"/>
        <v>0</v>
      </c>
      <c r="BQ42" s="3">
        <f t="shared" ca="1" si="16"/>
        <v>0</v>
      </c>
    </row>
    <row r="45" spans="1:69">
      <c r="B45" s="27" t="s">
        <v>197</v>
      </c>
    </row>
    <row r="46" spans="1:69" outlineLevel="1">
      <c r="E46" s="2" t="str">
        <f t="shared" ref="E46:BQ46" si="17" xml:space="preserve">  E$41</f>
        <v>Supply Chain Finance interest POS</v>
      </c>
      <c r="F46" s="2">
        <f t="shared" si="17"/>
        <v>0</v>
      </c>
      <c r="G46" s="2" t="str">
        <f t="shared" si="17"/>
        <v>GBP</v>
      </c>
      <c r="H46" s="2">
        <f t="shared" ca="1" si="17"/>
        <v>0</v>
      </c>
      <c r="I46" s="2">
        <f t="shared" si="17"/>
        <v>0</v>
      </c>
      <c r="J46" s="2">
        <f t="shared" si="17"/>
        <v>0</v>
      </c>
      <c r="K46" s="2">
        <f t="shared" ca="1" si="17"/>
        <v>0</v>
      </c>
      <c r="L46" s="2">
        <f t="shared" ca="1" si="17"/>
        <v>0</v>
      </c>
      <c r="M46" s="2">
        <f t="shared" ca="1" si="17"/>
        <v>0</v>
      </c>
      <c r="N46" s="2">
        <f t="shared" ca="1" si="17"/>
        <v>0</v>
      </c>
      <c r="O46" s="2">
        <f t="shared" ca="1" si="17"/>
        <v>0</v>
      </c>
      <c r="P46" s="2">
        <f t="shared" ca="1" si="17"/>
        <v>0</v>
      </c>
      <c r="Q46" s="2">
        <f t="shared" ca="1" si="17"/>
        <v>0</v>
      </c>
      <c r="R46" s="2">
        <f t="shared" ca="1" si="17"/>
        <v>0</v>
      </c>
      <c r="S46" s="2">
        <f t="shared" ca="1" si="17"/>
        <v>0</v>
      </c>
      <c r="T46" s="2">
        <f t="shared" ca="1" si="17"/>
        <v>0</v>
      </c>
      <c r="U46" s="2">
        <f t="shared" ca="1" si="17"/>
        <v>0</v>
      </c>
      <c r="V46" s="2">
        <f t="shared" ca="1" si="17"/>
        <v>0</v>
      </c>
      <c r="W46" s="2">
        <f t="shared" ca="1" si="17"/>
        <v>0</v>
      </c>
      <c r="X46" s="2">
        <f t="shared" ca="1" si="17"/>
        <v>0</v>
      </c>
      <c r="Y46" s="2">
        <f t="shared" ca="1" si="17"/>
        <v>0</v>
      </c>
      <c r="Z46" s="2">
        <f t="shared" ca="1" si="17"/>
        <v>0</v>
      </c>
      <c r="AA46" s="2">
        <f t="shared" ca="1" si="17"/>
        <v>0</v>
      </c>
      <c r="AB46" s="2">
        <f t="shared" ca="1" si="17"/>
        <v>0</v>
      </c>
      <c r="AC46" s="2">
        <f t="shared" ca="1" si="17"/>
        <v>0</v>
      </c>
      <c r="AD46" s="2">
        <f t="shared" ca="1" si="17"/>
        <v>0</v>
      </c>
      <c r="AE46" s="2">
        <f t="shared" ca="1" si="17"/>
        <v>0</v>
      </c>
      <c r="AF46" s="2">
        <f t="shared" ca="1" si="17"/>
        <v>0</v>
      </c>
      <c r="AG46" s="2">
        <f t="shared" ca="1" si="17"/>
        <v>0</v>
      </c>
      <c r="AH46" s="2">
        <f t="shared" ca="1" si="17"/>
        <v>0</v>
      </c>
      <c r="AI46" s="2">
        <f t="shared" ca="1" si="17"/>
        <v>0</v>
      </c>
      <c r="AJ46" s="2">
        <f t="shared" ca="1" si="17"/>
        <v>0</v>
      </c>
      <c r="AK46" s="2">
        <f t="shared" ca="1" si="17"/>
        <v>0</v>
      </c>
      <c r="AL46" s="2">
        <f t="shared" ca="1" si="17"/>
        <v>0</v>
      </c>
      <c r="AM46" s="2">
        <f t="shared" ca="1" si="17"/>
        <v>0</v>
      </c>
      <c r="AN46" s="2">
        <f t="shared" ca="1" si="17"/>
        <v>0</v>
      </c>
      <c r="AO46" s="2">
        <f t="shared" ca="1" si="17"/>
        <v>0</v>
      </c>
      <c r="AP46" s="2">
        <f t="shared" ca="1" si="17"/>
        <v>0</v>
      </c>
      <c r="AQ46" s="2">
        <f t="shared" ca="1" si="17"/>
        <v>0</v>
      </c>
      <c r="AR46" s="2">
        <f t="shared" ca="1" si="17"/>
        <v>0</v>
      </c>
      <c r="AS46" s="2">
        <f t="shared" ca="1" si="17"/>
        <v>0</v>
      </c>
      <c r="AT46" s="2">
        <f t="shared" ca="1" si="17"/>
        <v>0</v>
      </c>
      <c r="AU46" s="2">
        <f t="shared" ca="1" si="17"/>
        <v>0</v>
      </c>
      <c r="AV46" s="2">
        <f t="shared" ca="1" si="17"/>
        <v>0</v>
      </c>
      <c r="AW46" s="2">
        <f t="shared" ca="1" si="17"/>
        <v>0</v>
      </c>
      <c r="AX46" s="2">
        <f t="shared" ca="1" si="17"/>
        <v>0</v>
      </c>
      <c r="AY46" s="2">
        <f t="shared" ca="1" si="17"/>
        <v>0</v>
      </c>
      <c r="AZ46" s="2">
        <f t="shared" ca="1" si="17"/>
        <v>0</v>
      </c>
      <c r="BA46" s="2">
        <f t="shared" ca="1" si="17"/>
        <v>0</v>
      </c>
      <c r="BB46" s="2">
        <f t="shared" ca="1" si="17"/>
        <v>0</v>
      </c>
      <c r="BC46" s="2">
        <f t="shared" ca="1" si="17"/>
        <v>0</v>
      </c>
      <c r="BD46" s="2">
        <f t="shared" ca="1" si="17"/>
        <v>0</v>
      </c>
      <c r="BE46" s="2">
        <f t="shared" ca="1" si="17"/>
        <v>0</v>
      </c>
      <c r="BF46" s="2">
        <f t="shared" ca="1" si="17"/>
        <v>0</v>
      </c>
      <c r="BG46" s="2">
        <f t="shared" ca="1" si="17"/>
        <v>0</v>
      </c>
      <c r="BH46" s="2">
        <f t="shared" ca="1" si="17"/>
        <v>0</v>
      </c>
      <c r="BI46" s="2">
        <f t="shared" ca="1" si="17"/>
        <v>0</v>
      </c>
      <c r="BJ46" s="2">
        <f t="shared" ca="1" si="17"/>
        <v>0</v>
      </c>
      <c r="BK46" s="2">
        <f t="shared" ca="1" si="17"/>
        <v>0</v>
      </c>
      <c r="BL46" s="2">
        <f t="shared" ca="1" si="17"/>
        <v>0</v>
      </c>
      <c r="BM46" s="2">
        <f t="shared" ca="1" si="17"/>
        <v>0</v>
      </c>
      <c r="BN46" s="2">
        <f t="shared" ca="1" si="17"/>
        <v>0</v>
      </c>
      <c r="BO46" s="2">
        <f t="shared" ca="1" si="17"/>
        <v>0</v>
      </c>
      <c r="BP46" s="2">
        <f t="shared" ca="1" si="17"/>
        <v>0</v>
      </c>
      <c r="BQ46" s="2">
        <f t="shared" ca="1" si="17"/>
        <v>0</v>
      </c>
    </row>
    <row r="47" spans="1:69" outlineLevel="1">
      <c r="E47" s="46" t="s">
        <v>281</v>
      </c>
      <c r="G47" s="46" t="s">
        <v>252</v>
      </c>
      <c r="H47" s="2">
        <f t="shared" ref="H47:H48" ca="1" si="18" xml:space="preserve"> SUM( J47:BQ47 )</f>
        <v>0</v>
      </c>
      <c r="J47" s="2">
        <f t="shared" ref="J47:BQ47" si="19" xml:space="preserve">  J46</f>
        <v>0</v>
      </c>
      <c r="K47" s="2">
        <f t="shared" ca="1" si="19"/>
        <v>0</v>
      </c>
      <c r="L47" s="2">
        <f t="shared" ca="1" si="19"/>
        <v>0</v>
      </c>
      <c r="M47" s="2">
        <f t="shared" ca="1" si="19"/>
        <v>0</v>
      </c>
      <c r="N47" s="2">
        <f t="shared" ca="1" si="19"/>
        <v>0</v>
      </c>
      <c r="O47" s="2">
        <f t="shared" ca="1" si="19"/>
        <v>0</v>
      </c>
      <c r="P47" s="2">
        <f t="shared" ca="1" si="19"/>
        <v>0</v>
      </c>
      <c r="Q47" s="2">
        <f t="shared" ca="1" si="19"/>
        <v>0</v>
      </c>
      <c r="R47" s="2">
        <f t="shared" ca="1" si="19"/>
        <v>0</v>
      </c>
      <c r="S47" s="2">
        <f t="shared" ca="1" si="19"/>
        <v>0</v>
      </c>
      <c r="T47" s="2">
        <f t="shared" ca="1" si="19"/>
        <v>0</v>
      </c>
      <c r="U47" s="2">
        <f t="shared" ca="1" si="19"/>
        <v>0</v>
      </c>
      <c r="V47" s="2">
        <f t="shared" ca="1" si="19"/>
        <v>0</v>
      </c>
      <c r="W47" s="2">
        <f t="shared" ca="1" si="19"/>
        <v>0</v>
      </c>
      <c r="X47" s="2">
        <f t="shared" ca="1" si="19"/>
        <v>0</v>
      </c>
      <c r="Y47" s="2">
        <f t="shared" ca="1" si="19"/>
        <v>0</v>
      </c>
      <c r="Z47" s="2">
        <f t="shared" ca="1" si="19"/>
        <v>0</v>
      </c>
      <c r="AA47" s="2">
        <f t="shared" ca="1" si="19"/>
        <v>0</v>
      </c>
      <c r="AB47" s="2">
        <f t="shared" ca="1" si="19"/>
        <v>0</v>
      </c>
      <c r="AC47" s="2">
        <f t="shared" ca="1" si="19"/>
        <v>0</v>
      </c>
      <c r="AD47" s="2">
        <f t="shared" ca="1" si="19"/>
        <v>0</v>
      </c>
      <c r="AE47" s="2">
        <f t="shared" ca="1" si="19"/>
        <v>0</v>
      </c>
      <c r="AF47" s="2">
        <f t="shared" ca="1" si="19"/>
        <v>0</v>
      </c>
      <c r="AG47" s="2">
        <f t="shared" ca="1" si="19"/>
        <v>0</v>
      </c>
      <c r="AH47" s="2">
        <f t="shared" ca="1" si="19"/>
        <v>0</v>
      </c>
      <c r="AI47" s="2">
        <f t="shared" ca="1" si="19"/>
        <v>0</v>
      </c>
      <c r="AJ47" s="2">
        <f t="shared" ca="1" si="19"/>
        <v>0</v>
      </c>
      <c r="AK47" s="2">
        <f t="shared" ca="1" si="19"/>
        <v>0</v>
      </c>
      <c r="AL47" s="2">
        <f t="shared" ca="1" si="19"/>
        <v>0</v>
      </c>
      <c r="AM47" s="2">
        <f t="shared" ca="1" si="19"/>
        <v>0</v>
      </c>
      <c r="AN47" s="2">
        <f t="shared" ca="1" si="19"/>
        <v>0</v>
      </c>
      <c r="AO47" s="2">
        <f t="shared" ca="1" si="19"/>
        <v>0</v>
      </c>
      <c r="AP47" s="2">
        <f t="shared" ca="1" si="19"/>
        <v>0</v>
      </c>
      <c r="AQ47" s="2">
        <f t="shared" ca="1" si="19"/>
        <v>0</v>
      </c>
      <c r="AR47" s="2">
        <f t="shared" ca="1" si="19"/>
        <v>0</v>
      </c>
      <c r="AS47" s="2">
        <f t="shared" ca="1" si="19"/>
        <v>0</v>
      </c>
      <c r="AT47" s="2">
        <f t="shared" ca="1" si="19"/>
        <v>0</v>
      </c>
      <c r="AU47" s="2">
        <f t="shared" ca="1" si="19"/>
        <v>0</v>
      </c>
      <c r="AV47" s="2">
        <f t="shared" ca="1" si="19"/>
        <v>0</v>
      </c>
      <c r="AW47" s="2">
        <f t="shared" ca="1" si="19"/>
        <v>0</v>
      </c>
      <c r="AX47" s="2">
        <f t="shared" ca="1" si="19"/>
        <v>0</v>
      </c>
      <c r="AY47" s="2">
        <f t="shared" ca="1" si="19"/>
        <v>0</v>
      </c>
      <c r="AZ47" s="2">
        <f t="shared" ca="1" si="19"/>
        <v>0</v>
      </c>
      <c r="BA47" s="2">
        <f t="shared" ca="1" si="19"/>
        <v>0</v>
      </c>
      <c r="BB47" s="2">
        <f t="shared" ca="1" si="19"/>
        <v>0</v>
      </c>
      <c r="BC47" s="2">
        <f t="shared" ca="1" si="19"/>
        <v>0</v>
      </c>
      <c r="BD47" s="2">
        <f t="shared" ca="1" si="19"/>
        <v>0</v>
      </c>
      <c r="BE47" s="2">
        <f t="shared" ca="1" si="19"/>
        <v>0</v>
      </c>
      <c r="BF47" s="2">
        <f t="shared" ca="1" si="19"/>
        <v>0</v>
      </c>
      <c r="BG47" s="2">
        <f t="shared" ca="1" si="19"/>
        <v>0</v>
      </c>
      <c r="BH47" s="2">
        <f t="shared" ca="1" si="19"/>
        <v>0</v>
      </c>
      <c r="BI47" s="2">
        <f t="shared" ca="1" si="19"/>
        <v>0</v>
      </c>
      <c r="BJ47" s="2">
        <f t="shared" ca="1" si="19"/>
        <v>0</v>
      </c>
      <c r="BK47" s="2">
        <f t="shared" ca="1" si="19"/>
        <v>0</v>
      </c>
      <c r="BL47" s="2">
        <f t="shared" ca="1" si="19"/>
        <v>0</v>
      </c>
      <c r="BM47" s="2">
        <f t="shared" ca="1" si="19"/>
        <v>0</v>
      </c>
      <c r="BN47" s="2">
        <f t="shared" ca="1" si="19"/>
        <v>0</v>
      </c>
      <c r="BO47" s="2">
        <f t="shared" ca="1" si="19"/>
        <v>0</v>
      </c>
      <c r="BP47" s="2">
        <f t="shared" ca="1" si="19"/>
        <v>0</v>
      </c>
      <c r="BQ47" s="2">
        <f t="shared" ca="1" si="19"/>
        <v>0</v>
      </c>
    </row>
    <row r="48" spans="1:69" outlineLevel="1">
      <c r="A48" s="36"/>
      <c r="B48" s="36"/>
      <c r="C48" s="65"/>
      <c r="D48" s="64"/>
      <c r="E48" s="21" t="str">
        <f xml:space="preserve"> LEFT($E$47, LEN($E$47) - 3 )</f>
        <v xml:space="preserve">Supply Chain Finance interest paid </v>
      </c>
      <c r="F48" s="21"/>
      <c r="G48" s="21" t="str">
        <f xml:space="preserve"> G$47</f>
        <v>GBP</v>
      </c>
      <c r="H48" s="3">
        <f t="shared" ca="1" si="18"/>
        <v>0</v>
      </c>
      <c r="I48" s="21"/>
      <c r="J48" s="3">
        <f t="shared" ref="J48:BQ48" si="20" xml:space="preserve"> -1 * J47</f>
        <v>0</v>
      </c>
      <c r="K48" s="3">
        <f t="shared" ca="1" si="20"/>
        <v>0</v>
      </c>
      <c r="L48" s="3">
        <f t="shared" ca="1" si="20"/>
        <v>0</v>
      </c>
      <c r="M48" s="3">
        <f t="shared" ca="1" si="20"/>
        <v>0</v>
      </c>
      <c r="N48" s="3">
        <f t="shared" ca="1" si="20"/>
        <v>0</v>
      </c>
      <c r="O48" s="3">
        <f t="shared" ca="1" si="20"/>
        <v>0</v>
      </c>
      <c r="P48" s="3">
        <f t="shared" ca="1" si="20"/>
        <v>0</v>
      </c>
      <c r="Q48" s="3">
        <f t="shared" ca="1" si="20"/>
        <v>0</v>
      </c>
      <c r="R48" s="3">
        <f t="shared" ca="1" si="20"/>
        <v>0</v>
      </c>
      <c r="S48" s="3">
        <f t="shared" ca="1" si="20"/>
        <v>0</v>
      </c>
      <c r="T48" s="3">
        <f t="shared" ca="1" si="20"/>
        <v>0</v>
      </c>
      <c r="U48" s="3">
        <f t="shared" ca="1" si="20"/>
        <v>0</v>
      </c>
      <c r="V48" s="3">
        <f t="shared" ca="1" si="20"/>
        <v>0</v>
      </c>
      <c r="W48" s="3">
        <f t="shared" ca="1" si="20"/>
        <v>0</v>
      </c>
      <c r="X48" s="3">
        <f t="shared" ca="1" si="20"/>
        <v>0</v>
      </c>
      <c r="Y48" s="3">
        <f t="shared" ca="1" si="20"/>
        <v>0</v>
      </c>
      <c r="Z48" s="3">
        <f t="shared" ca="1" si="20"/>
        <v>0</v>
      </c>
      <c r="AA48" s="3">
        <f t="shared" ca="1" si="20"/>
        <v>0</v>
      </c>
      <c r="AB48" s="3">
        <f t="shared" ca="1" si="20"/>
        <v>0</v>
      </c>
      <c r="AC48" s="3">
        <f t="shared" ca="1" si="20"/>
        <v>0</v>
      </c>
      <c r="AD48" s="3">
        <f t="shared" ca="1" si="20"/>
        <v>0</v>
      </c>
      <c r="AE48" s="3">
        <f t="shared" ca="1" si="20"/>
        <v>0</v>
      </c>
      <c r="AF48" s="3">
        <f t="shared" ca="1" si="20"/>
        <v>0</v>
      </c>
      <c r="AG48" s="3">
        <f t="shared" ca="1" si="20"/>
        <v>0</v>
      </c>
      <c r="AH48" s="3">
        <f t="shared" ca="1" si="20"/>
        <v>0</v>
      </c>
      <c r="AI48" s="3">
        <f t="shared" ca="1" si="20"/>
        <v>0</v>
      </c>
      <c r="AJ48" s="3">
        <f t="shared" ca="1" si="20"/>
        <v>0</v>
      </c>
      <c r="AK48" s="3">
        <f t="shared" ca="1" si="20"/>
        <v>0</v>
      </c>
      <c r="AL48" s="3">
        <f t="shared" ca="1" si="20"/>
        <v>0</v>
      </c>
      <c r="AM48" s="3">
        <f t="shared" ca="1" si="20"/>
        <v>0</v>
      </c>
      <c r="AN48" s="3">
        <f t="shared" ca="1" si="20"/>
        <v>0</v>
      </c>
      <c r="AO48" s="3">
        <f t="shared" ca="1" si="20"/>
        <v>0</v>
      </c>
      <c r="AP48" s="3">
        <f t="shared" ca="1" si="20"/>
        <v>0</v>
      </c>
      <c r="AQ48" s="3">
        <f t="shared" ca="1" si="20"/>
        <v>0</v>
      </c>
      <c r="AR48" s="3">
        <f t="shared" ca="1" si="20"/>
        <v>0</v>
      </c>
      <c r="AS48" s="3">
        <f t="shared" ca="1" si="20"/>
        <v>0</v>
      </c>
      <c r="AT48" s="3">
        <f t="shared" ca="1" si="20"/>
        <v>0</v>
      </c>
      <c r="AU48" s="3">
        <f t="shared" ca="1" si="20"/>
        <v>0</v>
      </c>
      <c r="AV48" s="3">
        <f t="shared" ca="1" si="20"/>
        <v>0</v>
      </c>
      <c r="AW48" s="3">
        <f t="shared" ca="1" si="20"/>
        <v>0</v>
      </c>
      <c r="AX48" s="3">
        <f t="shared" ca="1" si="20"/>
        <v>0</v>
      </c>
      <c r="AY48" s="3">
        <f t="shared" ca="1" si="20"/>
        <v>0</v>
      </c>
      <c r="AZ48" s="3">
        <f t="shared" ca="1" si="20"/>
        <v>0</v>
      </c>
      <c r="BA48" s="3">
        <f t="shared" ca="1" si="20"/>
        <v>0</v>
      </c>
      <c r="BB48" s="3">
        <f t="shared" ca="1" si="20"/>
        <v>0</v>
      </c>
      <c r="BC48" s="3">
        <f t="shared" ca="1" si="20"/>
        <v>0</v>
      </c>
      <c r="BD48" s="3">
        <f t="shared" ca="1" si="20"/>
        <v>0</v>
      </c>
      <c r="BE48" s="3">
        <f t="shared" ca="1" si="20"/>
        <v>0</v>
      </c>
      <c r="BF48" s="3">
        <f t="shared" ca="1" si="20"/>
        <v>0</v>
      </c>
      <c r="BG48" s="3">
        <f t="shared" ca="1" si="20"/>
        <v>0</v>
      </c>
      <c r="BH48" s="3">
        <f t="shared" ca="1" si="20"/>
        <v>0</v>
      </c>
      <c r="BI48" s="3">
        <f t="shared" ca="1" si="20"/>
        <v>0</v>
      </c>
      <c r="BJ48" s="3">
        <f t="shared" ca="1" si="20"/>
        <v>0</v>
      </c>
      <c r="BK48" s="3">
        <f t="shared" ca="1" si="20"/>
        <v>0</v>
      </c>
      <c r="BL48" s="3">
        <f t="shared" ca="1" si="20"/>
        <v>0</v>
      </c>
      <c r="BM48" s="3">
        <f t="shared" ca="1" si="20"/>
        <v>0</v>
      </c>
      <c r="BN48" s="3">
        <f t="shared" ca="1" si="20"/>
        <v>0</v>
      </c>
      <c r="BO48" s="3">
        <f t="shared" ca="1" si="20"/>
        <v>0</v>
      </c>
      <c r="BP48" s="3">
        <f t="shared" ca="1" si="20"/>
        <v>0</v>
      </c>
      <c r="BQ48" s="3">
        <f t="shared" ca="1" si="20"/>
        <v>0</v>
      </c>
    </row>
    <row r="51" spans="1:13">
      <c r="B51" s="27" t="s">
        <v>219</v>
      </c>
    </row>
    <row r="52" spans="1:13" outlineLevel="1">
      <c r="A52" s="18"/>
      <c r="B52" s="18"/>
      <c r="C52" s="30"/>
      <c r="D52" s="31"/>
      <c r="E52" s="44" t="str">
        <f xml:space="preserve">  InpC!E$69</f>
        <v>All in Supply Chain Finance annual interest rate</v>
      </c>
      <c r="F52" s="44">
        <f xml:space="preserve">  InpC!F$69</f>
        <v>0.08</v>
      </c>
      <c r="G52" s="44" t="str">
        <f xml:space="preserve">  InpC!G$69</f>
        <v>%</v>
      </c>
      <c r="M52" s="58"/>
    </row>
    <row r="53" spans="1:13" outlineLevel="1">
      <c r="A53" s="18"/>
      <c r="B53" s="18"/>
      <c r="C53" s="30"/>
      <c r="D53" s="31"/>
      <c r="E53" s="4" t="str">
        <f xml:space="preserve">  InpC!E$56</f>
        <v>debt day count convention</v>
      </c>
      <c r="F53" s="4">
        <f xml:space="preserve">  InpC!F$56</f>
        <v>360</v>
      </c>
      <c r="G53" s="4" t="str">
        <f xml:space="preserve">  InpC!G$56</f>
        <v>day</v>
      </c>
      <c r="M53" s="2"/>
    </row>
    <row r="54" spans="1:13" outlineLevel="1">
      <c r="A54" s="18"/>
      <c r="B54" s="18"/>
      <c r="C54" s="30"/>
      <c r="D54" s="31"/>
      <c r="E54" s="4" t="str">
        <f xml:space="preserve">  InpC!E$55</f>
        <v>Days in period</v>
      </c>
      <c r="F54" s="4">
        <f xml:space="preserve">  InpC!F$55</f>
        <v>30</v>
      </c>
      <c r="G54" s="4" t="str">
        <f xml:space="preserve">  InpC!G$55</f>
        <v>day</v>
      </c>
      <c r="M54" s="2"/>
    </row>
    <row r="55" spans="1:13" outlineLevel="1">
      <c r="E55" s="46" t="s">
        <v>219</v>
      </c>
      <c r="F55" s="58">
        <f xml:space="preserve">  $F52 / $F53 * $F54</f>
        <v>6.6666666666666671E-3</v>
      </c>
      <c r="G55" s="46" t="s">
        <v>205</v>
      </c>
      <c r="M55" s="58"/>
    </row>
    <row r="58" spans="1:13">
      <c r="B58" s="27" t="s">
        <v>265</v>
      </c>
    </row>
  </sheetData>
  <conditionalFormatting sqref="F2:F3">
    <cfRule type="cellIs" dxfId="189" priority="1" stopIfTrue="1" operator="notEqual">
      <formula>0</formula>
    </cfRule>
    <cfRule type="cellIs" dxfId="188" priority="2" stopIfTrue="1" operator="equal">
      <formula>""</formula>
    </cfRule>
  </conditionalFormatting>
  <conditionalFormatting sqref="J3:BQ3">
    <cfRule type="cellIs" dxfId="187" priority="8" operator="equal">
      <formula>"PPA ext."</formula>
    </cfRule>
    <cfRule type="cellIs" dxfId="186" priority="9" operator="equal">
      <formula>"Delay"</formula>
    </cfRule>
    <cfRule type="cellIs" dxfId="185" priority="10" operator="equal">
      <formula>"Fin Close"</formula>
    </cfRule>
    <cfRule type="cellIs" dxfId="184" priority="11" stopIfTrue="1" operator="equal">
      <formula>"Construction"</formula>
    </cfRule>
    <cfRule type="cellIs" dxfId="183"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BQ58"/>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2.08984375" style="46" bestFit="1" customWidth="1"/>
    <col min="6" max="6" width="20.54296875" style="46" bestFit="1" customWidth="1"/>
    <col min="7" max="7" width="13.1796875" style="46" bestFit="1" customWidth="1"/>
    <col min="8" max="8" width="12.453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Asset Finance</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134</v>
      </c>
    </row>
    <row r="9" spans="1:69" s="85" customFormat="1">
      <c r="A9" s="59"/>
      <c r="B9" s="59"/>
      <c r="C9" s="86"/>
      <c r="D9" s="84"/>
      <c r="E9" s="40" t="str">
        <f xml:space="preserve">  InpC!E$78</f>
        <v>Opening Asset Finance balance</v>
      </c>
      <c r="F9" s="40">
        <f xml:space="preserve">  InpC!F$78</f>
        <v>0</v>
      </c>
      <c r="G9" s="40" t="str">
        <f xml:space="preserve">  InpC!G$78</f>
        <v>GBP</v>
      </c>
      <c r="M9" s="87"/>
    </row>
    <row r="10" spans="1:69">
      <c r="A10" s="18"/>
      <c r="B10" s="18"/>
      <c r="C10" s="30"/>
      <c r="D10" s="31"/>
      <c r="E10" s="10" t="str">
        <f xml:space="preserve">  Time!E$28</f>
        <v>Period number</v>
      </c>
      <c r="F10" s="10">
        <f xml:space="preserve">  Time!F$28</f>
        <v>0</v>
      </c>
      <c r="G10" s="10" t="str">
        <f xml:space="preserve">  Time!G$28</f>
        <v>Counter</v>
      </c>
      <c r="H10" s="10">
        <f xml:space="preserve">  Time!H$28</f>
        <v>0</v>
      </c>
      <c r="I10" s="10">
        <f xml:space="preserve">  Time!I$28</f>
        <v>0</v>
      </c>
      <c r="J10" s="10">
        <f xml:space="preserve">  Time!J$28</f>
        <v>1</v>
      </c>
      <c r="K10" s="10">
        <f xml:space="preserve">  Time!K$28</f>
        <v>2</v>
      </c>
      <c r="L10" s="10">
        <f xml:space="preserve">  Time!L$28</f>
        <v>3</v>
      </c>
      <c r="M10" s="10">
        <f xml:space="preserve">  Time!M$28</f>
        <v>4</v>
      </c>
      <c r="N10" s="10">
        <f xml:space="preserve">  Time!N$28</f>
        <v>5</v>
      </c>
      <c r="O10" s="10">
        <f xml:space="preserve">  Time!O$28</f>
        <v>6</v>
      </c>
      <c r="P10" s="10">
        <f xml:space="preserve">  Time!P$28</f>
        <v>7</v>
      </c>
      <c r="Q10" s="10">
        <f xml:space="preserve">  Time!Q$28</f>
        <v>8</v>
      </c>
      <c r="R10" s="10">
        <f xml:space="preserve">  Time!R$28</f>
        <v>9</v>
      </c>
      <c r="S10" s="10">
        <f xml:space="preserve">  Time!S$28</f>
        <v>10</v>
      </c>
      <c r="T10" s="10">
        <f xml:space="preserve">  Time!T$28</f>
        <v>11</v>
      </c>
      <c r="U10" s="10">
        <f xml:space="preserve">  Time!U$28</f>
        <v>12</v>
      </c>
      <c r="V10" s="10">
        <f xml:space="preserve">  Time!V$28</f>
        <v>13</v>
      </c>
      <c r="W10" s="10">
        <f xml:space="preserve">  Time!W$28</f>
        <v>14</v>
      </c>
      <c r="X10" s="10">
        <f xml:space="preserve">  Time!X$28</f>
        <v>15</v>
      </c>
      <c r="Y10" s="10">
        <f xml:space="preserve">  Time!Y$28</f>
        <v>16</v>
      </c>
      <c r="Z10" s="10">
        <f xml:space="preserve">  Time!Z$28</f>
        <v>17</v>
      </c>
      <c r="AA10" s="10">
        <f xml:space="preserve">  Time!AA$28</f>
        <v>18</v>
      </c>
      <c r="AB10" s="10">
        <f xml:space="preserve">  Time!AB$28</f>
        <v>19</v>
      </c>
      <c r="AC10" s="10">
        <f xml:space="preserve">  Time!AC$28</f>
        <v>20</v>
      </c>
      <c r="AD10" s="10">
        <f xml:space="preserve">  Time!AD$28</f>
        <v>21</v>
      </c>
      <c r="AE10" s="10">
        <f xml:space="preserve">  Time!AE$28</f>
        <v>22</v>
      </c>
      <c r="AF10" s="10">
        <f xml:space="preserve">  Time!AF$28</f>
        <v>23</v>
      </c>
      <c r="AG10" s="10">
        <f xml:space="preserve">  Time!AG$28</f>
        <v>24</v>
      </c>
      <c r="AH10" s="10">
        <f xml:space="preserve">  Time!AH$28</f>
        <v>25</v>
      </c>
      <c r="AI10" s="10">
        <f xml:space="preserve">  Time!AI$28</f>
        <v>26</v>
      </c>
      <c r="AJ10" s="10">
        <f xml:space="preserve">  Time!AJ$28</f>
        <v>27</v>
      </c>
      <c r="AK10" s="10">
        <f xml:space="preserve">  Time!AK$28</f>
        <v>28</v>
      </c>
      <c r="AL10" s="10">
        <f xml:space="preserve">  Time!AL$28</f>
        <v>29</v>
      </c>
      <c r="AM10" s="10">
        <f xml:space="preserve">  Time!AM$28</f>
        <v>30</v>
      </c>
      <c r="AN10" s="10">
        <f xml:space="preserve">  Time!AN$28</f>
        <v>31</v>
      </c>
      <c r="AO10" s="10">
        <f xml:space="preserve">  Time!AO$28</f>
        <v>32</v>
      </c>
      <c r="AP10" s="10">
        <f xml:space="preserve">  Time!AP$28</f>
        <v>33</v>
      </c>
      <c r="AQ10" s="10">
        <f xml:space="preserve">  Time!AQ$28</f>
        <v>34</v>
      </c>
      <c r="AR10" s="10">
        <f xml:space="preserve">  Time!AR$28</f>
        <v>35</v>
      </c>
      <c r="AS10" s="10">
        <f xml:space="preserve">  Time!AS$28</f>
        <v>36</v>
      </c>
      <c r="AT10" s="10">
        <f xml:space="preserve">  Time!AT$28</f>
        <v>37</v>
      </c>
      <c r="AU10" s="10">
        <f xml:space="preserve">  Time!AU$28</f>
        <v>38</v>
      </c>
      <c r="AV10" s="10">
        <f xml:space="preserve">  Time!AV$28</f>
        <v>39</v>
      </c>
      <c r="AW10" s="10">
        <f xml:space="preserve">  Time!AW$28</f>
        <v>40</v>
      </c>
      <c r="AX10" s="10">
        <f xml:space="preserve">  Time!AX$28</f>
        <v>41</v>
      </c>
      <c r="AY10" s="10">
        <f xml:space="preserve">  Time!AY$28</f>
        <v>42</v>
      </c>
      <c r="AZ10" s="10">
        <f xml:space="preserve">  Time!AZ$28</f>
        <v>43</v>
      </c>
      <c r="BA10" s="10">
        <f xml:space="preserve">  Time!BA$28</f>
        <v>44</v>
      </c>
      <c r="BB10" s="10">
        <f xml:space="preserve">  Time!BB$28</f>
        <v>45</v>
      </c>
      <c r="BC10" s="10">
        <f xml:space="preserve">  Time!BC$28</f>
        <v>46</v>
      </c>
      <c r="BD10" s="10">
        <f xml:space="preserve">  Time!BD$28</f>
        <v>47</v>
      </c>
      <c r="BE10" s="10">
        <f xml:space="preserve">  Time!BE$28</f>
        <v>48</v>
      </c>
      <c r="BF10" s="10">
        <f xml:space="preserve">  Time!BF$28</f>
        <v>49</v>
      </c>
      <c r="BG10" s="10">
        <f xml:space="preserve">  Time!BG$28</f>
        <v>50</v>
      </c>
      <c r="BH10" s="10">
        <f xml:space="preserve">  Time!BH$28</f>
        <v>51</v>
      </c>
      <c r="BI10" s="10">
        <f xml:space="preserve">  Time!BI$28</f>
        <v>52</v>
      </c>
      <c r="BJ10" s="10">
        <f xml:space="preserve">  Time!BJ$28</f>
        <v>53</v>
      </c>
      <c r="BK10" s="10">
        <f xml:space="preserve">  Time!BK$28</f>
        <v>54</v>
      </c>
      <c r="BL10" s="10">
        <f xml:space="preserve">  Time!BL$28</f>
        <v>55</v>
      </c>
      <c r="BM10" s="10">
        <f xml:space="preserve">  Time!BM$28</f>
        <v>56</v>
      </c>
      <c r="BN10" s="10">
        <f xml:space="preserve">  Time!BN$28</f>
        <v>57</v>
      </c>
      <c r="BO10" s="10">
        <f xml:space="preserve">  Time!BO$28</f>
        <v>58</v>
      </c>
      <c r="BP10" s="10">
        <f xml:space="preserve">  Time!BP$28</f>
        <v>59</v>
      </c>
      <c r="BQ10" s="10">
        <f xml:space="preserve">  Time!BQ$28</f>
        <v>60</v>
      </c>
    </row>
    <row r="11" spans="1:69">
      <c r="E11" s="46" t="s">
        <v>342</v>
      </c>
      <c r="G11" s="46" t="s">
        <v>252</v>
      </c>
      <c r="J11" s="2">
        <f t="shared" ref="J11:BQ11" si="0" xml:space="preserve">  I15</f>
        <v>0</v>
      </c>
      <c r="K11" s="2">
        <f t="shared" ca="1" si="0"/>
        <v>175000</v>
      </c>
      <c r="L11" s="2">
        <f t="shared" ca="1" si="0"/>
        <v>167708.33333333334</v>
      </c>
      <c r="M11" s="2">
        <f t="shared" ca="1" si="0"/>
        <v>160720.48611111112</v>
      </c>
      <c r="N11" s="2">
        <f t="shared" ca="1" si="0"/>
        <v>154023.79918981483</v>
      </c>
      <c r="O11" s="2">
        <f t="shared" ca="1" si="0"/>
        <v>147606.14089023921</v>
      </c>
      <c r="P11" s="2">
        <f t="shared" ca="1" si="0"/>
        <v>141455.88501981259</v>
      </c>
      <c r="Q11" s="2">
        <f t="shared" ca="1" si="0"/>
        <v>310561.88981065375</v>
      </c>
      <c r="R11" s="2">
        <f t="shared" ca="1" si="0"/>
        <v>297621.81106854317</v>
      </c>
      <c r="S11" s="2">
        <f t="shared" ca="1" si="0"/>
        <v>285220.90227402054</v>
      </c>
      <c r="T11" s="2">
        <f t="shared" ca="1" si="0"/>
        <v>273336.69801260304</v>
      </c>
      <c r="U11" s="2">
        <f t="shared" ca="1" si="0"/>
        <v>261947.66892874459</v>
      </c>
      <c r="V11" s="2">
        <f t="shared" ca="1" si="0"/>
        <v>251033.18272338025</v>
      </c>
      <c r="W11" s="2">
        <f t="shared" ca="1" si="0"/>
        <v>415573.46677657275</v>
      </c>
      <c r="X11" s="2">
        <f t="shared" ca="1" si="0"/>
        <v>398257.90566088224</v>
      </c>
      <c r="Y11" s="2">
        <f t="shared" ca="1" si="0"/>
        <v>381663.82625834551</v>
      </c>
      <c r="Z11" s="2">
        <f t="shared" ca="1" si="0"/>
        <v>365761.16683091444</v>
      </c>
      <c r="AA11" s="2">
        <f t="shared" ca="1" si="0"/>
        <v>525521.11821295973</v>
      </c>
      <c r="AB11" s="2">
        <f t="shared" ca="1" si="0"/>
        <v>503624.40495408641</v>
      </c>
      <c r="AC11" s="2">
        <f t="shared" ca="1" si="0"/>
        <v>482640.05474766612</v>
      </c>
      <c r="AD11" s="2">
        <f t="shared" ca="1" si="0"/>
        <v>462530.05246651336</v>
      </c>
      <c r="AE11" s="2">
        <f t="shared" ca="1" si="0"/>
        <v>618257.96694707533</v>
      </c>
      <c r="AF11" s="2">
        <f t="shared" ca="1" si="0"/>
        <v>592497.21832428058</v>
      </c>
      <c r="AG11" s="2">
        <f t="shared" ca="1" si="0"/>
        <v>567809.83422743552</v>
      </c>
      <c r="AH11" s="2">
        <f t="shared" ca="1" si="0"/>
        <v>719151.09113462572</v>
      </c>
      <c r="AI11" s="2">
        <f t="shared" ca="1" si="0"/>
        <v>689186.46233734966</v>
      </c>
      <c r="AJ11" s="2">
        <f t="shared" ca="1" si="0"/>
        <v>835470.35973996005</v>
      </c>
      <c r="AK11" s="2">
        <f t="shared" ca="1" si="0"/>
        <v>800659.09475079505</v>
      </c>
      <c r="AL11" s="2">
        <f t="shared" ca="1" si="0"/>
        <v>767298.29913617857</v>
      </c>
      <c r="AM11" s="2">
        <f t="shared" ca="1" si="0"/>
        <v>910327.53667217109</v>
      </c>
      <c r="AN11" s="2">
        <f t="shared" ca="1" si="0"/>
        <v>872397.22264416399</v>
      </c>
      <c r="AO11" s="2">
        <f t="shared" ca="1" si="0"/>
        <v>836047.33836732386</v>
      </c>
      <c r="AP11" s="2">
        <f t="shared" ca="1" si="0"/>
        <v>976212.03260201868</v>
      </c>
      <c r="AQ11" s="2">
        <f t="shared" ca="1" si="0"/>
        <v>935536.53124360123</v>
      </c>
      <c r="AR11" s="2">
        <f t="shared" ca="1" si="0"/>
        <v>1071555.8424417847</v>
      </c>
      <c r="AS11" s="2">
        <f t="shared" ca="1" si="0"/>
        <v>1026907.6823400436</v>
      </c>
      <c r="AT11" s="2">
        <f t="shared" ca="1" si="0"/>
        <v>1159119.8622425417</v>
      </c>
      <c r="AU11" s="2">
        <f t="shared" ca="1" si="0"/>
        <v>1285823.2013157692</v>
      </c>
      <c r="AV11" s="2">
        <f t="shared" ca="1" si="0"/>
        <v>1232247.2345942787</v>
      </c>
      <c r="AW11" s="2">
        <f t="shared" ca="1" si="0"/>
        <v>1355903.5998195172</v>
      </c>
      <c r="AX11" s="2">
        <f t="shared" ca="1" si="0"/>
        <v>1474407.616493704</v>
      </c>
      <c r="AY11" s="2">
        <f t="shared" ca="1" si="0"/>
        <v>1412973.9658064663</v>
      </c>
      <c r="AZ11" s="2">
        <f t="shared" ca="1" si="0"/>
        <v>1529100.0505645303</v>
      </c>
      <c r="BA11" s="2">
        <f t="shared" ca="1" si="0"/>
        <v>1640387.5484576749</v>
      </c>
      <c r="BB11" s="2">
        <f t="shared" ca="1" si="0"/>
        <v>1747038.0672719385</v>
      </c>
      <c r="BC11" s="2">
        <f t="shared" ca="1" si="0"/>
        <v>1849244.8144689412</v>
      </c>
      <c r="BD11" s="2">
        <f t="shared" ca="1" si="0"/>
        <v>1947192.9471994019</v>
      </c>
      <c r="BE11" s="2">
        <f t="shared" ca="1" si="0"/>
        <v>2041059.9077327601</v>
      </c>
      <c r="BF11" s="2">
        <f t="shared" ca="1" si="0"/>
        <v>2131015.7449105619</v>
      </c>
      <c r="BG11" s="2">
        <f t="shared" ca="1" si="0"/>
        <v>2217223.4222059553</v>
      </c>
      <c r="BH11" s="2">
        <f t="shared" ca="1" si="0"/>
        <v>2299839.1129473737</v>
      </c>
      <c r="BI11" s="2">
        <f t="shared" ca="1" si="0"/>
        <v>2379012.483241233</v>
      </c>
      <c r="BJ11" s="2">
        <f t="shared" ca="1" si="0"/>
        <v>2454886.9631061815</v>
      </c>
      <c r="BK11" s="2">
        <f t="shared" ca="1" si="0"/>
        <v>2527600.0063100904</v>
      </c>
      <c r="BL11" s="2">
        <f t="shared" ca="1" si="0"/>
        <v>2597283.3393805032</v>
      </c>
      <c r="BM11" s="2">
        <f t="shared" ca="1" si="0"/>
        <v>2664063.200239649</v>
      </c>
      <c r="BN11" s="2">
        <f t="shared" ca="1" si="0"/>
        <v>2728060.5668963306</v>
      </c>
      <c r="BO11" s="2">
        <f t="shared" ca="1" si="0"/>
        <v>2789391.3766089836</v>
      </c>
      <c r="BP11" s="2">
        <f t="shared" ca="1" si="0"/>
        <v>2848166.7359169428</v>
      </c>
      <c r="BQ11" s="2">
        <f t="shared" ca="1" si="0"/>
        <v>2904493.1219204036</v>
      </c>
    </row>
    <row r="12" spans="1:69">
      <c r="D12" s="88" t="s">
        <v>216</v>
      </c>
      <c r="E12" s="2" t="str">
        <f t="shared" ref="E12:BQ12" si="1" xml:space="preserve">  E$22</f>
        <v>Asset Finance drawdown</v>
      </c>
      <c r="F12" s="2">
        <f t="shared" si="1"/>
        <v>0</v>
      </c>
      <c r="G12" s="2" t="str">
        <f t="shared" si="1"/>
        <v>GBP</v>
      </c>
      <c r="H12" s="2">
        <f t="shared" ca="1" si="1"/>
        <v>5775000</v>
      </c>
      <c r="I12" s="2">
        <f t="shared" si="1"/>
        <v>0</v>
      </c>
      <c r="J12" s="2">
        <f t="shared" ca="1" si="1"/>
        <v>175000</v>
      </c>
      <c r="K12" s="2">
        <f t="shared" ca="1" si="1"/>
        <v>0</v>
      </c>
      <c r="L12" s="2">
        <f t="shared" ca="1" si="1"/>
        <v>0</v>
      </c>
      <c r="M12" s="2">
        <f t="shared" ca="1" si="1"/>
        <v>0</v>
      </c>
      <c r="N12" s="2">
        <f t="shared" ca="1" si="1"/>
        <v>0</v>
      </c>
      <c r="O12" s="2">
        <f t="shared" ca="1" si="1"/>
        <v>0</v>
      </c>
      <c r="P12" s="2">
        <f t="shared" ca="1" si="1"/>
        <v>175000</v>
      </c>
      <c r="Q12" s="2">
        <f t="shared" ca="1" si="1"/>
        <v>0</v>
      </c>
      <c r="R12" s="2">
        <f t="shared" ca="1" si="1"/>
        <v>0</v>
      </c>
      <c r="S12" s="2">
        <f t="shared" ca="1" si="1"/>
        <v>0</v>
      </c>
      <c r="T12" s="2">
        <f t="shared" ca="1" si="1"/>
        <v>0</v>
      </c>
      <c r="U12" s="2">
        <f t="shared" ca="1" si="1"/>
        <v>0</v>
      </c>
      <c r="V12" s="2">
        <f t="shared" ca="1" si="1"/>
        <v>175000</v>
      </c>
      <c r="W12" s="2">
        <f t="shared" ca="1" si="1"/>
        <v>0</v>
      </c>
      <c r="X12" s="2">
        <f t="shared" ca="1" si="1"/>
        <v>0</v>
      </c>
      <c r="Y12" s="2">
        <f t="shared" ca="1" si="1"/>
        <v>0</v>
      </c>
      <c r="Z12" s="2">
        <f t="shared" ca="1" si="1"/>
        <v>175000</v>
      </c>
      <c r="AA12" s="2">
        <f t="shared" ca="1" si="1"/>
        <v>0</v>
      </c>
      <c r="AB12" s="2">
        <f t="shared" ca="1" si="1"/>
        <v>0</v>
      </c>
      <c r="AC12" s="2">
        <f t="shared" ca="1" si="1"/>
        <v>0</v>
      </c>
      <c r="AD12" s="2">
        <f t="shared" ca="1" si="1"/>
        <v>175000</v>
      </c>
      <c r="AE12" s="2">
        <f t="shared" ca="1" si="1"/>
        <v>0</v>
      </c>
      <c r="AF12" s="2">
        <f t="shared" ca="1" si="1"/>
        <v>0</v>
      </c>
      <c r="AG12" s="2">
        <f t="shared" ca="1" si="1"/>
        <v>175000</v>
      </c>
      <c r="AH12" s="2">
        <f t="shared" ca="1" si="1"/>
        <v>0</v>
      </c>
      <c r="AI12" s="2">
        <f t="shared" ca="1" si="1"/>
        <v>175000</v>
      </c>
      <c r="AJ12" s="2">
        <f t="shared" ca="1" si="1"/>
        <v>0</v>
      </c>
      <c r="AK12" s="2">
        <f t="shared" ca="1" si="1"/>
        <v>0</v>
      </c>
      <c r="AL12" s="2">
        <f t="shared" ca="1" si="1"/>
        <v>175000</v>
      </c>
      <c r="AM12" s="2">
        <f t="shared" ca="1" si="1"/>
        <v>0</v>
      </c>
      <c r="AN12" s="2">
        <f t="shared" ca="1" si="1"/>
        <v>0</v>
      </c>
      <c r="AO12" s="2">
        <f t="shared" ca="1" si="1"/>
        <v>175000</v>
      </c>
      <c r="AP12" s="2">
        <f t="shared" ca="1" si="1"/>
        <v>0</v>
      </c>
      <c r="AQ12" s="2">
        <f t="shared" ca="1" si="1"/>
        <v>175000</v>
      </c>
      <c r="AR12" s="2">
        <f t="shared" ca="1" si="1"/>
        <v>0</v>
      </c>
      <c r="AS12" s="2">
        <f t="shared" ca="1" si="1"/>
        <v>175000</v>
      </c>
      <c r="AT12" s="2">
        <f t="shared" ca="1" si="1"/>
        <v>175000</v>
      </c>
      <c r="AU12" s="2">
        <f t="shared" ca="1" si="1"/>
        <v>0</v>
      </c>
      <c r="AV12" s="2">
        <f t="shared" ca="1" si="1"/>
        <v>175000</v>
      </c>
      <c r="AW12" s="2">
        <f t="shared" ca="1" si="1"/>
        <v>175000</v>
      </c>
      <c r="AX12" s="2">
        <f t="shared" ca="1" si="1"/>
        <v>0</v>
      </c>
      <c r="AY12" s="2">
        <f t="shared" ca="1" si="1"/>
        <v>175000</v>
      </c>
      <c r="AZ12" s="2">
        <f t="shared" ca="1" si="1"/>
        <v>175000</v>
      </c>
      <c r="BA12" s="2">
        <f t="shared" ca="1" si="1"/>
        <v>175000</v>
      </c>
      <c r="BB12" s="2">
        <f t="shared" ca="1" si="1"/>
        <v>175000</v>
      </c>
      <c r="BC12" s="2">
        <f t="shared" ca="1" si="1"/>
        <v>175000</v>
      </c>
      <c r="BD12" s="2">
        <f t="shared" ca="1" si="1"/>
        <v>175000</v>
      </c>
      <c r="BE12" s="2">
        <f t="shared" ca="1" si="1"/>
        <v>175000</v>
      </c>
      <c r="BF12" s="2">
        <f t="shared" ca="1" si="1"/>
        <v>175000</v>
      </c>
      <c r="BG12" s="2">
        <f t="shared" ca="1" si="1"/>
        <v>175000</v>
      </c>
      <c r="BH12" s="2">
        <f t="shared" ca="1" si="1"/>
        <v>175000</v>
      </c>
      <c r="BI12" s="2">
        <f t="shared" ca="1" si="1"/>
        <v>175000</v>
      </c>
      <c r="BJ12" s="2">
        <f t="shared" ca="1" si="1"/>
        <v>175000</v>
      </c>
      <c r="BK12" s="2">
        <f t="shared" ca="1" si="1"/>
        <v>175000</v>
      </c>
      <c r="BL12" s="2">
        <f t="shared" ca="1" si="1"/>
        <v>175000</v>
      </c>
      <c r="BM12" s="2">
        <f t="shared" ca="1" si="1"/>
        <v>175000</v>
      </c>
      <c r="BN12" s="2">
        <f t="shared" ca="1" si="1"/>
        <v>175000</v>
      </c>
      <c r="BO12" s="2">
        <f t="shared" ca="1" si="1"/>
        <v>175000</v>
      </c>
      <c r="BP12" s="2">
        <f t="shared" ca="1" si="1"/>
        <v>175000</v>
      </c>
      <c r="BQ12" s="2">
        <f t="shared" ca="1" si="1"/>
        <v>175000</v>
      </c>
    </row>
    <row r="13" spans="1:69">
      <c r="D13" s="88" t="s">
        <v>216</v>
      </c>
      <c r="E13" s="2" t="str">
        <f t="shared" ref="E13:BQ13" si="2" xml:space="preserve">  E$35</f>
        <v>Asset Finance unpaid interest</v>
      </c>
      <c r="F13" s="2">
        <f t="shared" si="2"/>
        <v>0</v>
      </c>
      <c r="G13" s="2" t="str">
        <f t="shared" si="2"/>
        <v>GBP</v>
      </c>
      <c r="H13" s="2">
        <f t="shared" ca="1" si="2"/>
        <v>0</v>
      </c>
      <c r="I13" s="2">
        <f t="shared" si="2"/>
        <v>0</v>
      </c>
      <c r="J13" s="2">
        <f t="shared" si="2"/>
        <v>0</v>
      </c>
      <c r="K13" s="2">
        <f t="shared" ca="1" si="2"/>
        <v>0</v>
      </c>
      <c r="L13" s="2">
        <f t="shared" ca="1" si="2"/>
        <v>0</v>
      </c>
      <c r="M13" s="2">
        <f t="shared" ca="1" si="2"/>
        <v>0</v>
      </c>
      <c r="N13" s="2">
        <f t="shared" ca="1" si="2"/>
        <v>0</v>
      </c>
      <c r="O13" s="2">
        <f t="shared" ca="1" si="2"/>
        <v>0</v>
      </c>
      <c r="P13" s="2">
        <f t="shared" ca="1" si="2"/>
        <v>0</v>
      </c>
      <c r="Q13" s="2">
        <f t="shared" ca="1" si="2"/>
        <v>0</v>
      </c>
      <c r="R13" s="2">
        <f t="shared" ca="1" si="2"/>
        <v>0</v>
      </c>
      <c r="S13" s="2">
        <f t="shared" ca="1" si="2"/>
        <v>0</v>
      </c>
      <c r="T13" s="2">
        <f t="shared" ca="1" si="2"/>
        <v>0</v>
      </c>
      <c r="U13" s="2">
        <f t="shared" ca="1" si="2"/>
        <v>0</v>
      </c>
      <c r="V13" s="2">
        <f t="shared" ca="1" si="2"/>
        <v>0</v>
      </c>
      <c r="W13" s="2">
        <f t="shared" ca="1" si="2"/>
        <v>0</v>
      </c>
      <c r="X13" s="2">
        <f t="shared" ca="1" si="2"/>
        <v>0</v>
      </c>
      <c r="Y13" s="2">
        <f t="shared" ca="1" si="2"/>
        <v>0</v>
      </c>
      <c r="Z13" s="2">
        <f t="shared" ca="1" si="2"/>
        <v>0</v>
      </c>
      <c r="AA13" s="2">
        <f t="shared" ca="1" si="2"/>
        <v>0</v>
      </c>
      <c r="AB13" s="2">
        <f t="shared" ca="1" si="2"/>
        <v>0</v>
      </c>
      <c r="AC13" s="2">
        <f t="shared" ca="1" si="2"/>
        <v>0</v>
      </c>
      <c r="AD13" s="2">
        <f t="shared" ca="1" si="2"/>
        <v>0</v>
      </c>
      <c r="AE13" s="2">
        <f t="shared" ca="1" si="2"/>
        <v>0</v>
      </c>
      <c r="AF13" s="2">
        <f t="shared" ca="1" si="2"/>
        <v>0</v>
      </c>
      <c r="AG13" s="2">
        <f t="shared" ca="1" si="2"/>
        <v>0</v>
      </c>
      <c r="AH13" s="2">
        <f t="shared" ca="1" si="2"/>
        <v>0</v>
      </c>
      <c r="AI13" s="2">
        <f t="shared" ca="1" si="2"/>
        <v>0</v>
      </c>
      <c r="AJ13" s="2">
        <f t="shared" ca="1" si="2"/>
        <v>0</v>
      </c>
      <c r="AK13" s="2">
        <f t="shared" ca="1" si="2"/>
        <v>0</v>
      </c>
      <c r="AL13" s="2">
        <f t="shared" ca="1" si="2"/>
        <v>0</v>
      </c>
      <c r="AM13" s="2">
        <f t="shared" ca="1" si="2"/>
        <v>0</v>
      </c>
      <c r="AN13" s="2">
        <f t="shared" ca="1" si="2"/>
        <v>0</v>
      </c>
      <c r="AO13" s="2">
        <f t="shared" ca="1" si="2"/>
        <v>0</v>
      </c>
      <c r="AP13" s="2">
        <f t="shared" ca="1" si="2"/>
        <v>0</v>
      </c>
      <c r="AQ13" s="2">
        <f t="shared" ca="1" si="2"/>
        <v>0</v>
      </c>
      <c r="AR13" s="2">
        <f t="shared" ca="1" si="2"/>
        <v>0</v>
      </c>
      <c r="AS13" s="2">
        <f t="shared" ca="1" si="2"/>
        <v>0</v>
      </c>
      <c r="AT13" s="2">
        <f t="shared" ca="1" si="2"/>
        <v>0</v>
      </c>
      <c r="AU13" s="2">
        <f t="shared" ca="1" si="2"/>
        <v>0</v>
      </c>
      <c r="AV13" s="2">
        <f t="shared" ca="1" si="2"/>
        <v>0</v>
      </c>
      <c r="AW13" s="2">
        <f t="shared" ca="1" si="2"/>
        <v>0</v>
      </c>
      <c r="AX13" s="2">
        <f t="shared" ca="1" si="2"/>
        <v>0</v>
      </c>
      <c r="AY13" s="2">
        <f t="shared" ca="1" si="2"/>
        <v>0</v>
      </c>
      <c r="AZ13" s="2">
        <f t="shared" ca="1" si="2"/>
        <v>0</v>
      </c>
      <c r="BA13" s="2">
        <f t="shared" ca="1" si="2"/>
        <v>0</v>
      </c>
      <c r="BB13" s="2">
        <f t="shared" ca="1" si="2"/>
        <v>0</v>
      </c>
      <c r="BC13" s="2">
        <f t="shared" ca="1" si="2"/>
        <v>0</v>
      </c>
      <c r="BD13" s="2">
        <f t="shared" ca="1" si="2"/>
        <v>0</v>
      </c>
      <c r="BE13" s="2">
        <f t="shared" ca="1" si="2"/>
        <v>0</v>
      </c>
      <c r="BF13" s="2">
        <f t="shared" ca="1" si="2"/>
        <v>0</v>
      </c>
      <c r="BG13" s="2">
        <f t="shared" ca="1" si="2"/>
        <v>0</v>
      </c>
      <c r="BH13" s="2">
        <f t="shared" ca="1" si="2"/>
        <v>0</v>
      </c>
      <c r="BI13" s="2">
        <f t="shared" ca="1" si="2"/>
        <v>0</v>
      </c>
      <c r="BJ13" s="2">
        <f t="shared" ca="1" si="2"/>
        <v>0</v>
      </c>
      <c r="BK13" s="2">
        <f t="shared" ca="1" si="2"/>
        <v>0</v>
      </c>
      <c r="BL13" s="2">
        <f t="shared" ca="1" si="2"/>
        <v>0</v>
      </c>
      <c r="BM13" s="2">
        <f t="shared" ca="1" si="2"/>
        <v>0</v>
      </c>
      <c r="BN13" s="2">
        <f t="shared" ca="1" si="2"/>
        <v>0</v>
      </c>
      <c r="BO13" s="2">
        <f t="shared" ca="1" si="2"/>
        <v>0</v>
      </c>
      <c r="BP13" s="2">
        <f t="shared" ca="1" si="2"/>
        <v>0</v>
      </c>
      <c r="BQ13" s="2">
        <f t="shared" ca="1" si="2"/>
        <v>0</v>
      </c>
    </row>
    <row r="14" spans="1:69">
      <c r="D14" s="88" t="s">
        <v>293</v>
      </c>
      <c r="E14" s="2" t="str">
        <f t="shared" ref="E14:BQ14" si="3" xml:space="preserve">  E$28</f>
        <v>Asset Finance principal repayment POS</v>
      </c>
      <c r="F14" s="2">
        <f t="shared" si="3"/>
        <v>0</v>
      </c>
      <c r="G14" s="2" t="str">
        <f t="shared" si="3"/>
        <v>GBP</v>
      </c>
      <c r="H14" s="2">
        <f t="shared" ca="1" si="3"/>
        <v>2816527.4248262797</v>
      </c>
      <c r="I14" s="2">
        <f t="shared" si="3"/>
        <v>0</v>
      </c>
      <c r="J14" s="2">
        <f t="shared" si="3"/>
        <v>0</v>
      </c>
      <c r="K14" s="2">
        <f t="shared" ca="1" si="3"/>
        <v>7291.666666666667</v>
      </c>
      <c r="L14" s="2">
        <f t="shared" ca="1" si="3"/>
        <v>6987.8472222222226</v>
      </c>
      <c r="M14" s="2">
        <f t="shared" ca="1" si="3"/>
        <v>6696.6869212962965</v>
      </c>
      <c r="N14" s="2">
        <f t="shared" ca="1" si="3"/>
        <v>6417.658299575618</v>
      </c>
      <c r="O14" s="2">
        <f t="shared" ca="1" si="3"/>
        <v>6150.2558704266339</v>
      </c>
      <c r="P14" s="2">
        <f t="shared" ca="1" si="3"/>
        <v>5893.9952091588575</v>
      </c>
      <c r="Q14" s="2">
        <f t="shared" ca="1" si="3"/>
        <v>12940.078742110572</v>
      </c>
      <c r="R14" s="2">
        <f t="shared" ca="1" si="3"/>
        <v>12400.908794522633</v>
      </c>
      <c r="S14" s="2">
        <f t="shared" ca="1" si="3"/>
        <v>11884.204261417523</v>
      </c>
      <c r="T14" s="2">
        <f t="shared" ca="1" si="3"/>
        <v>11389.029083858461</v>
      </c>
      <c r="U14" s="2">
        <f t="shared" ca="1" si="3"/>
        <v>10914.486205364357</v>
      </c>
      <c r="V14" s="2">
        <f t="shared" ca="1" si="3"/>
        <v>10459.71594680751</v>
      </c>
      <c r="W14" s="2">
        <f t="shared" ca="1" si="3"/>
        <v>17315.561115690532</v>
      </c>
      <c r="X14" s="2">
        <f t="shared" ca="1" si="3"/>
        <v>16594.079402536761</v>
      </c>
      <c r="Y14" s="2">
        <f t="shared" ca="1" si="3"/>
        <v>15902.659427431063</v>
      </c>
      <c r="Z14" s="2">
        <f t="shared" ca="1" si="3"/>
        <v>15240.048617954768</v>
      </c>
      <c r="AA14" s="2">
        <f t="shared" ca="1" si="3"/>
        <v>21896.713258873322</v>
      </c>
      <c r="AB14" s="2">
        <f t="shared" ca="1" si="3"/>
        <v>20984.350206420266</v>
      </c>
      <c r="AC14" s="2">
        <f t="shared" ca="1" si="3"/>
        <v>20110.002281152756</v>
      </c>
      <c r="AD14" s="2">
        <f t="shared" ca="1" si="3"/>
        <v>19272.085519438057</v>
      </c>
      <c r="AE14" s="2">
        <f t="shared" ca="1" si="3"/>
        <v>25760.748622794807</v>
      </c>
      <c r="AF14" s="2">
        <f t="shared" ca="1" si="3"/>
        <v>24687.384096845024</v>
      </c>
      <c r="AG14" s="2">
        <f t="shared" ca="1" si="3"/>
        <v>23658.743092809815</v>
      </c>
      <c r="AH14" s="2">
        <f t="shared" ca="1" si="3"/>
        <v>29964.628797276073</v>
      </c>
      <c r="AI14" s="2">
        <f t="shared" ca="1" si="3"/>
        <v>28716.10259738957</v>
      </c>
      <c r="AJ14" s="2">
        <f t="shared" ca="1" si="3"/>
        <v>34811.264989165</v>
      </c>
      <c r="AK14" s="2">
        <f t="shared" ca="1" si="3"/>
        <v>33360.795614616458</v>
      </c>
      <c r="AL14" s="2">
        <f t="shared" ca="1" si="3"/>
        <v>31970.762464007439</v>
      </c>
      <c r="AM14" s="2">
        <f t="shared" ca="1" si="3"/>
        <v>37930.314028007131</v>
      </c>
      <c r="AN14" s="2">
        <f t="shared" ca="1" si="3"/>
        <v>36349.884276840166</v>
      </c>
      <c r="AO14" s="2">
        <f t="shared" ca="1" si="3"/>
        <v>34835.305765305158</v>
      </c>
      <c r="AP14" s="2">
        <f t="shared" ca="1" si="3"/>
        <v>40675.501358417445</v>
      </c>
      <c r="AQ14" s="2">
        <f t="shared" ca="1" si="3"/>
        <v>38980.688801816716</v>
      </c>
      <c r="AR14" s="2">
        <f t="shared" ca="1" si="3"/>
        <v>44648.160101741028</v>
      </c>
      <c r="AS14" s="2">
        <f t="shared" ca="1" si="3"/>
        <v>42787.820097501819</v>
      </c>
      <c r="AT14" s="2">
        <f t="shared" ca="1" si="3"/>
        <v>48296.660926772573</v>
      </c>
      <c r="AU14" s="2">
        <f t="shared" ca="1" si="3"/>
        <v>53575.966721490382</v>
      </c>
      <c r="AV14" s="2">
        <f t="shared" ca="1" si="3"/>
        <v>51343.634774761616</v>
      </c>
      <c r="AW14" s="2">
        <f t="shared" ca="1" si="3"/>
        <v>56495.98332581322</v>
      </c>
      <c r="AX14" s="2">
        <f t="shared" ca="1" si="3"/>
        <v>61433.65068723767</v>
      </c>
      <c r="AY14" s="2">
        <f t="shared" ca="1" si="3"/>
        <v>58873.915241936098</v>
      </c>
      <c r="AZ14" s="2">
        <f t="shared" ca="1" si="3"/>
        <v>63712.502106855427</v>
      </c>
      <c r="BA14" s="2">
        <f t="shared" ca="1" si="3"/>
        <v>68349.481185736455</v>
      </c>
      <c r="BB14" s="2">
        <f t="shared" ca="1" si="3"/>
        <v>72793.252802997435</v>
      </c>
      <c r="BC14" s="2">
        <f t="shared" ca="1" si="3"/>
        <v>77051.867269539216</v>
      </c>
      <c r="BD14" s="2">
        <f t="shared" ca="1" si="3"/>
        <v>81133.039466641741</v>
      </c>
      <c r="BE14" s="2">
        <f t="shared" ca="1" si="3"/>
        <v>85044.162822198341</v>
      </c>
      <c r="BF14" s="2">
        <f t="shared" ca="1" si="3"/>
        <v>88792.322704606748</v>
      </c>
      <c r="BG14" s="2">
        <f t="shared" ca="1" si="3"/>
        <v>92384.309258581474</v>
      </c>
      <c r="BH14" s="2">
        <f t="shared" ca="1" si="3"/>
        <v>95826.629706140564</v>
      </c>
      <c r="BI14" s="2">
        <f t="shared" ca="1" si="3"/>
        <v>99125.520135051382</v>
      </c>
      <c r="BJ14" s="2">
        <f t="shared" ca="1" si="3"/>
        <v>102286.95679609089</v>
      </c>
      <c r="BK14" s="2">
        <f t="shared" ca="1" si="3"/>
        <v>105316.6669295871</v>
      </c>
      <c r="BL14" s="2">
        <f t="shared" ca="1" si="3"/>
        <v>108220.1391408543</v>
      </c>
      <c r="BM14" s="2">
        <f t="shared" ca="1" si="3"/>
        <v>111002.63334331871</v>
      </c>
      <c r="BN14" s="2">
        <f t="shared" ca="1" si="3"/>
        <v>113669.19028734711</v>
      </c>
      <c r="BO14" s="2">
        <f t="shared" ca="1" si="3"/>
        <v>116224.64069204098</v>
      </c>
      <c r="BP14" s="2">
        <f t="shared" ca="1" si="3"/>
        <v>118673.61399653928</v>
      </c>
      <c r="BQ14" s="2">
        <f t="shared" ca="1" si="3"/>
        <v>121020.54674668348</v>
      </c>
    </row>
    <row r="15" spans="1:69" s="83" customFormat="1">
      <c r="A15" s="62"/>
      <c r="B15" s="62"/>
      <c r="C15" s="90"/>
      <c r="D15" s="91"/>
      <c r="E15" s="35" t="s">
        <v>134</v>
      </c>
      <c r="F15" s="35"/>
      <c r="G15" s="35" t="s">
        <v>252</v>
      </c>
      <c r="H15" s="35"/>
      <c r="I15" s="11">
        <f t="shared" ref="I15:BQ15" si="4" xml:space="preserve">  IF( I10 = 0, $F9, I11 + I12 + I13 - I14 )</f>
        <v>0</v>
      </c>
      <c r="J15" s="11">
        <f t="shared" ca="1" si="4"/>
        <v>175000</v>
      </c>
      <c r="K15" s="11">
        <f t="shared" ca="1" si="4"/>
        <v>167708.33333333334</v>
      </c>
      <c r="L15" s="11">
        <f t="shared" ca="1" si="4"/>
        <v>160720.48611111112</v>
      </c>
      <c r="M15" s="11">
        <f t="shared" ca="1" si="4"/>
        <v>154023.79918981483</v>
      </c>
      <c r="N15" s="11">
        <f t="shared" ca="1" si="4"/>
        <v>147606.14089023921</v>
      </c>
      <c r="O15" s="11">
        <f t="shared" ca="1" si="4"/>
        <v>141455.88501981259</v>
      </c>
      <c r="P15" s="11">
        <f t="shared" ca="1" si="4"/>
        <v>310561.88981065375</v>
      </c>
      <c r="Q15" s="11">
        <f t="shared" ca="1" si="4"/>
        <v>297621.81106854317</v>
      </c>
      <c r="R15" s="11">
        <f t="shared" ca="1" si="4"/>
        <v>285220.90227402054</v>
      </c>
      <c r="S15" s="11">
        <f t="shared" ca="1" si="4"/>
        <v>273336.69801260304</v>
      </c>
      <c r="T15" s="11">
        <f t="shared" ca="1" si="4"/>
        <v>261947.66892874459</v>
      </c>
      <c r="U15" s="11">
        <f t="shared" ca="1" si="4"/>
        <v>251033.18272338025</v>
      </c>
      <c r="V15" s="11">
        <f t="shared" ca="1" si="4"/>
        <v>415573.46677657275</v>
      </c>
      <c r="W15" s="11">
        <f t="shared" ca="1" si="4"/>
        <v>398257.90566088224</v>
      </c>
      <c r="X15" s="11">
        <f t="shared" ca="1" si="4"/>
        <v>381663.82625834551</v>
      </c>
      <c r="Y15" s="11">
        <f t="shared" ca="1" si="4"/>
        <v>365761.16683091444</v>
      </c>
      <c r="Z15" s="11">
        <f t="shared" ca="1" si="4"/>
        <v>525521.11821295973</v>
      </c>
      <c r="AA15" s="11">
        <f t="shared" ca="1" si="4"/>
        <v>503624.40495408641</v>
      </c>
      <c r="AB15" s="11">
        <f t="shared" ca="1" si="4"/>
        <v>482640.05474766612</v>
      </c>
      <c r="AC15" s="11">
        <f t="shared" ca="1" si="4"/>
        <v>462530.05246651336</v>
      </c>
      <c r="AD15" s="11">
        <f t="shared" ca="1" si="4"/>
        <v>618257.96694707533</v>
      </c>
      <c r="AE15" s="11">
        <f t="shared" ca="1" si="4"/>
        <v>592497.21832428058</v>
      </c>
      <c r="AF15" s="11">
        <f t="shared" ca="1" si="4"/>
        <v>567809.83422743552</v>
      </c>
      <c r="AG15" s="11">
        <f t="shared" ca="1" si="4"/>
        <v>719151.09113462572</v>
      </c>
      <c r="AH15" s="11">
        <f t="shared" ca="1" si="4"/>
        <v>689186.46233734966</v>
      </c>
      <c r="AI15" s="11">
        <f t="shared" ca="1" si="4"/>
        <v>835470.35973996005</v>
      </c>
      <c r="AJ15" s="11">
        <f t="shared" ca="1" si="4"/>
        <v>800659.09475079505</v>
      </c>
      <c r="AK15" s="11">
        <f t="shared" ca="1" si="4"/>
        <v>767298.29913617857</v>
      </c>
      <c r="AL15" s="11">
        <f t="shared" ca="1" si="4"/>
        <v>910327.53667217109</v>
      </c>
      <c r="AM15" s="11">
        <f t="shared" ca="1" si="4"/>
        <v>872397.22264416399</v>
      </c>
      <c r="AN15" s="11">
        <f t="shared" ca="1" si="4"/>
        <v>836047.33836732386</v>
      </c>
      <c r="AO15" s="11">
        <f t="shared" ca="1" si="4"/>
        <v>976212.03260201868</v>
      </c>
      <c r="AP15" s="11">
        <f t="shared" ca="1" si="4"/>
        <v>935536.53124360123</v>
      </c>
      <c r="AQ15" s="11">
        <f t="shared" ca="1" si="4"/>
        <v>1071555.8424417847</v>
      </c>
      <c r="AR15" s="11">
        <f t="shared" ca="1" si="4"/>
        <v>1026907.6823400436</v>
      </c>
      <c r="AS15" s="11">
        <f t="shared" ca="1" si="4"/>
        <v>1159119.8622425417</v>
      </c>
      <c r="AT15" s="11">
        <f t="shared" ca="1" si="4"/>
        <v>1285823.2013157692</v>
      </c>
      <c r="AU15" s="11">
        <f t="shared" ca="1" si="4"/>
        <v>1232247.2345942787</v>
      </c>
      <c r="AV15" s="11">
        <f t="shared" ca="1" si="4"/>
        <v>1355903.5998195172</v>
      </c>
      <c r="AW15" s="11">
        <f t="shared" ca="1" si="4"/>
        <v>1474407.616493704</v>
      </c>
      <c r="AX15" s="11">
        <f t="shared" ca="1" si="4"/>
        <v>1412973.9658064663</v>
      </c>
      <c r="AY15" s="11">
        <f t="shared" ca="1" si="4"/>
        <v>1529100.0505645303</v>
      </c>
      <c r="AZ15" s="11">
        <f t="shared" ca="1" si="4"/>
        <v>1640387.5484576749</v>
      </c>
      <c r="BA15" s="11">
        <f t="shared" ca="1" si="4"/>
        <v>1747038.0672719385</v>
      </c>
      <c r="BB15" s="11">
        <f t="shared" ca="1" si="4"/>
        <v>1849244.8144689412</v>
      </c>
      <c r="BC15" s="11">
        <f t="shared" ca="1" si="4"/>
        <v>1947192.9471994019</v>
      </c>
      <c r="BD15" s="11">
        <f t="shared" ca="1" si="4"/>
        <v>2041059.9077327601</v>
      </c>
      <c r="BE15" s="11">
        <f t="shared" ca="1" si="4"/>
        <v>2131015.7449105619</v>
      </c>
      <c r="BF15" s="11">
        <f t="shared" ca="1" si="4"/>
        <v>2217223.4222059553</v>
      </c>
      <c r="BG15" s="11">
        <f t="shared" ca="1" si="4"/>
        <v>2299839.1129473737</v>
      </c>
      <c r="BH15" s="11">
        <f t="shared" ca="1" si="4"/>
        <v>2379012.483241233</v>
      </c>
      <c r="BI15" s="11">
        <f t="shared" ca="1" si="4"/>
        <v>2454886.9631061815</v>
      </c>
      <c r="BJ15" s="11">
        <f t="shared" ca="1" si="4"/>
        <v>2527600.0063100904</v>
      </c>
      <c r="BK15" s="11">
        <f t="shared" ca="1" si="4"/>
        <v>2597283.3393805032</v>
      </c>
      <c r="BL15" s="11">
        <f t="shared" ca="1" si="4"/>
        <v>2664063.200239649</v>
      </c>
      <c r="BM15" s="11">
        <f t="shared" ca="1" si="4"/>
        <v>2728060.5668963306</v>
      </c>
      <c r="BN15" s="11">
        <f t="shared" ca="1" si="4"/>
        <v>2789391.3766089836</v>
      </c>
      <c r="BO15" s="11">
        <f t="shared" ca="1" si="4"/>
        <v>2848166.7359169428</v>
      </c>
      <c r="BP15" s="11">
        <f t="shared" ca="1" si="4"/>
        <v>2904493.1219204036</v>
      </c>
      <c r="BQ15" s="11">
        <f t="shared" ca="1" si="4"/>
        <v>2958472.5751737203</v>
      </c>
    </row>
    <row r="17" spans="1:69">
      <c r="B17" s="27" t="s">
        <v>16</v>
      </c>
    </row>
    <row r="18" spans="1:69" outlineLevel="1">
      <c r="A18" s="18"/>
      <c r="B18" s="18"/>
      <c r="C18" s="30"/>
      <c r="D18" s="31"/>
      <c r="E18" s="4" t="str">
        <f xml:space="preserve">  InpC!E$34</f>
        <v>Supplier price per unit</v>
      </c>
      <c r="F18" s="4">
        <f xml:space="preserve">  InpC!F$34</f>
        <v>35</v>
      </c>
      <c r="G18" s="4" t="str">
        <f xml:space="preserve">  InpC!G$34</f>
        <v>GBP</v>
      </c>
      <c r="M18" s="2"/>
    </row>
    <row r="19" spans="1:69" outlineLevel="1">
      <c r="A19" s="18"/>
      <c r="B19" s="18"/>
      <c r="C19" s="30"/>
      <c r="D19" s="31"/>
      <c r="E19" s="44" t="str">
        <f xml:space="preserve">  InpC!E$77</f>
        <v>Asset Finance Advance %</v>
      </c>
      <c r="F19" s="44">
        <f xml:space="preserve">  InpC!F$77</f>
        <v>1</v>
      </c>
      <c r="G19" s="44" t="str">
        <f xml:space="preserve">  InpC!G$77</f>
        <v>%</v>
      </c>
      <c r="M19" s="58"/>
    </row>
    <row r="20" spans="1:69" outlineLevel="1">
      <c r="A20" s="18"/>
      <c r="B20" s="18"/>
      <c r="C20" s="30"/>
      <c r="D20" s="31"/>
      <c r="E20" s="4" t="str">
        <f xml:space="preserve">  Inventory!E$26</f>
        <v>Units ordered</v>
      </c>
      <c r="F20" s="4">
        <f xml:space="preserve">  Inventory!F$26</f>
        <v>0</v>
      </c>
      <c r="G20" s="4" t="str">
        <f xml:space="preserve">  Inventory!G$26</f>
        <v>Units</v>
      </c>
      <c r="H20" s="4">
        <f ca="1" xml:space="preserve">  Inventory!H$26</f>
        <v>165000</v>
      </c>
      <c r="I20" s="4">
        <f xml:space="preserve">  Inventory!I$26</f>
        <v>0</v>
      </c>
      <c r="J20" s="4">
        <f ca="1" xml:space="preserve">  Inventory!J$26</f>
        <v>5000</v>
      </c>
      <c r="K20" s="4">
        <f ca="1" xml:space="preserve">  Inventory!K$26</f>
        <v>0</v>
      </c>
      <c r="L20" s="4">
        <f ca="1" xml:space="preserve">  Inventory!L$26</f>
        <v>0</v>
      </c>
      <c r="M20" s="4">
        <f ca="1" xml:space="preserve">  Inventory!M$26</f>
        <v>0</v>
      </c>
      <c r="N20" s="4">
        <f ca="1" xml:space="preserve">  Inventory!N$26</f>
        <v>0</v>
      </c>
      <c r="O20" s="4">
        <f ca="1" xml:space="preserve">  Inventory!O$26</f>
        <v>0</v>
      </c>
      <c r="P20" s="4">
        <f ca="1" xml:space="preserve">  Inventory!P$26</f>
        <v>5000</v>
      </c>
      <c r="Q20" s="4">
        <f ca="1" xml:space="preserve">  Inventory!Q$26</f>
        <v>0</v>
      </c>
      <c r="R20" s="4">
        <f ca="1" xml:space="preserve">  Inventory!R$26</f>
        <v>0</v>
      </c>
      <c r="S20" s="4">
        <f ca="1" xml:space="preserve">  Inventory!S$26</f>
        <v>0</v>
      </c>
      <c r="T20" s="4">
        <f ca="1" xml:space="preserve">  Inventory!T$26</f>
        <v>0</v>
      </c>
      <c r="U20" s="4">
        <f ca="1" xml:space="preserve">  Inventory!U$26</f>
        <v>0</v>
      </c>
      <c r="V20" s="4">
        <f ca="1" xml:space="preserve">  Inventory!V$26</f>
        <v>5000</v>
      </c>
      <c r="W20" s="4">
        <f ca="1" xml:space="preserve">  Inventory!W$26</f>
        <v>0</v>
      </c>
      <c r="X20" s="4">
        <f ca="1" xml:space="preserve">  Inventory!X$26</f>
        <v>0</v>
      </c>
      <c r="Y20" s="4">
        <f ca="1" xml:space="preserve">  Inventory!Y$26</f>
        <v>0</v>
      </c>
      <c r="Z20" s="4">
        <f ca="1" xml:space="preserve">  Inventory!Z$26</f>
        <v>5000</v>
      </c>
      <c r="AA20" s="4">
        <f ca="1" xml:space="preserve">  Inventory!AA$26</f>
        <v>0</v>
      </c>
      <c r="AB20" s="4">
        <f ca="1" xml:space="preserve">  Inventory!AB$26</f>
        <v>0</v>
      </c>
      <c r="AC20" s="4">
        <f ca="1" xml:space="preserve">  Inventory!AC$26</f>
        <v>0</v>
      </c>
      <c r="AD20" s="4">
        <f ca="1" xml:space="preserve">  Inventory!AD$26</f>
        <v>5000</v>
      </c>
      <c r="AE20" s="4">
        <f ca="1" xml:space="preserve">  Inventory!AE$26</f>
        <v>0</v>
      </c>
      <c r="AF20" s="4">
        <f ca="1" xml:space="preserve">  Inventory!AF$26</f>
        <v>0</v>
      </c>
      <c r="AG20" s="4">
        <f ca="1" xml:space="preserve">  Inventory!AG$26</f>
        <v>5000</v>
      </c>
      <c r="AH20" s="4">
        <f ca="1" xml:space="preserve">  Inventory!AH$26</f>
        <v>0</v>
      </c>
      <c r="AI20" s="4">
        <f ca="1" xml:space="preserve">  Inventory!AI$26</f>
        <v>5000</v>
      </c>
      <c r="AJ20" s="4">
        <f ca="1" xml:space="preserve">  Inventory!AJ$26</f>
        <v>0</v>
      </c>
      <c r="AK20" s="4">
        <f ca="1" xml:space="preserve">  Inventory!AK$26</f>
        <v>0</v>
      </c>
      <c r="AL20" s="4">
        <f ca="1" xml:space="preserve">  Inventory!AL$26</f>
        <v>5000</v>
      </c>
      <c r="AM20" s="4">
        <f ca="1" xml:space="preserve">  Inventory!AM$26</f>
        <v>0</v>
      </c>
      <c r="AN20" s="4">
        <f ca="1" xml:space="preserve">  Inventory!AN$26</f>
        <v>0</v>
      </c>
      <c r="AO20" s="4">
        <f ca="1" xml:space="preserve">  Inventory!AO$26</f>
        <v>5000</v>
      </c>
      <c r="AP20" s="4">
        <f ca="1" xml:space="preserve">  Inventory!AP$26</f>
        <v>0</v>
      </c>
      <c r="AQ20" s="4">
        <f ca="1" xml:space="preserve">  Inventory!AQ$26</f>
        <v>5000</v>
      </c>
      <c r="AR20" s="4">
        <f ca="1" xml:space="preserve">  Inventory!AR$26</f>
        <v>0</v>
      </c>
      <c r="AS20" s="4">
        <f ca="1" xml:space="preserve">  Inventory!AS$26</f>
        <v>5000</v>
      </c>
      <c r="AT20" s="4">
        <f ca="1" xml:space="preserve">  Inventory!AT$26</f>
        <v>5000</v>
      </c>
      <c r="AU20" s="4">
        <f ca="1" xml:space="preserve">  Inventory!AU$26</f>
        <v>0</v>
      </c>
      <c r="AV20" s="4">
        <f ca="1" xml:space="preserve">  Inventory!AV$26</f>
        <v>5000</v>
      </c>
      <c r="AW20" s="4">
        <f ca="1" xml:space="preserve">  Inventory!AW$26</f>
        <v>5000</v>
      </c>
      <c r="AX20" s="4">
        <f ca="1" xml:space="preserve">  Inventory!AX$26</f>
        <v>0</v>
      </c>
      <c r="AY20" s="4">
        <f ca="1" xml:space="preserve">  Inventory!AY$26</f>
        <v>5000</v>
      </c>
      <c r="AZ20" s="4">
        <f ca="1" xml:space="preserve">  Inventory!AZ$26</f>
        <v>5000</v>
      </c>
      <c r="BA20" s="4">
        <f ca="1" xml:space="preserve">  Inventory!BA$26</f>
        <v>5000</v>
      </c>
      <c r="BB20" s="4">
        <f ca="1" xml:space="preserve">  Inventory!BB$26</f>
        <v>5000</v>
      </c>
      <c r="BC20" s="4">
        <f ca="1" xml:space="preserve">  Inventory!BC$26</f>
        <v>5000</v>
      </c>
      <c r="BD20" s="4">
        <f ca="1" xml:space="preserve">  Inventory!BD$26</f>
        <v>5000</v>
      </c>
      <c r="BE20" s="4">
        <f ca="1" xml:space="preserve">  Inventory!BE$26</f>
        <v>5000</v>
      </c>
      <c r="BF20" s="4">
        <f ca="1" xml:space="preserve">  Inventory!BF$26</f>
        <v>5000</v>
      </c>
      <c r="BG20" s="4">
        <f ca="1" xml:space="preserve">  Inventory!BG$26</f>
        <v>5000</v>
      </c>
      <c r="BH20" s="4">
        <f ca="1" xml:space="preserve">  Inventory!BH$26</f>
        <v>5000</v>
      </c>
      <c r="BI20" s="4">
        <f ca="1" xml:space="preserve">  Inventory!BI$26</f>
        <v>5000</v>
      </c>
      <c r="BJ20" s="4">
        <f ca="1" xml:space="preserve">  Inventory!BJ$26</f>
        <v>5000</v>
      </c>
      <c r="BK20" s="4">
        <f ca="1" xml:space="preserve">  Inventory!BK$26</f>
        <v>5000</v>
      </c>
      <c r="BL20" s="4">
        <f ca="1" xml:space="preserve">  Inventory!BL$26</f>
        <v>5000</v>
      </c>
      <c r="BM20" s="4">
        <f ca="1" xml:space="preserve">  Inventory!BM$26</f>
        <v>5000</v>
      </c>
      <c r="BN20" s="4">
        <f ca="1" xml:space="preserve">  Inventory!BN$26</f>
        <v>5000</v>
      </c>
      <c r="BO20" s="4">
        <f ca="1" xml:space="preserve">  Inventory!BO$26</f>
        <v>5000</v>
      </c>
      <c r="BP20" s="4">
        <f ca="1" xml:space="preserve">  Inventory!BP$26</f>
        <v>5000</v>
      </c>
      <c r="BQ20" s="4">
        <f ca="1" xml:space="preserve">  Inventory!BQ$26</f>
        <v>5000</v>
      </c>
    </row>
    <row r="21" spans="1:69" outlineLevel="1">
      <c r="A21" s="18"/>
      <c r="B21" s="18"/>
      <c r="C21" s="30"/>
      <c r="D21" s="31"/>
      <c r="E21" s="4" t="str">
        <f xml:space="preserve">  Time!E$245</f>
        <v>Asset Finance Enabled flag</v>
      </c>
      <c r="F21" s="4">
        <f xml:space="preserve">  Time!F$245</f>
        <v>0</v>
      </c>
      <c r="G21" s="4" t="str">
        <f xml:space="preserve">  Time!G$245</f>
        <v>flag</v>
      </c>
      <c r="H21" s="4">
        <f xml:space="preserve">  Time!H$245</f>
        <v>60</v>
      </c>
      <c r="I21" s="4">
        <f xml:space="preserve">  Time!I$245</f>
        <v>0</v>
      </c>
      <c r="J21" s="4">
        <f xml:space="preserve">  Time!J$245</f>
        <v>1</v>
      </c>
      <c r="K21" s="4">
        <f xml:space="preserve">  Time!K$245</f>
        <v>1</v>
      </c>
      <c r="L21" s="4">
        <f xml:space="preserve">  Time!L$245</f>
        <v>1</v>
      </c>
      <c r="M21" s="4">
        <f xml:space="preserve">  Time!M$245</f>
        <v>1</v>
      </c>
      <c r="N21" s="4">
        <f xml:space="preserve">  Time!N$245</f>
        <v>1</v>
      </c>
      <c r="O21" s="4">
        <f xml:space="preserve">  Time!O$245</f>
        <v>1</v>
      </c>
      <c r="P21" s="4">
        <f xml:space="preserve">  Time!P$245</f>
        <v>1</v>
      </c>
      <c r="Q21" s="4">
        <f xml:space="preserve">  Time!Q$245</f>
        <v>1</v>
      </c>
      <c r="R21" s="4">
        <f xml:space="preserve">  Time!R$245</f>
        <v>1</v>
      </c>
      <c r="S21" s="4">
        <f xml:space="preserve">  Time!S$245</f>
        <v>1</v>
      </c>
      <c r="T21" s="4">
        <f xml:space="preserve">  Time!T$245</f>
        <v>1</v>
      </c>
      <c r="U21" s="4">
        <f xml:space="preserve">  Time!U$245</f>
        <v>1</v>
      </c>
      <c r="V21" s="4">
        <f xml:space="preserve">  Time!V$245</f>
        <v>1</v>
      </c>
      <c r="W21" s="4">
        <f xml:space="preserve">  Time!W$245</f>
        <v>1</v>
      </c>
      <c r="X21" s="4">
        <f xml:space="preserve">  Time!X$245</f>
        <v>1</v>
      </c>
      <c r="Y21" s="4">
        <f xml:space="preserve">  Time!Y$245</f>
        <v>1</v>
      </c>
      <c r="Z21" s="4">
        <f xml:space="preserve">  Time!Z$245</f>
        <v>1</v>
      </c>
      <c r="AA21" s="4">
        <f xml:space="preserve">  Time!AA$245</f>
        <v>1</v>
      </c>
      <c r="AB21" s="4">
        <f xml:space="preserve">  Time!AB$245</f>
        <v>1</v>
      </c>
      <c r="AC21" s="4">
        <f xml:space="preserve">  Time!AC$245</f>
        <v>1</v>
      </c>
      <c r="AD21" s="4">
        <f xml:space="preserve">  Time!AD$245</f>
        <v>1</v>
      </c>
      <c r="AE21" s="4">
        <f xml:space="preserve">  Time!AE$245</f>
        <v>1</v>
      </c>
      <c r="AF21" s="4">
        <f xml:space="preserve">  Time!AF$245</f>
        <v>1</v>
      </c>
      <c r="AG21" s="4">
        <f xml:space="preserve">  Time!AG$245</f>
        <v>1</v>
      </c>
      <c r="AH21" s="4">
        <f xml:space="preserve">  Time!AH$245</f>
        <v>1</v>
      </c>
      <c r="AI21" s="4">
        <f xml:space="preserve">  Time!AI$245</f>
        <v>1</v>
      </c>
      <c r="AJ21" s="4">
        <f xml:space="preserve">  Time!AJ$245</f>
        <v>1</v>
      </c>
      <c r="AK21" s="4">
        <f xml:space="preserve">  Time!AK$245</f>
        <v>1</v>
      </c>
      <c r="AL21" s="4">
        <f xml:space="preserve">  Time!AL$245</f>
        <v>1</v>
      </c>
      <c r="AM21" s="4">
        <f xml:space="preserve">  Time!AM$245</f>
        <v>1</v>
      </c>
      <c r="AN21" s="4">
        <f xml:space="preserve">  Time!AN$245</f>
        <v>1</v>
      </c>
      <c r="AO21" s="4">
        <f xml:space="preserve">  Time!AO$245</f>
        <v>1</v>
      </c>
      <c r="AP21" s="4">
        <f xml:space="preserve">  Time!AP$245</f>
        <v>1</v>
      </c>
      <c r="AQ21" s="4">
        <f xml:space="preserve">  Time!AQ$245</f>
        <v>1</v>
      </c>
      <c r="AR21" s="4">
        <f xml:space="preserve">  Time!AR$245</f>
        <v>1</v>
      </c>
      <c r="AS21" s="4">
        <f xml:space="preserve">  Time!AS$245</f>
        <v>1</v>
      </c>
      <c r="AT21" s="4">
        <f xml:space="preserve">  Time!AT$245</f>
        <v>1</v>
      </c>
      <c r="AU21" s="4">
        <f xml:space="preserve">  Time!AU$245</f>
        <v>1</v>
      </c>
      <c r="AV21" s="4">
        <f xml:space="preserve">  Time!AV$245</f>
        <v>1</v>
      </c>
      <c r="AW21" s="4">
        <f xml:space="preserve">  Time!AW$245</f>
        <v>1</v>
      </c>
      <c r="AX21" s="4">
        <f xml:space="preserve">  Time!AX$245</f>
        <v>1</v>
      </c>
      <c r="AY21" s="4">
        <f xml:space="preserve">  Time!AY$245</f>
        <v>1</v>
      </c>
      <c r="AZ21" s="4">
        <f xml:space="preserve">  Time!AZ$245</f>
        <v>1</v>
      </c>
      <c r="BA21" s="4">
        <f xml:space="preserve">  Time!BA$245</f>
        <v>1</v>
      </c>
      <c r="BB21" s="4">
        <f xml:space="preserve">  Time!BB$245</f>
        <v>1</v>
      </c>
      <c r="BC21" s="4">
        <f xml:space="preserve">  Time!BC$245</f>
        <v>1</v>
      </c>
      <c r="BD21" s="4">
        <f xml:space="preserve">  Time!BD$245</f>
        <v>1</v>
      </c>
      <c r="BE21" s="4">
        <f xml:space="preserve">  Time!BE$245</f>
        <v>1</v>
      </c>
      <c r="BF21" s="4">
        <f xml:space="preserve">  Time!BF$245</f>
        <v>1</v>
      </c>
      <c r="BG21" s="4">
        <f xml:space="preserve">  Time!BG$245</f>
        <v>1</v>
      </c>
      <c r="BH21" s="4">
        <f xml:space="preserve">  Time!BH$245</f>
        <v>1</v>
      </c>
      <c r="BI21" s="4">
        <f xml:space="preserve">  Time!BI$245</f>
        <v>1</v>
      </c>
      <c r="BJ21" s="4">
        <f xml:space="preserve">  Time!BJ$245</f>
        <v>1</v>
      </c>
      <c r="BK21" s="4">
        <f xml:space="preserve">  Time!BK$245</f>
        <v>1</v>
      </c>
      <c r="BL21" s="4">
        <f xml:space="preserve">  Time!BL$245</f>
        <v>1</v>
      </c>
      <c r="BM21" s="4">
        <f xml:space="preserve">  Time!BM$245</f>
        <v>1</v>
      </c>
      <c r="BN21" s="4">
        <f xml:space="preserve">  Time!BN$245</f>
        <v>1</v>
      </c>
      <c r="BO21" s="4">
        <f xml:space="preserve">  Time!BO$245</f>
        <v>1</v>
      </c>
      <c r="BP21" s="4">
        <f xml:space="preserve">  Time!BP$245</f>
        <v>1</v>
      </c>
      <c r="BQ21" s="4">
        <f xml:space="preserve">  Time!BQ$245</f>
        <v>1</v>
      </c>
    </row>
    <row r="22" spans="1:69" outlineLevel="1">
      <c r="A22" s="36"/>
      <c r="B22" s="36"/>
      <c r="C22" s="65"/>
      <c r="D22" s="64"/>
      <c r="E22" s="21" t="s">
        <v>16</v>
      </c>
      <c r="F22" s="21"/>
      <c r="G22" s="21" t="s">
        <v>252</v>
      </c>
      <c r="H22" s="3">
        <f ca="1" xml:space="preserve"> SUM( J22:BQ22 )</f>
        <v>5775000</v>
      </c>
      <c r="I22" s="21"/>
      <c r="J22" s="3">
        <f t="shared" ref="J22:BQ22" ca="1" si="5" xml:space="preserve">  J21 * J20 * $F18 * $F19</f>
        <v>175000</v>
      </c>
      <c r="K22" s="3">
        <f t="shared" ca="1" si="5"/>
        <v>0</v>
      </c>
      <c r="L22" s="3">
        <f t="shared" ca="1" si="5"/>
        <v>0</v>
      </c>
      <c r="M22" s="3">
        <f t="shared" ca="1" si="5"/>
        <v>0</v>
      </c>
      <c r="N22" s="3">
        <f t="shared" ca="1" si="5"/>
        <v>0</v>
      </c>
      <c r="O22" s="3">
        <f t="shared" ca="1" si="5"/>
        <v>0</v>
      </c>
      <c r="P22" s="3">
        <f t="shared" ca="1" si="5"/>
        <v>175000</v>
      </c>
      <c r="Q22" s="3">
        <f t="shared" ca="1" si="5"/>
        <v>0</v>
      </c>
      <c r="R22" s="3">
        <f t="shared" ca="1" si="5"/>
        <v>0</v>
      </c>
      <c r="S22" s="3">
        <f t="shared" ca="1" si="5"/>
        <v>0</v>
      </c>
      <c r="T22" s="3">
        <f t="shared" ca="1" si="5"/>
        <v>0</v>
      </c>
      <c r="U22" s="3">
        <f t="shared" ca="1" si="5"/>
        <v>0</v>
      </c>
      <c r="V22" s="3">
        <f t="shared" ca="1" si="5"/>
        <v>175000</v>
      </c>
      <c r="W22" s="3">
        <f t="shared" ca="1" si="5"/>
        <v>0</v>
      </c>
      <c r="X22" s="3">
        <f t="shared" ca="1" si="5"/>
        <v>0</v>
      </c>
      <c r="Y22" s="3">
        <f t="shared" ca="1" si="5"/>
        <v>0</v>
      </c>
      <c r="Z22" s="3">
        <f t="shared" ca="1" si="5"/>
        <v>175000</v>
      </c>
      <c r="AA22" s="3">
        <f t="shared" ca="1" si="5"/>
        <v>0</v>
      </c>
      <c r="AB22" s="3">
        <f t="shared" ca="1" si="5"/>
        <v>0</v>
      </c>
      <c r="AC22" s="3">
        <f t="shared" ca="1" si="5"/>
        <v>0</v>
      </c>
      <c r="AD22" s="3">
        <f t="shared" ca="1" si="5"/>
        <v>175000</v>
      </c>
      <c r="AE22" s="3">
        <f t="shared" ca="1" si="5"/>
        <v>0</v>
      </c>
      <c r="AF22" s="3">
        <f t="shared" ca="1" si="5"/>
        <v>0</v>
      </c>
      <c r="AG22" s="3">
        <f t="shared" ca="1" si="5"/>
        <v>175000</v>
      </c>
      <c r="AH22" s="3">
        <f t="shared" ca="1" si="5"/>
        <v>0</v>
      </c>
      <c r="AI22" s="3">
        <f t="shared" ca="1" si="5"/>
        <v>175000</v>
      </c>
      <c r="AJ22" s="3">
        <f t="shared" ca="1" si="5"/>
        <v>0</v>
      </c>
      <c r="AK22" s="3">
        <f t="shared" ca="1" si="5"/>
        <v>0</v>
      </c>
      <c r="AL22" s="3">
        <f t="shared" ca="1" si="5"/>
        <v>175000</v>
      </c>
      <c r="AM22" s="3">
        <f t="shared" ca="1" si="5"/>
        <v>0</v>
      </c>
      <c r="AN22" s="3">
        <f t="shared" ca="1" si="5"/>
        <v>0</v>
      </c>
      <c r="AO22" s="3">
        <f t="shared" ca="1" si="5"/>
        <v>175000</v>
      </c>
      <c r="AP22" s="3">
        <f t="shared" ca="1" si="5"/>
        <v>0</v>
      </c>
      <c r="AQ22" s="3">
        <f t="shared" ca="1" si="5"/>
        <v>175000</v>
      </c>
      <c r="AR22" s="3">
        <f t="shared" ca="1" si="5"/>
        <v>0</v>
      </c>
      <c r="AS22" s="3">
        <f t="shared" ca="1" si="5"/>
        <v>175000</v>
      </c>
      <c r="AT22" s="3">
        <f t="shared" ca="1" si="5"/>
        <v>175000</v>
      </c>
      <c r="AU22" s="3">
        <f t="shared" ca="1" si="5"/>
        <v>0</v>
      </c>
      <c r="AV22" s="3">
        <f t="shared" ca="1" si="5"/>
        <v>175000</v>
      </c>
      <c r="AW22" s="3">
        <f t="shared" ca="1" si="5"/>
        <v>175000</v>
      </c>
      <c r="AX22" s="3">
        <f t="shared" ca="1" si="5"/>
        <v>0</v>
      </c>
      <c r="AY22" s="3">
        <f t="shared" ca="1" si="5"/>
        <v>175000</v>
      </c>
      <c r="AZ22" s="3">
        <f t="shared" ca="1" si="5"/>
        <v>175000</v>
      </c>
      <c r="BA22" s="3">
        <f t="shared" ca="1" si="5"/>
        <v>175000</v>
      </c>
      <c r="BB22" s="3">
        <f t="shared" ca="1" si="5"/>
        <v>175000</v>
      </c>
      <c r="BC22" s="3">
        <f t="shared" ca="1" si="5"/>
        <v>175000</v>
      </c>
      <c r="BD22" s="3">
        <f t="shared" ca="1" si="5"/>
        <v>175000</v>
      </c>
      <c r="BE22" s="3">
        <f t="shared" ca="1" si="5"/>
        <v>175000</v>
      </c>
      <c r="BF22" s="3">
        <f t="shared" ca="1" si="5"/>
        <v>175000</v>
      </c>
      <c r="BG22" s="3">
        <f t="shared" ca="1" si="5"/>
        <v>175000</v>
      </c>
      <c r="BH22" s="3">
        <f t="shared" ca="1" si="5"/>
        <v>175000</v>
      </c>
      <c r="BI22" s="3">
        <f t="shared" ca="1" si="5"/>
        <v>175000</v>
      </c>
      <c r="BJ22" s="3">
        <f t="shared" ca="1" si="5"/>
        <v>175000</v>
      </c>
      <c r="BK22" s="3">
        <f t="shared" ca="1" si="5"/>
        <v>175000</v>
      </c>
      <c r="BL22" s="3">
        <f t="shared" ca="1" si="5"/>
        <v>175000</v>
      </c>
      <c r="BM22" s="3">
        <f t="shared" ca="1" si="5"/>
        <v>175000</v>
      </c>
      <c r="BN22" s="3">
        <f t="shared" ca="1" si="5"/>
        <v>175000</v>
      </c>
      <c r="BO22" s="3">
        <f t="shared" ca="1" si="5"/>
        <v>175000</v>
      </c>
      <c r="BP22" s="3">
        <f t="shared" ca="1" si="5"/>
        <v>175000</v>
      </c>
      <c r="BQ22" s="3">
        <f t="shared" ca="1" si="5"/>
        <v>175000</v>
      </c>
    </row>
    <row r="25" spans="1:69">
      <c r="B25" s="27" t="s">
        <v>259</v>
      </c>
    </row>
    <row r="26" spans="1:69" outlineLevel="1">
      <c r="A26" s="18"/>
      <c r="B26" s="18"/>
      <c r="C26" s="30"/>
      <c r="D26" s="31"/>
      <c r="E26" s="4" t="str">
        <f xml:space="preserve">  InpC!E$76</f>
        <v>Asset Finance Period</v>
      </c>
      <c r="F26" s="4">
        <f xml:space="preserve">  InpC!F$76</f>
        <v>24</v>
      </c>
      <c r="G26" s="4" t="str">
        <f xml:space="preserve">  InpC!G$76</f>
        <v>Months</v>
      </c>
      <c r="M26" s="2"/>
    </row>
    <row r="27" spans="1:69" outlineLevel="1">
      <c r="E27" s="2" t="str">
        <f t="shared" ref="E27:BQ27" si="6" xml:space="preserve">  E$11</f>
        <v>Asset Finance balance BEG</v>
      </c>
      <c r="F27" s="2">
        <f t="shared" si="6"/>
        <v>0</v>
      </c>
      <c r="G27" s="2" t="str">
        <f t="shared" si="6"/>
        <v>GBP</v>
      </c>
      <c r="H27" s="2">
        <f t="shared" si="6"/>
        <v>0</v>
      </c>
      <c r="I27" s="2">
        <f t="shared" si="6"/>
        <v>0</v>
      </c>
      <c r="J27" s="2">
        <f t="shared" si="6"/>
        <v>0</v>
      </c>
      <c r="K27" s="2">
        <f t="shared" ca="1" si="6"/>
        <v>175000</v>
      </c>
      <c r="L27" s="2">
        <f t="shared" ca="1" si="6"/>
        <v>167708.33333333334</v>
      </c>
      <c r="M27" s="2">
        <f t="shared" ca="1" si="6"/>
        <v>160720.48611111112</v>
      </c>
      <c r="N27" s="2">
        <f t="shared" ca="1" si="6"/>
        <v>154023.79918981483</v>
      </c>
      <c r="O27" s="2">
        <f t="shared" ca="1" si="6"/>
        <v>147606.14089023921</v>
      </c>
      <c r="P27" s="2">
        <f t="shared" ca="1" si="6"/>
        <v>141455.88501981259</v>
      </c>
      <c r="Q27" s="2">
        <f t="shared" ca="1" si="6"/>
        <v>310561.88981065375</v>
      </c>
      <c r="R27" s="2">
        <f t="shared" ca="1" si="6"/>
        <v>297621.81106854317</v>
      </c>
      <c r="S27" s="2">
        <f t="shared" ca="1" si="6"/>
        <v>285220.90227402054</v>
      </c>
      <c r="T27" s="2">
        <f t="shared" ca="1" si="6"/>
        <v>273336.69801260304</v>
      </c>
      <c r="U27" s="2">
        <f t="shared" ca="1" si="6"/>
        <v>261947.66892874459</v>
      </c>
      <c r="V27" s="2">
        <f t="shared" ca="1" si="6"/>
        <v>251033.18272338025</v>
      </c>
      <c r="W27" s="2">
        <f t="shared" ca="1" si="6"/>
        <v>415573.46677657275</v>
      </c>
      <c r="X27" s="2">
        <f t="shared" ca="1" si="6"/>
        <v>398257.90566088224</v>
      </c>
      <c r="Y27" s="2">
        <f t="shared" ca="1" si="6"/>
        <v>381663.82625834551</v>
      </c>
      <c r="Z27" s="2">
        <f t="shared" ca="1" si="6"/>
        <v>365761.16683091444</v>
      </c>
      <c r="AA27" s="2">
        <f t="shared" ca="1" si="6"/>
        <v>525521.11821295973</v>
      </c>
      <c r="AB27" s="2">
        <f t="shared" ca="1" si="6"/>
        <v>503624.40495408641</v>
      </c>
      <c r="AC27" s="2">
        <f t="shared" ca="1" si="6"/>
        <v>482640.05474766612</v>
      </c>
      <c r="AD27" s="2">
        <f t="shared" ca="1" si="6"/>
        <v>462530.05246651336</v>
      </c>
      <c r="AE27" s="2">
        <f t="shared" ca="1" si="6"/>
        <v>618257.96694707533</v>
      </c>
      <c r="AF27" s="2">
        <f t="shared" ca="1" si="6"/>
        <v>592497.21832428058</v>
      </c>
      <c r="AG27" s="2">
        <f t="shared" ca="1" si="6"/>
        <v>567809.83422743552</v>
      </c>
      <c r="AH27" s="2">
        <f t="shared" ca="1" si="6"/>
        <v>719151.09113462572</v>
      </c>
      <c r="AI27" s="2">
        <f t="shared" ca="1" si="6"/>
        <v>689186.46233734966</v>
      </c>
      <c r="AJ27" s="2">
        <f t="shared" ca="1" si="6"/>
        <v>835470.35973996005</v>
      </c>
      <c r="AK27" s="2">
        <f t="shared" ca="1" si="6"/>
        <v>800659.09475079505</v>
      </c>
      <c r="AL27" s="2">
        <f t="shared" ca="1" si="6"/>
        <v>767298.29913617857</v>
      </c>
      <c r="AM27" s="2">
        <f t="shared" ca="1" si="6"/>
        <v>910327.53667217109</v>
      </c>
      <c r="AN27" s="2">
        <f t="shared" ca="1" si="6"/>
        <v>872397.22264416399</v>
      </c>
      <c r="AO27" s="2">
        <f t="shared" ca="1" si="6"/>
        <v>836047.33836732386</v>
      </c>
      <c r="AP27" s="2">
        <f t="shared" ca="1" si="6"/>
        <v>976212.03260201868</v>
      </c>
      <c r="AQ27" s="2">
        <f t="shared" ca="1" si="6"/>
        <v>935536.53124360123</v>
      </c>
      <c r="AR27" s="2">
        <f t="shared" ca="1" si="6"/>
        <v>1071555.8424417847</v>
      </c>
      <c r="AS27" s="2">
        <f t="shared" ca="1" si="6"/>
        <v>1026907.6823400436</v>
      </c>
      <c r="AT27" s="2">
        <f t="shared" ca="1" si="6"/>
        <v>1159119.8622425417</v>
      </c>
      <c r="AU27" s="2">
        <f t="shared" ca="1" si="6"/>
        <v>1285823.2013157692</v>
      </c>
      <c r="AV27" s="2">
        <f t="shared" ca="1" si="6"/>
        <v>1232247.2345942787</v>
      </c>
      <c r="AW27" s="2">
        <f t="shared" ca="1" si="6"/>
        <v>1355903.5998195172</v>
      </c>
      <c r="AX27" s="2">
        <f t="shared" ca="1" si="6"/>
        <v>1474407.616493704</v>
      </c>
      <c r="AY27" s="2">
        <f t="shared" ca="1" si="6"/>
        <v>1412973.9658064663</v>
      </c>
      <c r="AZ27" s="2">
        <f t="shared" ca="1" si="6"/>
        <v>1529100.0505645303</v>
      </c>
      <c r="BA27" s="2">
        <f t="shared" ca="1" si="6"/>
        <v>1640387.5484576749</v>
      </c>
      <c r="BB27" s="2">
        <f t="shared" ca="1" si="6"/>
        <v>1747038.0672719385</v>
      </c>
      <c r="BC27" s="2">
        <f t="shared" ca="1" si="6"/>
        <v>1849244.8144689412</v>
      </c>
      <c r="BD27" s="2">
        <f t="shared" ca="1" si="6"/>
        <v>1947192.9471994019</v>
      </c>
      <c r="BE27" s="2">
        <f t="shared" ca="1" si="6"/>
        <v>2041059.9077327601</v>
      </c>
      <c r="BF27" s="2">
        <f t="shared" ca="1" si="6"/>
        <v>2131015.7449105619</v>
      </c>
      <c r="BG27" s="2">
        <f t="shared" ca="1" si="6"/>
        <v>2217223.4222059553</v>
      </c>
      <c r="BH27" s="2">
        <f t="shared" ca="1" si="6"/>
        <v>2299839.1129473737</v>
      </c>
      <c r="BI27" s="2">
        <f t="shared" ca="1" si="6"/>
        <v>2379012.483241233</v>
      </c>
      <c r="BJ27" s="2">
        <f t="shared" ca="1" si="6"/>
        <v>2454886.9631061815</v>
      </c>
      <c r="BK27" s="2">
        <f t="shared" ca="1" si="6"/>
        <v>2527600.0063100904</v>
      </c>
      <c r="BL27" s="2">
        <f t="shared" ca="1" si="6"/>
        <v>2597283.3393805032</v>
      </c>
      <c r="BM27" s="2">
        <f t="shared" ca="1" si="6"/>
        <v>2664063.200239649</v>
      </c>
      <c r="BN27" s="2">
        <f t="shared" ca="1" si="6"/>
        <v>2728060.5668963306</v>
      </c>
      <c r="BO27" s="2">
        <f t="shared" ca="1" si="6"/>
        <v>2789391.3766089836</v>
      </c>
      <c r="BP27" s="2">
        <f t="shared" ca="1" si="6"/>
        <v>2848166.7359169428</v>
      </c>
      <c r="BQ27" s="2">
        <f t="shared" ca="1" si="6"/>
        <v>2904493.1219204036</v>
      </c>
    </row>
    <row r="28" spans="1:69" outlineLevel="1">
      <c r="E28" s="46" t="s">
        <v>245</v>
      </c>
      <c r="G28" s="46" t="s">
        <v>252</v>
      </c>
      <c r="H28" s="2">
        <f t="shared" ref="H28:H29" ca="1" si="7" xml:space="preserve"> SUM( J28:BQ28 )</f>
        <v>2816527.4248262797</v>
      </c>
      <c r="J28" s="2">
        <f t="shared" ref="J28:BQ28" si="8" xml:space="preserve">  J27 / $F26</f>
        <v>0</v>
      </c>
      <c r="K28" s="2">
        <f t="shared" ca="1" si="8"/>
        <v>7291.666666666667</v>
      </c>
      <c r="L28" s="2">
        <f t="shared" ca="1" si="8"/>
        <v>6987.8472222222226</v>
      </c>
      <c r="M28" s="2">
        <f t="shared" ca="1" si="8"/>
        <v>6696.6869212962965</v>
      </c>
      <c r="N28" s="2">
        <f t="shared" ca="1" si="8"/>
        <v>6417.658299575618</v>
      </c>
      <c r="O28" s="2">
        <f t="shared" ca="1" si="8"/>
        <v>6150.2558704266339</v>
      </c>
      <c r="P28" s="2">
        <f t="shared" ca="1" si="8"/>
        <v>5893.9952091588575</v>
      </c>
      <c r="Q28" s="2">
        <f t="shared" ca="1" si="8"/>
        <v>12940.078742110572</v>
      </c>
      <c r="R28" s="2">
        <f t="shared" ca="1" si="8"/>
        <v>12400.908794522633</v>
      </c>
      <c r="S28" s="2">
        <f t="shared" ca="1" si="8"/>
        <v>11884.204261417523</v>
      </c>
      <c r="T28" s="2">
        <f t="shared" ca="1" si="8"/>
        <v>11389.029083858461</v>
      </c>
      <c r="U28" s="2">
        <f t="shared" ca="1" si="8"/>
        <v>10914.486205364357</v>
      </c>
      <c r="V28" s="2">
        <f t="shared" ca="1" si="8"/>
        <v>10459.71594680751</v>
      </c>
      <c r="W28" s="2">
        <f t="shared" ca="1" si="8"/>
        <v>17315.561115690532</v>
      </c>
      <c r="X28" s="2">
        <f t="shared" ca="1" si="8"/>
        <v>16594.079402536761</v>
      </c>
      <c r="Y28" s="2">
        <f t="shared" ca="1" si="8"/>
        <v>15902.659427431063</v>
      </c>
      <c r="Z28" s="2">
        <f t="shared" ca="1" si="8"/>
        <v>15240.048617954768</v>
      </c>
      <c r="AA28" s="2">
        <f t="shared" ca="1" si="8"/>
        <v>21896.713258873322</v>
      </c>
      <c r="AB28" s="2">
        <f t="shared" ca="1" si="8"/>
        <v>20984.350206420266</v>
      </c>
      <c r="AC28" s="2">
        <f t="shared" ca="1" si="8"/>
        <v>20110.002281152756</v>
      </c>
      <c r="AD28" s="2">
        <f t="shared" ca="1" si="8"/>
        <v>19272.085519438057</v>
      </c>
      <c r="AE28" s="2">
        <f t="shared" ca="1" si="8"/>
        <v>25760.748622794807</v>
      </c>
      <c r="AF28" s="2">
        <f t="shared" ca="1" si="8"/>
        <v>24687.384096845024</v>
      </c>
      <c r="AG28" s="2">
        <f t="shared" ca="1" si="8"/>
        <v>23658.743092809815</v>
      </c>
      <c r="AH28" s="2">
        <f t="shared" ca="1" si="8"/>
        <v>29964.628797276073</v>
      </c>
      <c r="AI28" s="2">
        <f t="shared" ca="1" si="8"/>
        <v>28716.10259738957</v>
      </c>
      <c r="AJ28" s="2">
        <f t="shared" ca="1" si="8"/>
        <v>34811.264989165</v>
      </c>
      <c r="AK28" s="2">
        <f t="shared" ca="1" si="8"/>
        <v>33360.795614616458</v>
      </c>
      <c r="AL28" s="2">
        <f t="shared" ca="1" si="8"/>
        <v>31970.762464007439</v>
      </c>
      <c r="AM28" s="2">
        <f t="shared" ca="1" si="8"/>
        <v>37930.314028007131</v>
      </c>
      <c r="AN28" s="2">
        <f t="shared" ca="1" si="8"/>
        <v>36349.884276840166</v>
      </c>
      <c r="AO28" s="2">
        <f t="shared" ca="1" si="8"/>
        <v>34835.305765305158</v>
      </c>
      <c r="AP28" s="2">
        <f t="shared" ca="1" si="8"/>
        <v>40675.501358417445</v>
      </c>
      <c r="AQ28" s="2">
        <f t="shared" ca="1" si="8"/>
        <v>38980.688801816716</v>
      </c>
      <c r="AR28" s="2">
        <f t="shared" ca="1" si="8"/>
        <v>44648.160101741028</v>
      </c>
      <c r="AS28" s="2">
        <f t="shared" ca="1" si="8"/>
        <v>42787.820097501819</v>
      </c>
      <c r="AT28" s="2">
        <f t="shared" ca="1" si="8"/>
        <v>48296.660926772573</v>
      </c>
      <c r="AU28" s="2">
        <f t="shared" ca="1" si="8"/>
        <v>53575.966721490382</v>
      </c>
      <c r="AV28" s="2">
        <f t="shared" ca="1" si="8"/>
        <v>51343.634774761616</v>
      </c>
      <c r="AW28" s="2">
        <f t="shared" ca="1" si="8"/>
        <v>56495.98332581322</v>
      </c>
      <c r="AX28" s="2">
        <f t="shared" ca="1" si="8"/>
        <v>61433.65068723767</v>
      </c>
      <c r="AY28" s="2">
        <f t="shared" ca="1" si="8"/>
        <v>58873.915241936098</v>
      </c>
      <c r="AZ28" s="2">
        <f t="shared" ca="1" si="8"/>
        <v>63712.502106855427</v>
      </c>
      <c r="BA28" s="2">
        <f t="shared" ca="1" si="8"/>
        <v>68349.481185736455</v>
      </c>
      <c r="BB28" s="2">
        <f t="shared" ca="1" si="8"/>
        <v>72793.252802997435</v>
      </c>
      <c r="BC28" s="2">
        <f t="shared" ca="1" si="8"/>
        <v>77051.867269539216</v>
      </c>
      <c r="BD28" s="2">
        <f t="shared" ca="1" si="8"/>
        <v>81133.039466641741</v>
      </c>
      <c r="BE28" s="2">
        <f t="shared" ca="1" si="8"/>
        <v>85044.162822198341</v>
      </c>
      <c r="BF28" s="2">
        <f t="shared" ca="1" si="8"/>
        <v>88792.322704606748</v>
      </c>
      <c r="BG28" s="2">
        <f t="shared" ca="1" si="8"/>
        <v>92384.309258581474</v>
      </c>
      <c r="BH28" s="2">
        <f t="shared" ca="1" si="8"/>
        <v>95826.629706140564</v>
      </c>
      <c r="BI28" s="2">
        <f t="shared" ca="1" si="8"/>
        <v>99125.520135051382</v>
      </c>
      <c r="BJ28" s="2">
        <f t="shared" ca="1" si="8"/>
        <v>102286.95679609089</v>
      </c>
      <c r="BK28" s="2">
        <f t="shared" ca="1" si="8"/>
        <v>105316.6669295871</v>
      </c>
      <c r="BL28" s="2">
        <f t="shared" ca="1" si="8"/>
        <v>108220.1391408543</v>
      </c>
      <c r="BM28" s="2">
        <f t="shared" ca="1" si="8"/>
        <v>111002.63334331871</v>
      </c>
      <c r="BN28" s="2">
        <f t="shared" ca="1" si="8"/>
        <v>113669.19028734711</v>
      </c>
      <c r="BO28" s="2">
        <f t="shared" ca="1" si="8"/>
        <v>116224.64069204098</v>
      </c>
      <c r="BP28" s="2">
        <f t="shared" ca="1" si="8"/>
        <v>118673.61399653928</v>
      </c>
      <c r="BQ28" s="2">
        <f t="shared" ca="1" si="8"/>
        <v>121020.54674668348</v>
      </c>
    </row>
    <row r="29" spans="1:69" outlineLevel="1">
      <c r="A29" s="36"/>
      <c r="B29" s="36"/>
      <c r="C29" s="65"/>
      <c r="D29" s="64"/>
      <c r="E29" s="21" t="str">
        <f xml:space="preserve"> LEFT($E$28, LEN($E$28) - 3 )</f>
        <v xml:space="preserve">Asset Finance principal repayment </v>
      </c>
      <c r="F29" s="21"/>
      <c r="G29" s="21" t="str">
        <f xml:space="preserve"> G$28</f>
        <v>GBP</v>
      </c>
      <c r="H29" s="3">
        <f t="shared" ca="1" si="7"/>
        <v>-2816527.4248262797</v>
      </c>
      <c r="I29" s="21"/>
      <c r="J29" s="3">
        <f t="shared" ref="J29:BQ29" si="9" xml:space="preserve"> -1 * J28</f>
        <v>0</v>
      </c>
      <c r="K29" s="3">
        <f t="shared" ca="1" si="9"/>
        <v>-7291.666666666667</v>
      </c>
      <c r="L29" s="3">
        <f t="shared" ca="1" si="9"/>
        <v>-6987.8472222222226</v>
      </c>
      <c r="M29" s="3">
        <f t="shared" ca="1" si="9"/>
        <v>-6696.6869212962965</v>
      </c>
      <c r="N29" s="3">
        <f t="shared" ca="1" si="9"/>
        <v>-6417.658299575618</v>
      </c>
      <c r="O29" s="3">
        <f t="shared" ca="1" si="9"/>
        <v>-6150.2558704266339</v>
      </c>
      <c r="P29" s="3">
        <f t="shared" ca="1" si="9"/>
        <v>-5893.9952091588575</v>
      </c>
      <c r="Q29" s="3">
        <f t="shared" ca="1" si="9"/>
        <v>-12940.078742110572</v>
      </c>
      <c r="R29" s="3">
        <f t="shared" ca="1" si="9"/>
        <v>-12400.908794522633</v>
      </c>
      <c r="S29" s="3">
        <f t="shared" ca="1" si="9"/>
        <v>-11884.204261417523</v>
      </c>
      <c r="T29" s="3">
        <f t="shared" ca="1" si="9"/>
        <v>-11389.029083858461</v>
      </c>
      <c r="U29" s="3">
        <f t="shared" ca="1" si="9"/>
        <v>-10914.486205364357</v>
      </c>
      <c r="V29" s="3">
        <f t="shared" ca="1" si="9"/>
        <v>-10459.71594680751</v>
      </c>
      <c r="W29" s="3">
        <f t="shared" ca="1" si="9"/>
        <v>-17315.561115690532</v>
      </c>
      <c r="X29" s="3">
        <f t="shared" ca="1" si="9"/>
        <v>-16594.079402536761</v>
      </c>
      <c r="Y29" s="3">
        <f t="shared" ca="1" si="9"/>
        <v>-15902.659427431063</v>
      </c>
      <c r="Z29" s="3">
        <f t="shared" ca="1" si="9"/>
        <v>-15240.048617954768</v>
      </c>
      <c r="AA29" s="3">
        <f t="shared" ca="1" si="9"/>
        <v>-21896.713258873322</v>
      </c>
      <c r="AB29" s="3">
        <f t="shared" ca="1" si="9"/>
        <v>-20984.350206420266</v>
      </c>
      <c r="AC29" s="3">
        <f t="shared" ca="1" si="9"/>
        <v>-20110.002281152756</v>
      </c>
      <c r="AD29" s="3">
        <f t="shared" ca="1" si="9"/>
        <v>-19272.085519438057</v>
      </c>
      <c r="AE29" s="3">
        <f t="shared" ca="1" si="9"/>
        <v>-25760.748622794807</v>
      </c>
      <c r="AF29" s="3">
        <f t="shared" ca="1" si="9"/>
        <v>-24687.384096845024</v>
      </c>
      <c r="AG29" s="3">
        <f t="shared" ca="1" si="9"/>
        <v>-23658.743092809815</v>
      </c>
      <c r="AH29" s="3">
        <f t="shared" ca="1" si="9"/>
        <v>-29964.628797276073</v>
      </c>
      <c r="AI29" s="3">
        <f t="shared" ca="1" si="9"/>
        <v>-28716.10259738957</v>
      </c>
      <c r="AJ29" s="3">
        <f t="shared" ca="1" si="9"/>
        <v>-34811.264989165</v>
      </c>
      <c r="AK29" s="3">
        <f t="shared" ca="1" si="9"/>
        <v>-33360.795614616458</v>
      </c>
      <c r="AL29" s="3">
        <f t="shared" ca="1" si="9"/>
        <v>-31970.762464007439</v>
      </c>
      <c r="AM29" s="3">
        <f t="shared" ca="1" si="9"/>
        <v>-37930.314028007131</v>
      </c>
      <c r="AN29" s="3">
        <f t="shared" ca="1" si="9"/>
        <v>-36349.884276840166</v>
      </c>
      <c r="AO29" s="3">
        <f t="shared" ca="1" si="9"/>
        <v>-34835.305765305158</v>
      </c>
      <c r="AP29" s="3">
        <f t="shared" ca="1" si="9"/>
        <v>-40675.501358417445</v>
      </c>
      <c r="AQ29" s="3">
        <f t="shared" ca="1" si="9"/>
        <v>-38980.688801816716</v>
      </c>
      <c r="AR29" s="3">
        <f t="shared" ca="1" si="9"/>
        <v>-44648.160101741028</v>
      </c>
      <c r="AS29" s="3">
        <f t="shared" ca="1" si="9"/>
        <v>-42787.820097501819</v>
      </c>
      <c r="AT29" s="3">
        <f t="shared" ca="1" si="9"/>
        <v>-48296.660926772573</v>
      </c>
      <c r="AU29" s="3">
        <f t="shared" ca="1" si="9"/>
        <v>-53575.966721490382</v>
      </c>
      <c r="AV29" s="3">
        <f t="shared" ca="1" si="9"/>
        <v>-51343.634774761616</v>
      </c>
      <c r="AW29" s="3">
        <f t="shared" ca="1" si="9"/>
        <v>-56495.98332581322</v>
      </c>
      <c r="AX29" s="3">
        <f t="shared" ca="1" si="9"/>
        <v>-61433.65068723767</v>
      </c>
      <c r="AY29" s="3">
        <f t="shared" ca="1" si="9"/>
        <v>-58873.915241936098</v>
      </c>
      <c r="AZ29" s="3">
        <f t="shared" ca="1" si="9"/>
        <v>-63712.502106855427</v>
      </c>
      <c r="BA29" s="3">
        <f t="shared" ca="1" si="9"/>
        <v>-68349.481185736455</v>
      </c>
      <c r="BB29" s="3">
        <f t="shared" ca="1" si="9"/>
        <v>-72793.252802997435</v>
      </c>
      <c r="BC29" s="3">
        <f t="shared" ca="1" si="9"/>
        <v>-77051.867269539216</v>
      </c>
      <c r="BD29" s="3">
        <f t="shared" ca="1" si="9"/>
        <v>-81133.039466641741</v>
      </c>
      <c r="BE29" s="3">
        <f t="shared" ca="1" si="9"/>
        <v>-85044.162822198341</v>
      </c>
      <c r="BF29" s="3">
        <f t="shared" ca="1" si="9"/>
        <v>-88792.322704606748</v>
      </c>
      <c r="BG29" s="3">
        <f t="shared" ca="1" si="9"/>
        <v>-92384.309258581474</v>
      </c>
      <c r="BH29" s="3">
        <f t="shared" ca="1" si="9"/>
        <v>-95826.629706140564</v>
      </c>
      <c r="BI29" s="3">
        <f t="shared" ca="1" si="9"/>
        <v>-99125.520135051382</v>
      </c>
      <c r="BJ29" s="3">
        <f t="shared" ca="1" si="9"/>
        <v>-102286.95679609089</v>
      </c>
      <c r="BK29" s="3">
        <f t="shared" ca="1" si="9"/>
        <v>-105316.6669295871</v>
      </c>
      <c r="BL29" s="3">
        <f t="shared" ca="1" si="9"/>
        <v>-108220.1391408543</v>
      </c>
      <c r="BM29" s="3">
        <f t="shared" ca="1" si="9"/>
        <v>-111002.63334331871</v>
      </c>
      <c r="BN29" s="3">
        <f t="shared" ca="1" si="9"/>
        <v>-113669.19028734711</v>
      </c>
      <c r="BO29" s="3">
        <f t="shared" ca="1" si="9"/>
        <v>-116224.64069204098</v>
      </c>
      <c r="BP29" s="3">
        <f t="shared" ca="1" si="9"/>
        <v>-118673.61399653928</v>
      </c>
      <c r="BQ29" s="3">
        <f t="shared" ca="1" si="9"/>
        <v>-121020.54674668348</v>
      </c>
    </row>
    <row r="32" spans="1:69">
      <c r="B32" s="27" t="s">
        <v>317</v>
      </c>
    </row>
    <row r="33" spans="1:69" outlineLevel="1">
      <c r="E33" s="2" t="str">
        <f t="shared" ref="E33:BQ33" si="10" xml:space="preserve">  E$41</f>
        <v>Asset Finance interest POS</v>
      </c>
      <c r="F33" s="2">
        <f t="shared" si="10"/>
        <v>0</v>
      </c>
      <c r="G33" s="2" t="str">
        <f t="shared" si="10"/>
        <v>GBP</v>
      </c>
      <c r="H33" s="2">
        <f t="shared" ca="1" si="10"/>
        <v>450644.387972205</v>
      </c>
      <c r="I33" s="2">
        <f t="shared" si="10"/>
        <v>0</v>
      </c>
      <c r="J33" s="2">
        <f t="shared" si="10"/>
        <v>0</v>
      </c>
      <c r="K33" s="2">
        <f t="shared" ca="1" si="10"/>
        <v>1166.6666666666667</v>
      </c>
      <c r="L33" s="2">
        <f t="shared" ca="1" si="10"/>
        <v>1118.0555555555557</v>
      </c>
      <c r="M33" s="2">
        <f t="shared" ca="1" si="10"/>
        <v>1071.4699074074076</v>
      </c>
      <c r="N33" s="2">
        <f t="shared" ca="1" si="10"/>
        <v>1026.8253279320988</v>
      </c>
      <c r="O33" s="2">
        <f t="shared" ca="1" si="10"/>
        <v>984.04093926826147</v>
      </c>
      <c r="P33" s="2">
        <f t="shared" ca="1" si="10"/>
        <v>943.03923346541728</v>
      </c>
      <c r="Q33" s="2">
        <f t="shared" ca="1" si="10"/>
        <v>2070.412598737692</v>
      </c>
      <c r="R33" s="2">
        <f t="shared" ca="1" si="10"/>
        <v>1984.1454071236212</v>
      </c>
      <c r="S33" s="2">
        <f t="shared" ca="1" si="10"/>
        <v>1901.4726818268036</v>
      </c>
      <c r="T33" s="2">
        <f t="shared" ca="1" si="10"/>
        <v>1822.2446534173537</v>
      </c>
      <c r="U33" s="2">
        <f t="shared" ca="1" si="10"/>
        <v>1746.3177928582975</v>
      </c>
      <c r="V33" s="2">
        <f t="shared" ca="1" si="10"/>
        <v>1673.5545514892017</v>
      </c>
      <c r="W33" s="2">
        <f t="shared" ca="1" si="10"/>
        <v>2770.4897785104854</v>
      </c>
      <c r="X33" s="2">
        <f t="shared" ca="1" si="10"/>
        <v>2655.0527044058817</v>
      </c>
      <c r="Y33" s="2">
        <f t="shared" ca="1" si="10"/>
        <v>2544.4255083889702</v>
      </c>
      <c r="Z33" s="2">
        <f t="shared" ca="1" si="10"/>
        <v>2438.4077788727632</v>
      </c>
      <c r="AA33" s="2">
        <f t="shared" ca="1" si="10"/>
        <v>3503.4741214197315</v>
      </c>
      <c r="AB33" s="2">
        <f t="shared" ca="1" si="10"/>
        <v>3357.4960330272429</v>
      </c>
      <c r="AC33" s="2">
        <f t="shared" ca="1" si="10"/>
        <v>3217.6003649844411</v>
      </c>
      <c r="AD33" s="2">
        <f t="shared" ca="1" si="10"/>
        <v>3083.5336831100894</v>
      </c>
      <c r="AE33" s="2">
        <f t="shared" ca="1" si="10"/>
        <v>4121.7197796471692</v>
      </c>
      <c r="AF33" s="2">
        <f t="shared" ca="1" si="10"/>
        <v>3949.981455495204</v>
      </c>
      <c r="AG33" s="2">
        <f t="shared" ca="1" si="10"/>
        <v>3785.3988948495703</v>
      </c>
      <c r="AH33" s="2">
        <f t="shared" ca="1" si="10"/>
        <v>4794.3406075641715</v>
      </c>
      <c r="AI33" s="2">
        <f t="shared" ca="1" si="10"/>
        <v>4594.5764155823317</v>
      </c>
      <c r="AJ33" s="2">
        <f t="shared" ca="1" si="10"/>
        <v>5569.8023982664008</v>
      </c>
      <c r="AK33" s="2">
        <f t="shared" ca="1" si="10"/>
        <v>5337.7272983386338</v>
      </c>
      <c r="AL33" s="2">
        <f t="shared" ca="1" si="10"/>
        <v>5115.3219942411906</v>
      </c>
      <c r="AM33" s="2">
        <f t="shared" ca="1" si="10"/>
        <v>6068.8502444811411</v>
      </c>
      <c r="AN33" s="2">
        <f t="shared" ca="1" si="10"/>
        <v>5815.981484294427</v>
      </c>
      <c r="AO33" s="2">
        <f t="shared" ca="1" si="10"/>
        <v>5573.6489224488259</v>
      </c>
      <c r="AP33" s="2">
        <f t="shared" ca="1" si="10"/>
        <v>6508.0802173467919</v>
      </c>
      <c r="AQ33" s="2">
        <f t="shared" ca="1" si="10"/>
        <v>6236.9102082906757</v>
      </c>
      <c r="AR33" s="2">
        <f t="shared" ca="1" si="10"/>
        <v>7143.7056162785648</v>
      </c>
      <c r="AS33" s="2">
        <f t="shared" ca="1" si="10"/>
        <v>6846.0512156002915</v>
      </c>
      <c r="AT33" s="2">
        <f t="shared" ca="1" si="10"/>
        <v>7727.4657482836119</v>
      </c>
      <c r="AU33" s="2">
        <f t="shared" ca="1" si="10"/>
        <v>8572.1546754384617</v>
      </c>
      <c r="AV33" s="2">
        <f t="shared" ca="1" si="10"/>
        <v>8214.9815639618591</v>
      </c>
      <c r="AW33" s="2">
        <f t="shared" ca="1" si="10"/>
        <v>9039.3573321301155</v>
      </c>
      <c r="AX33" s="2">
        <f t="shared" ca="1" si="10"/>
        <v>9829.3841099580277</v>
      </c>
      <c r="AY33" s="2">
        <f t="shared" ca="1" si="10"/>
        <v>9419.8264387097752</v>
      </c>
      <c r="AZ33" s="2">
        <f t="shared" ca="1" si="10"/>
        <v>10194.00033709687</v>
      </c>
      <c r="BA33" s="2">
        <f t="shared" ca="1" si="10"/>
        <v>10935.916989717833</v>
      </c>
      <c r="BB33" s="2">
        <f t="shared" ca="1" si="10"/>
        <v>11646.920448479592</v>
      </c>
      <c r="BC33" s="2">
        <f t="shared" ca="1" si="10"/>
        <v>12328.298763126275</v>
      </c>
      <c r="BD33" s="2">
        <f t="shared" ca="1" si="10"/>
        <v>12981.286314662681</v>
      </c>
      <c r="BE33" s="2">
        <f t="shared" ca="1" si="10"/>
        <v>13607.066051551734</v>
      </c>
      <c r="BF33" s="2">
        <f t="shared" ca="1" si="10"/>
        <v>14206.77163273708</v>
      </c>
      <c r="BG33" s="2">
        <f t="shared" ca="1" si="10"/>
        <v>14781.489481373035</v>
      </c>
      <c r="BH33" s="2">
        <f t="shared" ca="1" si="10"/>
        <v>15332.260752982493</v>
      </c>
      <c r="BI33" s="2">
        <f t="shared" ca="1" si="10"/>
        <v>15860.083221608222</v>
      </c>
      <c r="BJ33" s="2">
        <f t="shared" ca="1" si="10"/>
        <v>16365.913087374543</v>
      </c>
      <c r="BK33" s="2">
        <f t="shared" ca="1" si="10"/>
        <v>16850.666708733937</v>
      </c>
      <c r="BL33" s="2">
        <f t="shared" ca="1" si="10"/>
        <v>17315.222262536689</v>
      </c>
      <c r="BM33" s="2">
        <f t="shared" ca="1" si="10"/>
        <v>17760.421334930994</v>
      </c>
      <c r="BN33" s="2">
        <f t="shared" ca="1" si="10"/>
        <v>18187.07044597554</v>
      </c>
      <c r="BO33" s="2">
        <f t="shared" ca="1" si="10"/>
        <v>18595.94251072656</v>
      </c>
      <c r="BP33" s="2">
        <f t="shared" ca="1" si="10"/>
        <v>18987.778239446288</v>
      </c>
      <c r="BQ33" s="2">
        <f t="shared" ca="1" si="10"/>
        <v>19363.28747946936</v>
      </c>
    </row>
    <row r="34" spans="1:69" outlineLevel="1">
      <c r="E34" s="2" t="str">
        <f t="shared" ref="E34:BQ34" si="11" xml:space="preserve">  E$47</f>
        <v>Asset Finance interest paid POS</v>
      </c>
      <c r="F34" s="2">
        <f t="shared" si="11"/>
        <v>0</v>
      </c>
      <c r="G34" s="2" t="str">
        <f t="shared" si="11"/>
        <v>GBP</v>
      </c>
      <c r="H34" s="2">
        <f t="shared" ca="1" si="11"/>
        <v>450644.387972205</v>
      </c>
      <c r="I34" s="2">
        <f t="shared" si="11"/>
        <v>0</v>
      </c>
      <c r="J34" s="2">
        <f t="shared" si="11"/>
        <v>0</v>
      </c>
      <c r="K34" s="2">
        <f t="shared" ca="1" si="11"/>
        <v>1166.6666666666667</v>
      </c>
      <c r="L34" s="2">
        <f t="shared" ca="1" si="11"/>
        <v>1118.0555555555557</v>
      </c>
      <c r="M34" s="2">
        <f t="shared" ca="1" si="11"/>
        <v>1071.4699074074076</v>
      </c>
      <c r="N34" s="2">
        <f t="shared" ca="1" si="11"/>
        <v>1026.8253279320988</v>
      </c>
      <c r="O34" s="2">
        <f t="shared" ca="1" si="11"/>
        <v>984.04093926826147</v>
      </c>
      <c r="P34" s="2">
        <f t="shared" ca="1" si="11"/>
        <v>943.03923346541728</v>
      </c>
      <c r="Q34" s="2">
        <f t="shared" ca="1" si="11"/>
        <v>2070.412598737692</v>
      </c>
      <c r="R34" s="2">
        <f t="shared" ca="1" si="11"/>
        <v>1984.1454071236212</v>
      </c>
      <c r="S34" s="2">
        <f t="shared" ca="1" si="11"/>
        <v>1901.4726818268036</v>
      </c>
      <c r="T34" s="2">
        <f t="shared" ca="1" si="11"/>
        <v>1822.2446534173537</v>
      </c>
      <c r="U34" s="2">
        <f t="shared" ca="1" si="11"/>
        <v>1746.3177928582975</v>
      </c>
      <c r="V34" s="2">
        <f t="shared" ca="1" si="11"/>
        <v>1673.5545514892017</v>
      </c>
      <c r="W34" s="2">
        <f t="shared" ca="1" si="11"/>
        <v>2770.4897785104854</v>
      </c>
      <c r="X34" s="2">
        <f t="shared" ca="1" si="11"/>
        <v>2655.0527044058817</v>
      </c>
      <c r="Y34" s="2">
        <f t="shared" ca="1" si="11"/>
        <v>2544.4255083889702</v>
      </c>
      <c r="Z34" s="2">
        <f t="shared" ca="1" si="11"/>
        <v>2438.4077788727632</v>
      </c>
      <c r="AA34" s="2">
        <f t="shared" ca="1" si="11"/>
        <v>3503.4741214197315</v>
      </c>
      <c r="AB34" s="2">
        <f t="shared" ca="1" si="11"/>
        <v>3357.4960330272429</v>
      </c>
      <c r="AC34" s="2">
        <f t="shared" ca="1" si="11"/>
        <v>3217.6003649844411</v>
      </c>
      <c r="AD34" s="2">
        <f t="shared" ca="1" si="11"/>
        <v>3083.5336831100894</v>
      </c>
      <c r="AE34" s="2">
        <f t="shared" ca="1" si="11"/>
        <v>4121.7197796471692</v>
      </c>
      <c r="AF34" s="2">
        <f t="shared" ca="1" si="11"/>
        <v>3949.981455495204</v>
      </c>
      <c r="AG34" s="2">
        <f t="shared" ca="1" si="11"/>
        <v>3785.3988948495703</v>
      </c>
      <c r="AH34" s="2">
        <f t="shared" ca="1" si="11"/>
        <v>4794.3406075641715</v>
      </c>
      <c r="AI34" s="2">
        <f t="shared" ca="1" si="11"/>
        <v>4594.5764155823317</v>
      </c>
      <c r="AJ34" s="2">
        <f t="shared" ca="1" si="11"/>
        <v>5569.8023982664008</v>
      </c>
      <c r="AK34" s="2">
        <f t="shared" ca="1" si="11"/>
        <v>5337.7272983386338</v>
      </c>
      <c r="AL34" s="2">
        <f t="shared" ca="1" si="11"/>
        <v>5115.3219942411906</v>
      </c>
      <c r="AM34" s="2">
        <f t="shared" ca="1" si="11"/>
        <v>6068.8502444811411</v>
      </c>
      <c r="AN34" s="2">
        <f t="shared" ca="1" si="11"/>
        <v>5815.981484294427</v>
      </c>
      <c r="AO34" s="2">
        <f t="shared" ca="1" si="11"/>
        <v>5573.6489224488259</v>
      </c>
      <c r="AP34" s="2">
        <f t="shared" ca="1" si="11"/>
        <v>6508.0802173467919</v>
      </c>
      <c r="AQ34" s="2">
        <f t="shared" ca="1" si="11"/>
        <v>6236.9102082906757</v>
      </c>
      <c r="AR34" s="2">
        <f t="shared" ca="1" si="11"/>
        <v>7143.7056162785648</v>
      </c>
      <c r="AS34" s="2">
        <f t="shared" ca="1" si="11"/>
        <v>6846.0512156002915</v>
      </c>
      <c r="AT34" s="2">
        <f t="shared" ca="1" si="11"/>
        <v>7727.4657482836119</v>
      </c>
      <c r="AU34" s="2">
        <f t="shared" ca="1" si="11"/>
        <v>8572.1546754384617</v>
      </c>
      <c r="AV34" s="2">
        <f t="shared" ca="1" si="11"/>
        <v>8214.9815639618591</v>
      </c>
      <c r="AW34" s="2">
        <f t="shared" ca="1" si="11"/>
        <v>9039.3573321301155</v>
      </c>
      <c r="AX34" s="2">
        <f t="shared" ca="1" si="11"/>
        <v>9829.3841099580277</v>
      </c>
      <c r="AY34" s="2">
        <f t="shared" ca="1" si="11"/>
        <v>9419.8264387097752</v>
      </c>
      <c r="AZ34" s="2">
        <f t="shared" ca="1" si="11"/>
        <v>10194.00033709687</v>
      </c>
      <c r="BA34" s="2">
        <f t="shared" ca="1" si="11"/>
        <v>10935.916989717833</v>
      </c>
      <c r="BB34" s="2">
        <f t="shared" ca="1" si="11"/>
        <v>11646.920448479592</v>
      </c>
      <c r="BC34" s="2">
        <f t="shared" ca="1" si="11"/>
        <v>12328.298763126275</v>
      </c>
      <c r="BD34" s="2">
        <f t="shared" ca="1" si="11"/>
        <v>12981.286314662681</v>
      </c>
      <c r="BE34" s="2">
        <f t="shared" ca="1" si="11"/>
        <v>13607.066051551734</v>
      </c>
      <c r="BF34" s="2">
        <f t="shared" ca="1" si="11"/>
        <v>14206.77163273708</v>
      </c>
      <c r="BG34" s="2">
        <f t="shared" ca="1" si="11"/>
        <v>14781.489481373035</v>
      </c>
      <c r="BH34" s="2">
        <f t="shared" ca="1" si="11"/>
        <v>15332.260752982493</v>
      </c>
      <c r="BI34" s="2">
        <f t="shared" ca="1" si="11"/>
        <v>15860.083221608222</v>
      </c>
      <c r="BJ34" s="2">
        <f t="shared" ca="1" si="11"/>
        <v>16365.913087374543</v>
      </c>
      <c r="BK34" s="2">
        <f t="shared" ca="1" si="11"/>
        <v>16850.666708733937</v>
      </c>
      <c r="BL34" s="2">
        <f t="shared" ca="1" si="11"/>
        <v>17315.222262536689</v>
      </c>
      <c r="BM34" s="2">
        <f t="shared" ca="1" si="11"/>
        <v>17760.421334930994</v>
      </c>
      <c r="BN34" s="2">
        <f t="shared" ca="1" si="11"/>
        <v>18187.07044597554</v>
      </c>
      <c r="BO34" s="2">
        <f t="shared" ca="1" si="11"/>
        <v>18595.94251072656</v>
      </c>
      <c r="BP34" s="2">
        <f t="shared" ca="1" si="11"/>
        <v>18987.778239446288</v>
      </c>
      <c r="BQ34" s="2">
        <f t="shared" ca="1" si="11"/>
        <v>19363.28747946936</v>
      </c>
    </row>
    <row r="35" spans="1:69" outlineLevel="1">
      <c r="E35" s="46" t="s">
        <v>317</v>
      </c>
      <c r="G35" s="46" t="s">
        <v>252</v>
      </c>
      <c r="H35" s="2">
        <f ca="1" xml:space="preserve"> SUM( J35:BQ35 )</f>
        <v>0</v>
      </c>
      <c r="J35" s="2">
        <f t="shared" ref="J35:BQ35" si="12" xml:space="preserve">  J33 - J34</f>
        <v>0</v>
      </c>
      <c r="K35" s="2">
        <f t="shared" ca="1" si="12"/>
        <v>0</v>
      </c>
      <c r="L35" s="2">
        <f t="shared" ca="1" si="12"/>
        <v>0</v>
      </c>
      <c r="M35" s="2">
        <f t="shared" ca="1" si="12"/>
        <v>0</v>
      </c>
      <c r="N35" s="2">
        <f t="shared" ca="1" si="12"/>
        <v>0</v>
      </c>
      <c r="O35" s="2">
        <f t="shared" ca="1" si="12"/>
        <v>0</v>
      </c>
      <c r="P35" s="2">
        <f t="shared" ca="1" si="12"/>
        <v>0</v>
      </c>
      <c r="Q35" s="2">
        <f t="shared" ca="1" si="12"/>
        <v>0</v>
      </c>
      <c r="R35" s="2">
        <f t="shared" ca="1" si="12"/>
        <v>0</v>
      </c>
      <c r="S35" s="2">
        <f t="shared" ca="1" si="12"/>
        <v>0</v>
      </c>
      <c r="T35" s="2">
        <f t="shared" ca="1" si="12"/>
        <v>0</v>
      </c>
      <c r="U35" s="2">
        <f t="shared" ca="1" si="12"/>
        <v>0</v>
      </c>
      <c r="V35" s="2">
        <f t="shared" ca="1" si="12"/>
        <v>0</v>
      </c>
      <c r="W35" s="2">
        <f t="shared" ca="1" si="12"/>
        <v>0</v>
      </c>
      <c r="X35" s="2">
        <f t="shared" ca="1" si="12"/>
        <v>0</v>
      </c>
      <c r="Y35" s="2">
        <f t="shared" ca="1" si="12"/>
        <v>0</v>
      </c>
      <c r="Z35" s="2">
        <f t="shared" ca="1" si="12"/>
        <v>0</v>
      </c>
      <c r="AA35" s="2">
        <f t="shared" ca="1" si="12"/>
        <v>0</v>
      </c>
      <c r="AB35" s="2">
        <f t="shared" ca="1" si="12"/>
        <v>0</v>
      </c>
      <c r="AC35" s="2">
        <f t="shared" ca="1" si="12"/>
        <v>0</v>
      </c>
      <c r="AD35" s="2">
        <f t="shared" ca="1" si="12"/>
        <v>0</v>
      </c>
      <c r="AE35" s="2">
        <f t="shared" ca="1" si="12"/>
        <v>0</v>
      </c>
      <c r="AF35" s="2">
        <f t="shared" ca="1" si="12"/>
        <v>0</v>
      </c>
      <c r="AG35" s="2">
        <f t="shared" ca="1" si="12"/>
        <v>0</v>
      </c>
      <c r="AH35" s="2">
        <f t="shared" ca="1" si="12"/>
        <v>0</v>
      </c>
      <c r="AI35" s="2">
        <f t="shared" ca="1" si="12"/>
        <v>0</v>
      </c>
      <c r="AJ35" s="2">
        <f t="shared" ca="1" si="12"/>
        <v>0</v>
      </c>
      <c r="AK35" s="2">
        <f t="shared" ca="1" si="12"/>
        <v>0</v>
      </c>
      <c r="AL35" s="2">
        <f t="shared" ca="1" si="12"/>
        <v>0</v>
      </c>
      <c r="AM35" s="2">
        <f t="shared" ca="1" si="12"/>
        <v>0</v>
      </c>
      <c r="AN35" s="2">
        <f t="shared" ca="1" si="12"/>
        <v>0</v>
      </c>
      <c r="AO35" s="2">
        <f t="shared" ca="1" si="12"/>
        <v>0</v>
      </c>
      <c r="AP35" s="2">
        <f t="shared" ca="1" si="12"/>
        <v>0</v>
      </c>
      <c r="AQ35" s="2">
        <f t="shared" ca="1" si="12"/>
        <v>0</v>
      </c>
      <c r="AR35" s="2">
        <f t="shared" ca="1" si="12"/>
        <v>0</v>
      </c>
      <c r="AS35" s="2">
        <f t="shared" ca="1" si="12"/>
        <v>0</v>
      </c>
      <c r="AT35" s="2">
        <f t="shared" ca="1" si="12"/>
        <v>0</v>
      </c>
      <c r="AU35" s="2">
        <f t="shared" ca="1" si="12"/>
        <v>0</v>
      </c>
      <c r="AV35" s="2">
        <f t="shared" ca="1" si="12"/>
        <v>0</v>
      </c>
      <c r="AW35" s="2">
        <f t="shared" ca="1" si="12"/>
        <v>0</v>
      </c>
      <c r="AX35" s="2">
        <f t="shared" ca="1" si="12"/>
        <v>0</v>
      </c>
      <c r="AY35" s="2">
        <f t="shared" ca="1" si="12"/>
        <v>0</v>
      </c>
      <c r="AZ35" s="2">
        <f t="shared" ca="1" si="12"/>
        <v>0</v>
      </c>
      <c r="BA35" s="2">
        <f t="shared" ca="1" si="12"/>
        <v>0</v>
      </c>
      <c r="BB35" s="2">
        <f t="shared" ca="1" si="12"/>
        <v>0</v>
      </c>
      <c r="BC35" s="2">
        <f t="shared" ca="1" si="12"/>
        <v>0</v>
      </c>
      <c r="BD35" s="2">
        <f t="shared" ca="1" si="12"/>
        <v>0</v>
      </c>
      <c r="BE35" s="2">
        <f t="shared" ca="1" si="12"/>
        <v>0</v>
      </c>
      <c r="BF35" s="2">
        <f t="shared" ca="1" si="12"/>
        <v>0</v>
      </c>
      <c r="BG35" s="2">
        <f t="shared" ca="1" si="12"/>
        <v>0</v>
      </c>
      <c r="BH35" s="2">
        <f t="shared" ca="1" si="12"/>
        <v>0</v>
      </c>
      <c r="BI35" s="2">
        <f t="shared" ca="1" si="12"/>
        <v>0</v>
      </c>
      <c r="BJ35" s="2">
        <f t="shared" ca="1" si="12"/>
        <v>0</v>
      </c>
      <c r="BK35" s="2">
        <f t="shared" ca="1" si="12"/>
        <v>0</v>
      </c>
      <c r="BL35" s="2">
        <f t="shared" ca="1" si="12"/>
        <v>0</v>
      </c>
      <c r="BM35" s="2">
        <f t="shared" ca="1" si="12"/>
        <v>0</v>
      </c>
      <c r="BN35" s="2">
        <f t="shared" ca="1" si="12"/>
        <v>0</v>
      </c>
      <c r="BO35" s="2">
        <f t="shared" ca="1" si="12"/>
        <v>0</v>
      </c>
      <c r="BP35" s="2">
        <f t="shared" ca="1" si="12"/>
        <v>0</v>
      </c>
      <c r="BQ35" s="2">
        <f t="shared" ca="1" si="12"/>
        <v>0</v>
      </c>
    </row>
    <row r="38" spans="1:69">
      <c r="B38" s="27" t="s">
        <v>135</v>
      </c>
    </row>
    <row r="39" spans="1:69" outlineLevel="1">
      <c r="E39" s="58" t="str">
        <f t="shared" ref="E39:G39" si="13" xml:space="preserve">  E$55</f>
        <v>Asset Finance period interest rate</v>
      </c>
      <c r="F39" s="58">
        <f t="shared" si="13"/>
        <v>6.6666666666666671E-3</v>
      </c>
      <c r="G39" s="58" t="str">
        <f t="shared" si="13"/>
        <v>%</v>
      </c>
      <c r="M39" s="58"/>
    </row>
    <row r="40" spans="1:69" outlineLevel="1">
      <c r="E40" s="2" t="str">
        <f t="shared" ref="E40:BQ40" si="14" xml:space="preserve">  E$11</f>
        <v>Asset Finance balance BEG</v>
      </c>
      <c r="F40" s="2">
        <f t="shared" si="14"/>
        <v>0</v>
      </c>
      <c r="G40" s="2" t="str">
        <f t="shared" si="14"/>
        <v>GBP</v>
      </c>
      <c r="H40" s="2">
        <f t="shared" si="14"/>
        <v>0</v>
      </c>
      <c r="I40" s="2">
        <f t="shared" si="14"/>
        <v>0</v>
      </c>
      <c r="J40" s="2">
        <f t="shared" si="14"/>
        <v>0</v>
      </c>
      <c r="K40" s="2">
        <f t="shared" ca="1" si="14"/>
        <v>175000</v>
      </c>
      <c r="L40" s="2">
        <f t="shared" ca="1" si="14"/>
        <v>167708.33333333334</v>
      </c>
      <c r="M40" s="2">
        <f t="shared" ca="1" si="14"/>
        <v>160720.48611111112</v>
      </c>
      <c r="N40" s="2">
        <f t="shared" ca="1" si="14"/>
        <v>154023.79918981483</v>
      </c>
      <c r="O40" s="2">
        <f t="shared" ca="1" si="14"/>
        <v>147606.14089023921</v>
      </c>
      <c r="P40" s="2">
        <f t="shared" ca="1" si="14"/>
        <v>141455.88501981259</v>
      </c>
      <c r="Q40" s="2">
        <f t="shared" ca="1" si="14"/>
        <v>310561.88981065375</v>
      </c>
      <c r="R40" s="2">
        <f t="shared" ca="1" si="14"/>
        <v>297621.81106854317</v>
      </c>
      <c r="S40" s="2">
        <f t="shared" ca="1" si="14"/>
        <v>285220.90227402054</v>
      </c>
      <c r="T40" s="2">
        <f t="shared" ca="1" si="14"/>
        <v>273336.69801260304</v>
      </c>
      <c r="U40" s="2">
        <f t="shared" ca="1" si="14"/>
        <v>261947.66892874459</v>
      </c>
      <c r="V40" s="2">
        <f t="shared" ca="1" si="14"/>
        <v>251033.18272338025</v>
      </c>
      <c r="W40" s="2">
        <f t="shared" ca="1" si="14"/>
        <v>415573.46677657275</v>
      </c>
      <c r="X40" s="2">
        <f t="shared" ca="1" si="14"/>
        <v>398257.90566088224</v>
      </c>
      <c r="Y40" s="2">
        <f t="shared" ca="1" si="14"/>
        <v>381663.82625834551</v>
      </c>
      <c r="Z40" s="2">
        <f t="shared" ca="1" si="14"/>
        <v>365761.16683091444</v>
      </c>
      <c r="AA40" s="2">
        <f t="shared" ca="1" si="14"/>
        <v>525521.11821295973</v>
      </c>
      <c r="AB40" s="2">
        <f t="shared" ca="1" si="14"/>
        <v>503624.40495408641</v>
      </c>
      <c r="AC40" s="2">
        <f t="shared" ca="1" si="14"/>
        <v>482640.05474766612</v>
      </c>
      <c r="AD40" s="2">
        <f t="shared" ca="1" si="14"/>
        <v>462530.05246651336</v>
      </c>
      <c r="AE40" s="2">
        <f t="shared" ca="1" si="14"/>
        <v>618257.96694707533</v>
      </c>
      <c r="AF40" s="2">
        <f t="shared" ca="1" si="14"/>
        <v>592497.21832428058</v>
      </c>
      <c r="AG40" s="2">
        <f t="shared" ca="1" si="14"/>
        <v>567809.83422743552</v>
      </c>
      <c r="AH40" s="2">
        <f t="shared" ca="1" si="14"/>
        <v>719151.09113462572</v>
      </c>
      <c r="AI40" s="2">
        <f t="shared" ca="1" si="14"/>
        <v>689186.46233734966</v>
      </c>
      <c r="AJ40" s="2">
        <f t="shared" ca="1" si="14"/>
        <v>835470.35973996005</v>
      </c>
      <c r="AK40" s="2">
        <f t="shared" ca="1" si="14"/>
        <v>800659.09475079505</v>
      </c>
      <c r="AL40" s="2">
        <f t="shared" ca="1" si="14"/>
        <v>767298.29913617857</v>
      </c>
      <c r="AM40" s="2">
        <f t="shared" ca="1" si="14"/>
        <v>910327.53667217109</v>
      </c>
      <c r="AN40" s="2">
        <f t="shared" ca="1" si="14"/>
        <v>872397.22264416399</v>
      </c>
      <c r="AO40" s="2">
        <f t="shared" ca="1" si="14"/>
        <v>836047.33836732386</v>
      </c>
      <c r="AP40" s="2">
        <f t="shared" ca="1" si="14"/>
        <v>976212.03260201868</v>
      </c>
      <c r="AQ40" s="2">
        <f t="shared" ca="1" si="14"/>
        <v>935536.53124360123</v>
      </c>
      <c r="AR40" s="2">
        <f t="shared" ca="1" si="14"/>
        <v>1071555.8424417847</v>
      </c>
      <c r="AS40" s="2">
        <f t="shared" ca="1" si="14"/>
        <v>1026907.6823400436</v>
      </c>
      <c r="AT40" s="2">
        <f t="shared" ca="1" si="14"/>
        <v>1159119.8622425417</v>
      </c>
      <c r="AU40" s="2">
        <f t="shared" ca="1" si="14"/>
        <v>1285823.2013157692</v>
      </c>
      <c r="AV40" s="2">
        <f t="shared" ca="1" si="14"/>
        <v>1232247.2345942787</v>
      </c>
      <c r="AW40" s="2">
        <f t="shared" ca="1" si="14"/>
        <v>1355903.5998195172</v>
      </c>
      <c r="AX40" s="2">
        <f t="shared" ca="1" si="14"/>
        <v>1474407.616493704</v>
      </c>
      <c r="AY40" s="2">
        <f t="shared" ca="1" si="14"/>
        <v>1412973.9658064663</v>
      </c>
      <c r="AZ40" s="2">
        <f t="shared" ca="1" si="14"/>
        <v>1529100.0505645303</v>
      </c>
      <c r="BA40" s="2">
        <f t="shared" ca="1" si="14"/>
        <v>1640387.5484576749</v>
      </c>
      <c r="BB40" s="2">
        <f t="shared" ca="1" si="14"/>
        <v>1747038.0672719385</v>
      </c>
      <c r="BC40" s="2">
        <f t="shared" ca="1" si="14"/>
        <v>1849244.8144689412</v>
      </c>
      <c r="BD40" s="2">
        <f t="shared" ca="1" si="14"/>
        <v>1947192.9471994019</v>
      </c>
      <c r="BE40" s="2">
        <f t="shared" ca="1" si="14"/>
        <v>2041059.9077327601</v>
      </c>
      <c r="BF40" s="2">
        <f t="shared" ca="1" si="14"/>
        <v>2131015.7449105619</v>
      </c>
      <c r="BG40" s="2">
        <f t="shared" ca="1" si="14"/>
        <v>2217223.4222059553</v>
      </c>
      <c r="BH40" s="2">
        <f t="shared" ca="1" si="14"/>
        <v>2299839.1129473737</v>
      </c>
      <c r="BI40" s="2">
        <f t="shared" ca="1" si="14"/>
        <v>2379012.483241233</v>
      </c>
      <c r="BJ40" s="2">
        <f t="shared" ca="1" si="14"/>
        <v>2454886.9631061815</v>
      </c>
      <c r="BK40" s="2">
        <f t="shared" ca="1" si="14"/>
        <v>2527600.0063100904</v>
      </c>
      <c r="BL40" s="2">
        <f t="shared" ca="1" si="14"/>
        <v>2597283.3393805032</v>
      </c>
      <c r="BM40" s="2">
        <f t="shared" ca="1" si="14"/>
        <v>2664063.200239649</v>
      </c>
      <c r="BN40" s="2">
        <f t="shared" ca="1" si="14"/>
        <v>2728060.5668963306</v>
      </c>
      <c r="BO40" s="2">
        <f t="shared" ca="1" si="14"/>
        <v>2789391.3766089836</v>
      </c>
      <c r="BP40" s="2">
        <f t="shared" ca="1" si="14"/>
        <v>2848166.7359169428</v>
      </c>
      <c r="BQ40" s="2">
        <f t="shared" ca="1" si="14"/>
        <v>2904493.1219204036</v>
      </c>
    </row>
    <row r="41" spans="1:69" outlineLevel="1">
      <c r="E41" s="46" t="s">
        <v>23</v>
      </c>
      <c r="G41" s="46" t="s">
        <v>252</v>
      </c>
      <c r="H41" s="2">
        <f t="shared" ref="H41:H42" ca="1" si="15" xml:space="preserve"> SUM( J41:BQ41 )</f>
        <v>450644.387972205</v>
      </c>
      <c r="J41" s="2">
        <f t="shared" ref="J41:BQ41" si="16" xml:space="preserve">  $F39 * J40</f>
        <v>0</v>
      </c>
      <c r="K41" s="2">
        <f t="shared" ca="1" si="16"/>
        <v>1166.6666666666667</v>
      </c>
      <c r="L41" s="2">
        <f t="shared" ca="1" si="16"/>
        <v>1118.0555555555557</v>
      </c>
      <c r="M41" s="2">
        <f t="shared" ca="1" si="16"/>
        <v>1071.4699074074076</v>
      </c>
      <c r="N41" s="2">
        <f t="shared" ca="1" si="16"/>
        <v>1026.8253279320988</v>
      </c>
      <c r="O41" s="2">
        <f t="shared" ca="1" si="16"/>
        <v>984.04093926826147</v>
      </c>
      <c r="P41" s="2">
        <f t="shared" ca="1" si="16"/>
        <v>943.03923346541728</v>
      </c>
      <c r="Q41" s="2">
        <f t="shared" ca="1" si="16"/>
        <v>2070.412598737692</v>
      </c>
      <c r="R41" s="2">
        <f t="shared" ca="1" si="16"/>
        <v>1984.1454071236212</v>
      </c>
      <c r="S41" s="2">
        <f t="shared" ca="1" si="16"/>
        <v>1901.4726818268036</v>
      </c>
      <c r="T41" s="2">
        <f t="shared" ca="1" si="16"/>
        <v>1822.2446534173537</v>
      </c>
      <c r="U41" s="2">
        <f t="shared" ca="1" si="16"/>
        <v>1746.3177928582975</v>
      </c>
      <c r="V41" s="2">
        <f t="shared" ca="1" si="16"/>
        <v>1673.5545514892017</v>
      </c>
      <c r="W41" s="2">
        <f t="shared" ca="1" si="16"/>
        <v>2770.4897785104854</v>
      </c>
      <c r="X41" s="2">
        <f t="shared" ca="1" si="16"/>
        <v>2655.0527044058817</v>
      </c>
      <c r="Y41" s="2">
        <f t="shared" ca="1" si="16"/>
        <v>2544.4255083889702</v>
      </c>
      <c r="Z41" s="2">
        <f t="shared" ca="1" si="16"/>
        <v>2438.4077788727632</v>
      </c>
      <c r="AA41" s="2">
        <f t="shared" ca="1" si="16"/>
        <v>3503.4741214197315</v>
      </c>
      <c r="AB41" s="2">
        <f t="shared" ca="1" si="16"/>
        <v>3357.4960330272429</v>
      </c>
      <c r="AC41" s="2">
        <f t="shared" ca="1" si="16"/>
        <v>3217.6003649844411</v>
      </c>
      <c r="AD41" s="2">
        <f t="shared" ca="1" si="16"/>
        <v>3083.5336831100894</v>
      </c>
      <c r="AE41" s="2">
        <f t="shared" ca="1" si="16"/>
        <v>4121.7197796471692</v>
      </c>
      <c r="AF41" s="2">
        <f t="shared" ca="1" si="16"/>
        <v>3949.981455495204</v>
      </c>
      <c r="AG41" s="2">
        <f t="shared" ca="1" si="16"/>
        <v>3785.3988948495703</v>
      </c>
      <c r="AH41" s="2">
        <f t="shared" ca="1" si="16"/>
        <v>4794.3406075641715</v>
      </c>
      <c r="AI41" s="2">
        <f t="shared" ca="1" si="16"/>
        <v>4594.5764155823317</v>
      </c>
      <c r="AJ41" s="2">
        <f t="shared" ca="1" si="16"/>
        <v>5569.8023982664008</v>
      </c>
      <c r="AK41" s="2">
        <f t="shared" ca="1" si="16"/>
        <v>5337.7272983386338</v>
      </c>
      <c r="AL41" s="2">
        <f t="shared" ca="1" si="16"/>
        <v>5115.3219942411906</v>
      </c>
      <c r="AM41" s="2">
        <f t="shared" ca="1" si="16"/>
        <v>6068.8502444811411</v>
      </c>
      <c r="AN41" s="2">
        <f t="shared" ca="1" si="16"/>
        <v>5815.981484294427</v>
      </c>
      <c r="AO41" s="2">
        <f t="shared" ca="1" si="16"/>
        <v>5573.6489224488259</v>
      </c>
      <c r="AP41" s="2">
        <f t="shared" ca="1" si="16"/>
        <v>6508.0802173467919</v>
      </c>
      <c r="AQ41" s="2">
        <f t="shared" ca="1" si="16"/>
        <v>6236.9102082906757</v>
      </c>
      <c r="AR41" s="2">
        <f t="shared" ca="1" si="16"/>
        <v>7143.7056162785648</v>
      </c>
      <c r="AS41" s="2">
        <f t="shared" ca="1" si="16"/>
        <v>6846.0512156002915</v>
      </c>
      <c r="AT41" s="2">
        <f t="shared" ca="1" si="16"/>
        <v>7727.4657482836119</v>
      </c>
      <c r="AU41" s="2">
        <f t="shared" ca="1" si="16"/>
        <v>8572.1546754384617</v>
      </c>
      <c r="AV41" s="2">
        <f t="shared" ca="1" si="16"/>
        <v>8214.9815639618591</v>
      </c>
      <c r="AW41" s="2">
        <f t="shared" ca="1" si="16"/>
        <v>9039.3573321301155</v>
      </c>
      <c r="AX41" s="2">
        <f t="shared" ca="1" si="16"/>
        <v>9829.3841099580277</v>
      </c>
      <c r="AY41" s="2">
        <f t="shared" ca="1" si="16"/>
        <v>9419.8264387097752</v>
      </c>
      <c r="AZ41" s="2">
        <f t="shared" ca="1" si="16"/>
        <v>10194.00033709687</v>
      </c>
      <c r="BA41" s="2">
        <f t="shared" ca="1" si="16"/>
        <v>10935.916989717833</v>
      </c>
      <c r="BB41" s="2">
        <f t="shared" ca="1" si="16"/>
        <v>11646.920448479592</v>
      </c>
      <c r="BC41" s="2">
        <f t="shared" ca="1" si="16"/>
        <v>12328.298763126275</v>
      </c>
      <c r="BD41" s="2">
        <f t="shared" ca="1" si="16"/>
        <v>12981.286314662681</v>
      </c>
      <c r="BE41" s="2">
        <f t="shared" ca="1" si="16"/>
        <v>13607.066051551734</v>
      </c>
      <c r="BF41" s="2">
        <f t="shared" ca="1" si="16"/>
        <v>14206.77163273708</v>
      </c>
      <c r="BG41" s="2">
        <f t="shared" ca="1" si="16"/>
        <v>14781.489481373035</v>
      </c>
      <c r="BH41" s="2">
        <f t="shared" ca="1" si="16"/>
        <v>15332.260752982493</v>
      </c>
      <c r="BI41" s="2">
        <f t="shared" ca="1" si="16"/>
        <v>15860.083221608222</v>
      </c>
      <c r="BJ41" s="2">
        <f t="shared" ca="1" si="16"/>
        <v>16365.913087374543</v>
      </c>
      <c r="BK41" s="2">
        <f t="shared" ca="1" si="16"/>
        <v>16850.666708733937</v>
      </c>
      <c r="BL41" s="2">
        <f t="shared" ca="1" si="16"/>
        <v>17315.222262536689</v>
      </c>
      <c r="BM41" s="2">
        <f t="shared" ca="1" si="16"/>
        <v>17760.421334930994</v>
      </c>
      <c r="BN41" s="2">
        <f t="shared" ca="1" si="16"/>
        <v>18187.07044597554</v>
      </c>
      <c r="BO41" s="2">
        <f t="shared" ca="1" si="16"/>
        <v>18595.94251072656</v>
      </c>
      <c r="BP41" s="2">
        <f t="shared" ca="1" si="16"/>
        <v>18987.778239446288</v>
      </c>
      <c r="BQ41" s="2">
        <f t="shared" ca="1" si="16"/>
        <v>19363.28747946936</v>
      </c>
    </row>
    <row r="42" spans="1:69" outlineLevel="1">
      <c r="A42" s="36"/>
      <c r="B42" s="36"/>
      <c r="C42" s="65"/>
      <c r="D42" s="64"/>
      <c r="E42" s="21" t="str">
        <f xml:space="preserve"> LEFT($E$41, LEN($E$41) - 3 )</f>
        <v xml:space="preserve">Asset Finance interest </v>
      </c>
      <c r="F42" s="21"/>
      <c r="G42" s="21" t="str">
        <f xml:space="preserve"> G$41</f>
        <v>GBP</v>
      </c>
      <c r="H42" s="3">
        <f t="shared" ca="1" si="15"/>
        <v>-450644.387972205</v>
      </c>
      <c r="I42" s="21"/>
      <c r="J42" s="3">
        <f t="shared" ref="J42:BQ42" si="17" xml:space="preserve"> -1 * J41</f>
        <v>0</v>
      </c>
      <c r="K42" s="3">
        <f t="shared" ca="1" si="17"/>
        <v>-1166.6666666666667</v>
      </c>
      <c r="L42" s="3">
        <f t="shared" ca="1" si="17"/>
        <v>-1118.0555555555557</v>
      </c>
      <c r="M42" s="3">
        <f t="shared" ca="1" si="17"/>
        <v>-1071.4699074074076</v>
      </c>
      <c r="N42" s="3">
        <f t="shared" ca="1" si="17"/>
        <v>-1026.8253279320988</v>
      </c>
      <c r="O42" s="3">
        <f t="shared" ca="1" si="17"/>
        <v>-984.04093926826147</v>
      </c>
      <c r="P42" s="3">
        <f t="shared" ca="1" si="17"/>
        <v>-943.03923346541728</v>
      </c>
      <c r="Q42" s="3">
        <f t="shared" ca="1" si="17"/>
        <v>-2070.412598737692</v>
      </c>
      <c r="R42" s="3">
        <f t="shared" ca="1" si="17"/>
        <v>-1984.1454071236212</v>
      </c>
      <c r="S42" s="3">
        <f t="shared" ca="1" si="17"/>
        <v>-1901.4726818268036</v>
      </c>
      <c r="T42" s="3">
        <f t="shared" ca="1" si="17"/>
        <v>-1822.2446534173537</v>
      </c>
      <c r="U42" s="3">
        <f t="shared" ca="1" si="17"/>
        <v>-1746.3177928582975</v>
      </c>
      <c r="V42" s="3">
        <f t="shared" ca="1" si="17"/>
        <v>-1673.5545514892017</v>
      </c>
      <c r="W42" s="3">
        <f t="shared" ca="1" si="17"/>
        <v>-2770.4897785104854</v>
      </c>
      <c r="X42" s="3">
        <f t="shared" ca="1" si="17"/>
        <v>-2655.0527044058817</v>
      </c>
      <c r="Y42" s="3">
        <f t="shared" ca="1" si="17"/>
        <v>-2544.4255083889702</v>
      </c>
      <c r="Z42" s="3">
        <f t="shared" ca="1" si="17"/>
        <v>-2438.4077788727632</v>
      </c>
      <c r="AA42" s="3">
        <f t="shared" ca="1" si="17"/>
        <v>-3503.4741214197315</v>
      </c>
      <c r="AB42" s="3">
        <f t="shared" ca="1" si="17"/>
        <v>-3357.4960330272429</v>
      </c>
      <c r="AC42" s="3">
        <f t="shared" ca="1" si="17"/>
        <v>-3217.6003649844411</v>
      </c>
      <c r="AD42" s="3">
        <f t="shared" ca="1" si="17"/>
        <v>-3083.5336831100894</v>
      </c>
      <c r="AE42" s="3">
        <f t="shared" ca="1" si="17"/>
        <v>-4121.7197796471692</v>
      </c>
      <c r="AF42" s="3">
        <f t="shared" ca="1" si="17"/>
        <v>-3949.981455495204</v>
      </c>
      <c r="AG42" s="3">
        <f t="shared" ca="1" si="17"/>
        <v>-3785.3988948495703</v>
      </c>
      <c r="AH42" s="3">
        <f t="shared" ca="1" si="17"/>
        <v>-4794.3406075641715</v>
      </c>
      <c r="AI42" s="3">
        <f t="shared" ca="1" si="17"/>
        <v>-4594.5764155823317</v>
      </c>
      <c r="AJ42" s="3">
        <f t="shared" ca="1" si="17"/>
        <v>-5569.8023982664008</v>
      </c>
      <c r="AK42" s="3">
        <f t="shared" ca="1" si="17"/>
        <v>-5337.7272983386338</v>
      </c>
      <c r="AL42" s="3">
        <f t="shared" ca="1" si="17"/>
        <v>-5115.3219942411906</v>
      </c>
      <c r="AM42" s="3">
        <f t="shared" ca="1" si="17"/>
        <v>-6068.8502444811411</v>
      </c>
      <c r="AN42" s="3">
        <f t="shared" ca="1" si="17"/>
        <v>-5815.981484294427</v>
      </c>
      <c r="AO42" s="3">
        <f t="shared" ca="1" si="17"/>
        <v>-5573.6489224488259</v>
      </c>
      <c r="AP42" s="3">
        <f t="shared" ca="1" si="17"/>
        <v>-6508.0802173467919</v>
      </c>
      <c r="AQ42" s="3">
        <f t="shared" ca="1" si="17"/>
        <v>-6236.9102082906757</v>
      </c>
      <c r="AR42" s="3">
        <f t="shared" ca="1" si="17"/>
        <v>-7143.7056162785648</v>
      </c>
      <c r="AS42" s="3">
        <f t="shared" ca="1" si="17"/>
        <v>-6846.0512156002915</v>
      </c>
      <c r="AT42" s="3">
        <f t="shared" ca="1" si="17"/>
        <v>-7727.4657482836119</v>
      </c>
      <c r="AU42" s="3">
        <f t="shared" ca="1" si="17"/>
        <v>-8572.1546754384617</v>
      </c>
      <c r="AV42" s="3">
        <f t="shared" ca="1" si="17"/>
        <v>-8214.9815639618591</v>
      </c>
      <c r="AW42" s="3">
        <f t="shared" ca="1" si="17"/>
        <v>-9039.3573321301155</v>
      </c>
      <c r="AX42" s="3">
        <f t="shared" ca="1" si="17"/>
        <v>-9829.3841099580277</v>
      </c>
      <c r="AY42" s="3">
        <f t="shared" ca="1" si="17"/>
        <v>-9419.8264387097752</v>
      </c>
      <c r="AZ42" s="3">
        <f t="shared" ca="1" si="17"/>
        <v>-10194.00033709687</v>
      </c>
      <c r="BA42" s="3">
        <f t="shared" ca="1" si="17"/>
        <v>-10935.916989717833</v>
      </c>
      <c r="BB42" s="3">
        <f t="shared" ca="1" si="17"/>
        <v>-11646.920448479592</v>
      </c>
      <c r="BC42" s="3">
        <f t="shared" ca="1" si="17"/>
        <v>-12328.298763126275</v>
      </c>
      <c r="BD42" s="3">
        <f t="shared" ca="1" si="17"/>
        <v>-12981.286314662681</v>
      </c>
      <c r="BE42" s="3">
        <f t="shared" ca="1" si="17"/>
        <v>-13607.066051551734</v>
      </c>
      <c r="BF42" s="3">
        <f t="shared" ca="1" si="17"/>
        <v>-14206.77163273708</v>
      </c>
      <c r="BG42" s="3">
        <f t="shared" ca="1" si="17"/>
        <v>-14781.489481373035</v>
      </c>
      <c r="BH42" s="3">
        <f t="shared" ca="1" si="17"/>
        <v>-15332.260752982493</v>
      </c>
      <c r="BI42" s="3">
        <f t="shared" ca="1" si="17"/>
        <v>-15860.083221608222</v>
      </c>
      <c r="BJ42" s="3">
        <f t="shared" ca="1" si="17"/>
        <v>-16365.913087374543</v>
      </c>
      <c r="BK42" s="3">
        <f t="shared" ca="1" si="17"/>
        <v>-16850.666708733937</v>
      </c>
      <c r="BL42" s="3">
        <f t="shared" ca="1" si="17"/>
        <v>-17315.222262536689</v>
      </c>
      <c r="BM42" s="3">
        <f t="shared" ca="1" si="17"/>
        <v>-17760.421334930994</v>
      </c>
      <c r="BN42" s="3">
        <f t="shared" ca="1" si="17"/>
        <v>-18187.07044597554</v>
      </c>
      <c r="BO42" s="3">
        <f t="shared" ca="1" si="17"/>
        <v>-18595.94251072656</v>
      </c>
      <c r="BP42" s="3">
        <f t="shared" ca="1" si="17"/>
        <v>-18987.778239446288</v>
      </c>
      <c r="BQ42" s="3">
        <f t="shared" ca="1" si="17"/>
        <v>-19363.28747946936</v>
      </c>
    </row>
    <row r="45" spans="1:69">
      <c r="B45" s="27" t="s">
        <v>82</v>
      </c>
    </row>
    <row r="46" spans="1:69" outlineLevel="1">
      <c r="E46" s="2" t="str">
        <f t="shared" ref="E46:BQ46" si="18" xml:space="preserve">  E$41</f>
        <v>Asset Finance interest POS</v>
      </c>
      <c r="F46" s="2">
        <f t="shared" si="18"/>
        <v>0</v>
      </c>
      <c r="G46" s="2" t="str">
        <f t="shared" si="18"/>
        <v>GBP</v>
      </c>
      <c r="H46" s="2">
        <f t="shared" ca="1" si="18"/>
        <v>450644.387972205</v>
      </c>
      <c r="I46" s="2">
        <f t="shared" si="18"/>
        <v>0</v>
      </c>
      <c r="J46" s="2">
        <f t="shared" si="18"/>
        <v>0</v>
      </c>
      <c r="K46" s="2">
        <f t="shared" ca="1" si="18"/>
        <v>1166.6666666666667</v>
      </c>
      <c r="L46" s="2">
        <f t="shared" ca="1" si="18"/>
        <v>1118.0555555555557</v>
      </c>
      <c r="M46" s="2">
        <f t="shared" ca="1" si="18"/>
        <v>1071.4699074074076</v>
      </c>
      <c r="N46" s="2">
        <f t="shared" ca="1" si="18"/>
        <v>1026.8253279320988</v>
      </c>
      <c r="O46" s="2">
        <f t="shared" ca="1" si="18"/>
        <v>984.04093926826147</v>
      </c>
      <c r="P46" s="2">
        <f t="shared" ca="1" si="18"/>
        <v>943.03923346541728</v>
      </c>
      <c r="Q46" s="2">
        <f t="shared" ca="1" si="18"/>
        <v>2070.412598737692</v>
      </c>
      <c r="R46" s="2">
        <f t="shared" ca="1" si="18"/>
        <v>1984.1454071236212</v>
      </c>
      <c r="S46" s="2">
        <f t="shared" ca="1" si="18"/>
        <v>1901.4726818268036</v>
      </c>
      <c r="T46" s="2">
        <f t="shared" ca="1" si="18"/>
        <v>1822.2446534173537</v>
      </c>
      <c r="U46" s="2">
        <f t="shared" ca="1" si="18"/>
        <v>1746.3177928582975</v>
      </c>
      <c r="V46" s="2">
        <f t="shared" ca="1" si="18"/>
        <v>1673.5545514892017</v>
      </c>
      <c r="W46" s="2">
        <f t="shared" ca="1" si="18"/>
        <v>2770.4897785104854</v>
      </c>
      <c r="X46" s="2">
        <f t="shared" ca="1" si="18"/>
        <v>2655.0527044058817</v>
      </c>
      <c r="Y46" s="2">
        <f t="shared" ca="1" si="18"/>
        <v>2544.4255083889702</v>
      </c>
      <c r="Z46" s="2">
        <f t="shared" ca="1" si="18"/>
        <v>2438.4077788727632</v>
      </c>
      <c r="AA46" s="2">
        <f t="shared" ca="1" si="18"/>
        <v>3503.4741214197315</v>
      </c>
      <c r="AB46" s="2">
        <f t="shared" ca="1" si="18"/>
        <v>3357.4960330272429</v>
      </c>
      <c r="AC46" s="2">
        <f t="shared" ca="1" si="18"/>
        <v>3217.6003649844411</v>
      </c>
      <c r="AD46" s="2">
        <f t="shared" ca="1" si="18"/>
        <v>3083.5336831100894</v>
      </c>
      <c r="AE46" s="2">
        <f t="shared" ca="1" si="18"/>
        <v>4121.7197796471692</v>
      </c>
      <c r="AF46" s="2">
        <f t="shared" ca="1" si="18"/>
        <v>3949.981455495204</v>
      </c>
      <c r="AG46" s="2">
        <f t="shared" ca="1" si="18"/>
        <v>3785.3988948495703</v>
      </c>
      <c r="AH46" s="2">
        <f t="shared" ca="1" si="18"/>
        <v>4794.3406075641715</v>
      </c>
      <c r="AI46" s="2">
        <f t="shared" ca="1" si="18"/>
        <v>4594.5764155823317</v>
      </c>
      <c r="AJ46" s="2">
        <f t="shared" ca="1" si="18"/>
        <v>5569.8023982664008</v>
      </c>
      <c r="AK46" s="2">
        <f t="shared" ca="1" si="18"/>
        <v>5337.7272983386338</v>
      </c>
      <c r="AL46" s="2">
        <f t="shared" ca="1" si="18"/>
        <v>5115.3219942411906</v>
      </c>
      <c r="AM46" s="2">
        <f t="shared" ca="1" si="18"/>
        <v>6068.8502444811411</v>
      </c>
      <c r="AN46" s="2">
        <f t="shared" ca="1" si="18"/>
        <v>5815.981484294427</v>
      </c>
      <c r="AO46" s="2">
        <f t="shared" ca="1" si="18"/>
        <v>5573.6489224488259</v>
      </c>
      <c r="AP46" s="2">
        <f t="shared" ca="1" si="18"/>
        <v>6508.0802173467919</v>
      </c>
      <c r="AQ46" s="2">
        <f t="shared" ca="1" si="18"/>
        <v>6236.9102082906757</v>
      </c>
      <c r="AR46" s="2">
        <f t="shared" ca="1" si="18"/>
        <v>7143.7056162785648</v>
      </c>
      <c r="AS46" s="2">
        <f t="shared" ca="1" si="18"/>
        <v>6846.0512156002915</v>
      </c>
      <c r="AT46" s="2">
        <f t="shared" ca="1" si="18"/>
        <v>7727.4657482836119</v>
      </c>
      <c r="AU46" s="2">
        <f t="shared" ca="1" si="18"/>
        <v>8572.1546754384617</v>
      </c>
      <c r="AV46" s="2">
        <f t="shared" ca="1" si="18"/>
        <v>8214.9815639618591</v>
      </c>
      <c r="AW46" s="2">
        <f t="shared" ca="1" si="18"/>
        <v>9039.3573321301155</v>
      </c>
      <c r="AX46" s="2">
        <f t="shared" ca="1" si="18"/>
        <v>9829.3841099580277</v>
      </c>
      <c r="AY46" s="2">
        <f t="shared" ca="1" si="18"/>
        <v>9419.8264387097752</v>
      </c>
      <c r="AZ46" s="2">
        <f t="shared" ca="1" si="18"/>
        <v>10194.00033709687</v>
      </c>
      <c r="BA46" s="2">
        <f t="shared" ca="1" si="18"/>
        <v>10935.916989717833</v>
      </c>
      <c r="BB46" s="2">
        <f t="shared" ca="1" si="18"/>
        <v>11646.920448479592</v>
      </c>
      <c r="BC46" s="2">
        <f t="shared" ca="1" si="18"/>
        <v>12328.298763126275</v>
      </c>
      <c r="BD46" s="2">
        <f t="shared" ca="1" si="18"/>
        <v>12981.286314662681</v>
      </c>
      <c r="BE46" s="2">
        <f t="shared" ca="1" si="18"/>
        <v>13607.066051551734</v>
      </c>
      <c r="BF46" s="2">
        <f t="shared" ca="1" si="18"/>
        <v>14206.77163273708</v>
      </c>
      <c r="BG46" s="2">
        <f t="shared" ca="1" si="18"/>
        <v>14781.489481373035</v>
      </c>
      <c r="BH46" s="2">
        <f t="shared" ca="1" si="18"/>
        <v>15332.260752982493</v>
      </c>
      <c r="BI46" s="2">
        <f t="shared" ca="1" si="18"/>
        <v>15860.083221608222</v>
      </c>
      <c r="BJ46" s="2">
        <f t="shared" ca="1" si="18"/>
        <v>16365.913087374543</v>
      </c>
      <c r="BK46" s="2">
        <f t="shared" ca="1" si="18"/>
        <v>16850.666708733937</v>
      </c>
      <c r="BL46" s="2">
        <f t="shared" ca="1" si="18"/>
        <v>17315.222262536689</v>
      </c>
      <c r="BM46" s="2">
        <f t="shared" ca="1" si="18"/>
        <v>17760.421334930994</v>
      </c>
      <c r="BN46" s="2">
        <f t="shared" ca="1" si="18"/>
        <v>18187.07044597554</v>
      </c>
      <c r="BO46" s="2">
        <f t="shared" ca="1" si="18"/>
        <v>18595.94251072656</v>
      </c>
      <c r="BP46" s="2">
        <f t="shared" ca="1" si="18"/>
        <v>18987.778239446288</v>
      </c>
      <c r="BQ46" s="2">
        <f t="shared" ca="1" si="18"/>
        <v>19363.28747946936</v>
      </c>
    </row>
    <row r="47" spans="1:69" outlineLevel="1">
      <c r="E47" s="46" t="s">
        <v>246</v>
      </c>
      <c r="G47" s="46" t="s">
        <v>252</v>
      </c>
      <c r="H47" s="2">
        <f t="shared" ref="H47:H48" ca="1" si="19" xml:space="preserve"> SUM( J47:BQ47 )</f>
        <v>450644.387972205</v>
      </c>
      <c r="J47" s="2">
        <f t="shared" ref="J47:BQ47" si="20" xml:space="preserve">  J46</f>
        <v>0</v>
      </c>
      <c r="K47" s="2">
        <f t="shared" ca="1" si="20"/>
        <v>1166.6666666666667</v>
      </c>
      <c r="L47" s="2">
        <f t="shared" ca="1" si="20"/>
        <v>1118.0555555555557</v>
      </c>
      <c r="M47" s="2">
        <f t="shared" ca="1" si="20"/>
        <v>1071.4699074074076</v>
      </c>
      <c r="N47" s="2">
        <f t="shared" ca="1" si="20"/>
        <v>1026.8253279320988</v>
      </c>
      <c r="O47" s="2">
        <f t="shared" ca="1" si="20"/>
        <v>984.04093926826147</v>
      </c>
      <c r="P47" s="2">
        <f t="shared" ca="1" si="20"/>
        <v>943.03923346541728</v>
      </c>
      <c r="Q47" s="2">
        <f t="shared" ca="1" si="20"/>
        <v>2070.412598737692</v>
      </c>
      <c r="R47" s="2">
        <f t="shared" ca="1" si="20"/>
        <v>1984.1454071236212</v>
      </c>
      <c r="S47" s="2">
        <f t="shared" ca="1" si="20"/>
        <v>1901.4726818268036</v>
      </c>
      <c r="T47" s="2">
        <f t="shared" ca="1" si="20"/>
        <v>1822.2446534173537</v>
      </c>
      <c r="U47" s="2">
        <f t="shared" ca="1" si="20"/>
        <v>1746.3177928582975</v>
      </c>
      <c r="V47" s="2">
        <f t="shared" ca="1" si="20"/>
        <v>1673.5545514892017</v>
      </c>
      <c r="W47" s="2">
        <f t="shared" ca="1" si="20"/>
        <v>2770.4897785104854</v>
      </c>
      <c r="X47" s="2">
        <f t="shared" ca="1" si="20"/>
        <v>2655.0527044058817</v>
      </c>
      <c r="Y47" s="2">
        <f t="shared" ca="1" si="20"/>
        <v>2544.4255083889702</v>
      </c>
      <c r="Z47" s="2">
        <f t="shared" ca="1" si="20"/>
        <v>2438.4077788727632</v>
      </c>
      <c r="AA47" s="2">
        <f t="shared" ca="1" si="20"/>
        <v>3503.4741214197315</v>
      </c>
      <c r="AB47" s="2">
        <f t="shared" ca="1" si="20"/>
        <v>3357.4960330272429</v>
      </c>
      <c r="AC47" s="2">
        <f t="shared" ca="1" si="20"/>
        <v>3217.6003649844411</v>
      </c>
      <c r="AD47" s="2">
        <f t="shared" ca="1" si="20"/>
        <v>3083.5336831100894</v>
      </c>
      <c r="AE47" s="2">
        <f t="shared" ca="1" si="20"/>
        <v>4121.7197796471692</v>
      </c>
      <c r="AF47" s="2">
        <f t="shared" ca="1" si="20"/>
        <v>3949.981455495204</v>
      </c>
      <c r="AG47" s="2">
        <f t="shared" ca="1" si="20"/>
        <v>3785.3988948495703</v>
      </c>
      <c r="AH47" s="2">
        <f t="shared" ca="1" si="20"/>
        <v>4794.3406075641715</v>
      </c>
      <c r="AI47" s="2">
        <f t="shared" ca="1" si="20"/>
        <v>4594.5764155823317</v>
      </c>
      <c r="AJ47" s="2">
        <f t="shared" ca="1" si="20"/>
        <v>5569.8023982664008</v>
      </c>
      <c r="AK47" s="2">
        <f t="shared" ca="1" si="20"/>
        <v>5337.7272983386338</v>
      </c>
      <c r="AL47" s="2">
        <f t="shared" ca="1" si="20"/>
        <v>5115.3219942411906</v>
      </c>
      <c r="AM47" s="2">
        <f t="shared" ca="1" si="20"/>
        <v>6068.8502444811411</v>
      </c>
      <c r="AN47" s="2">
        <f t="shared" ca="1" si="20"/>
        <v>5815.981484294427</v>
      </c>
      <c r="AO47" s="2">
        <f t="shared" ca="1" si="20"/>
        <v>5573.6489224488259</v>
      </c>
      <c r="AP47" s="2">
        <f t="shared" ca="1" si="20"/>
        <v>6508.0802173467919</v>
      </c>
      <c r="AQ47" s="2">
        <f t="shared" ca="1" si="20"/>
        <v>6236.9102082906757</v>
      </c>
      <c r="AR47" s="2">
        <f t="shared" ca="1" si="20"/>
        <v>7143.7056162785648</v>
      </c>
      <c r="AS47" s="2">
        <f t="shared" ca="1" si="20"/>
        <v>6846.0512156002915</v>
      </c>
      <c r="AT47" s="2">
        <f t="shared" ca="1" si="20"/>
        <v>7727.4657482836119</v>
      </c>
      <c r="AU47" s="2">
        <f t="shared" ca="1" si="20"/>
        <v>8572.1546754384617</v>
      </c>
      <c r="AV47" s="2">
        <f t="shared" ca="1" si="20"/>
        <v>8214.9815639618591</v>
      </c>
      <c r="AW47" s="2">
        <f t="shared" ca="1" si="20"/>
        <v>9039.3573321301155</v>
      </c>
      <c r="AX47" s="2">
        <f t="shared" ca="1" si="20"/>
        <v>9829.3841099580277</v>
      </c>
      <c r="AY47" s="2">
        <f t="shared" ca="1" si="20"/>
        <v>9419.8264387097752</v>
      </c>
      <c r="AZ47" s="2">
        <f t="shared" ca="1" si="20"/>
        <v>10194.00033709687</v>
      </c>
      <c r="BA47" s="2">
        <f t="shared" ca="1" si="20"/>
        <v>10935.916989717833</v>
      </c>
      <c r="BB47" s="2">
        <f t="shared" ca="1" si="20"/>
        <v>11646.920448479592</v>
      </c>
      <c r="BC47" s="2">
        <f t="shared" ca="1" si="20"/>
        <v>12328.298763126275</v>
      </c>
      <c r="BD47" s="2">
        <f t="shared" ca="1" si="20"/>
        <v>12981.286314662681</v>
      </c>
      <c r="BE47" s="2">
        <f t="shared" ca="1" si="20"/>
        <v>13607.066051551734</v>
      </c>
      <c r="BF47" s="2">
        <f t="shared" ca="1" si="20"/>
        <v>14206.77163273708</v>
      </c>
      <c r="BG47" s="2">
        <f t="shared" ca="1" si="20"/>
        <v>14781.489481373035</v>
      </c>
      <c r="BH47" s="2">
        <f t="shared" ca="1" si="20"/>
        <v>15332.260752982493</v>
      </c>
      <c r="BI47" s="2">
        <f t="shared" ca="1" si="20"/>
        <v>15860.083221608222</v>
      </c>
      <c r="BJ47" s="2">
        <f t="shared" ca="1" si="20"/>
        <v>16365.913087374543</v>
      </c>
      <c r="BK47" s="2">
        <f t="shared" ca="1" si="20"/>
        <v>16850.666708733937</v>
      </c>
      <c r="BL47" s="2">
        <f t="shared" ca="1" si="20"/>
        <v>17315.222262536689</v>
      </c>
      <c r="BM47" s="2">
        <f t="shared" ca="1" si="20"/>
        <v>17760.421334930994</v>
      </c>
      <c r="BN47" s="2">
        <f t="shared" ca="1" si="20"/>
        <v>18187.07044597554</v>
      </c>
      <c r="BO47" s="2">
        <f t="shared" ca="1" si="20"/>
        <v>18595.94251072656</v>
      </c>
      <c r="BP47" s="2">
        <f t="shared" ca="1" si="20"/>
        <v>18987.778239446288</v>
      </c>
      <c r="BQ47" s="2">
        <f t="shared" ca="1" si="20"/>
        <v>19363.28747946936</v>
      </c>
    </row>
    <row r="48" spans="1:69" outlineLevel="1">
      <c r="A48" s="36"/>
      <c r="B48" s="36"/>
      <c r="C48" s="65"/>
      <c r="D48" s="64"/>
      <c r="E48" s="21" t="str">
        <f xml:space="preserve"> LEFT($E$47, LEN($E$47) - 3 )</f>
        <v xml:space="preserve">Asset Finance interest paid </v>
      </c>
      <c r="F48" s="21"/>
      <c r="G48" s="21" t="str">
        <f xml:space="preserve"> G$47</f>
        <v>GBP</v>
      </c>
      <c r="H48" s="3">
        <f t="shared" ca="1" si="19"/>
        <v>-450644.387972205</v>
      </c>
      <c r="I48" s="21"/>
      <c r="J48" s="3">
        <f t="shared" ref="J48:BQ48" si="21" xml:space="preserve"> -1 * J47</f>
        <v>0</v>
      </c>
      <c r="K48" s="3">
        <f t="shared" ca="1" si="21"/>
        <v>-1166.6666666666667</v>
      </c>
      <c r="L48" s="3">
        <f t="shared" ca="1" si="21"/>
        <v>-1118.0555555555557</v>
      </c>
      <c r="M48" s="3">
        <f t="shared" ca="1" si="21"/>
        <v>-1071.4699074074076</v>
      </c>
      <c r="N48" s="3">
        <f t="shared" ca="1" si="21"/>
        <v>-1026.8253279320988</v>
      </c>
      <c r="O48" s="3">
        <f t="shared" ca="1" si="21"/>
        <v>-984.04093926826147</v>
      </c>
      <c r="P48" s="3">
        <f t="shared" ca="1" si="21"/>
        <v>-943.03923346541728</v>
      </c>
      <c r="Q48" s="3">
        <f t="shared" ca="1" si="21"/>
        <v>-2070.412598737692</v>
      </c>
      <c r="R48" s="3">
        <f t="shared" ca="1" si="21"/>
        <v>-1984.1454071236212</v>
      </c>
      <c r="S48" s="3">
        <f t="shared" ca="1" si="21"/>
        <v>-1901.4726818268036</v>
      </c>
      <c r="T48" s="3">
        <f t="shared" ca="1" si="21"/>
        <v>-1822.2446534173537</v>
      </c>
      <c r="U48" s="3">
        <f t="shared" ca="1" si="21"/>
        <v>-1746.3177928582975</v>
      </c>
      <c r="V48" s="3">
        <f t="shared" ca="1" si="21"/>
        <v>-1673.5545514892017</v>
      </c>
      <c r="W48" s="3">
        <f t="shared" ca="1" si="21"/>
        <v>-2770.4897785104854</v>
      </c>
      <c r="X48" s="3">
        <f t="shared" ca="1" si="21"/>
        <v>-2655.0527044058817</v>
      </c>
      <c r="Y48" s="3">
        <f t="shared" ca="1" si="21"/>
        <v>-2544.4255083889702</v>
      </c>
      <c r="Z48" s="3">
        <f t="shared" ca="1" si="21"/>
        <v>-2438.4077788727632</v>
      </c>
      <c r="AA48" s="3">
        <f t="shared" ca="1" si="21"/>
        <v>-3503.4741214197315</v>
      </c>
      <c r="AB48" s="3">
        <f t="shared" ca="1" si="21"/>
        <v>-3357.4960330272429</v>
      </c>
      <c r="AC48" s="3">
        <f t="shared" ca="1" si="21"/>
        <v>-3217.6003649844411</v>
      </c>
      <c r="AD48" s="3">
        <f t="shared" ca="1" si="21"/>
        <v>-3083.5336831100894</v>
      </c>
      <c r="AE48" s="3">
        <f t="shared" ca="1" si="21"/>
        <v>-4121.7197796471692</v>
      </c>
      <c r="AF48" s="3">
        <f t="shared" ca="1" si="21"/>
        <v>-3949.981455495204</v>
      </c>
      <c r="AG48" s="3">
        <f t="shared" ca="1" si="21"/>
        <v>-3785.3988948495703</v>
      </c>
      <c r="AH48" s="3">
        <f t="shared" ca="1" si="21"/>
        <v>-4794.3406075641715</v>
      </c>
      <c r="AI48" s="3">
        <f t="shared" ca="1" si="21"/>
        <v>-4594.5764155823317</v>
      </c>
      <c r="AJ48" s="3">
        <f t="shared" ca="1" si="21"/>
        <v>-5569.8023982664008</v>
      </c>
      <c r="AK48" s="3">
        <f t="shared" ca="1" si="21"/>
        <v>-5337.7272983386338</v>
      </c>
      <c r="AL48" s="3">
        <f t="shared" ca="1" si="21"/>
        <v>-5115.3219942411906</v>
      </c>
      <c r="AM48" s="3">
        <f t="shared" ca="1" si="21"/>
        <v>-6068.8502444811411</v>
      </c>
      <c r="AN48" s="3">
        <f t="shared" ca="1" si="21"/>
        <v>-5815.981484294427</v>
      </c>
      <c r="AO48" s="3">
        <f t="shared" ca="1" si="21"/>
        <v>-5573.6489224488259</v>
      </c>
      <c r="AP48" s="3">
        <f t="shared" ca="1" si="21"/>
        <v>-6508.0802173467919</v>
      </c>
      <c r="AQ48" s="3">
        <f t="shared" ca="1" si="21"/>
        <v>-6236.9102082906757</v>
      </c>
      <c r="AR48" s="3">
        <f t="shared" ca="1" si="21"/>
        <v>-7143.7056162785648</v>
      </c>
      <c r="AS48" s="3">
        <f t="shared" ca="1" si="21"/>
        <v>-6846.0512156002915</v>
      </c>
      <c r="AT48" s="3">
        <f t="shared" ca="1" si="21"/>
        <v>-7727.4657482836119</v>
      </c>
      <c r="AU48" s="3">
        <f t="shared" ca="1" si="21"/>
        <v>-8572.1546754384617</v>
      </c>
      <c r="AV48" s="3">
        <f t="shared" ca="1" si="21"/>
        <v>-8214.9815639618591</v>
      </c>
      <c r="AW48" s="3">
        <f t="shared" ca="1" si="21"/>
        <v>-9039.3573321301155</v>
      </c>
      <c r="AX48" s="3">
        <f t="shared" ca="1" si="21"/>
        <v>-9829.3841099580277</v>
      </c>
      <c r="AY48" s="3">
        <f t="shared" ca="1" si="21"/>
        <v>-9419.8264387097752</v>
      </c>
      <c r="AZ48" s="3">
        <f t="shared" ca="1" si="21"/>
        <v>-10194.00033709687</v>
      </c>
      <c r="BA48" s="3">
        <f t="shared" ca="1" si="21"/>
        <v>-10935.916989717833</v>
      </c>
      <c r="BB48" s="3">
        <f t="shared" ca="1" si="21"/>
        <v>-11646.920448479592</v>
      </c>
      <c r="BC48" s="3">
        <f t="shared" ca="1" si="21"/>
        <v>-12328.298763126275</v>
      </c>
      <c r="BD48" s="3">
        <f t="shared" ca="1" si="21"/>
        <v>-12981.286314662681</v>
      </c>
      <c r="BE48" s="3">
        <f t="shared" ca="1" si="21"/>
        <v>-13607.066051551734</v>
      </c>
      <c r="BF48" s="3">
        <f t="shared" ca="1" si="21"/>
        <v>-14206.77163273708</v>
      </c>
      <c r="BG48" s="3">
        <f t="shared" ca="1" si="21"/>
        <v>-14781.489481373035</v>
      </c>
      <c r="BH48" s="3">
        <f t="shared" ca="1" si="21"/>
        <v>-15332.260752982493</v>
      </c>
      <c r="BI48" s="3">
        <f t="shared" ca="1" si="21"/>
        <v>-15860.083221608222</v>
      </c>
      <c r="BJ48" s="3">
        <f t="shared" ca="1" si="21"/>
        <v>-16365.913087374543</v>
      </c>
      <c r="BK48" s="3">
        <f t="shared" ca="1" si="21"/>
        <v>-16850.666708733937</v>
      </c>
      <c r="BL48" s="3">
        <f t="shared" ca="1" si="21"/>
        <v>-17315.222262536689</v>
      </c>
      <c r="BM48" s="3">
        <f t="shared" ca="1" si="21"/>
        <v>-17760.421334930994</v>
      </c>
      <c r="BN48" s="3">
        <f t="shared" ca="1" si="21"/>
        <v>-18187.07044597554</v>
      </c>
      <c r="BO48" s="3">
        <f t="shared" ca="1" si="21"/>
        <v>-18595.94251072656</v>
      </c>
      <c r="BP48" s="3">
        <f t="shared" ca="1" si="21"/>
        <v>-18987.778239446288</v>
      </c>
      <c r="BQ48" s="3">
        <f t="shared" ca="1" si="21"/>
        <v>-19363.28747946936</v>
      </c>
    </row>
    <row r="51" spans="1:13">
      <c r="B51" s="27" t="s">
        <v>241</v>
      </c>
    </row>
    <row r="52" spans="1:13" outlineLevel="1">
      <c r="A52" s="18"/>
      <c r="B52" s="18"/>
      <c r="C52" s="30"/>
      <c r="D52" s="31"/>
      <c r="E52" s="44" t="str">
        <f xml:space="preserve">  InpC!E$75</f>
        <v>All in Trade finance annual interest rate</v>
      </c>
      <c r="F52" s="44">
        <f xml:space="preserve">  InpC!F$75</f>
        <v>0.08</v>
      </c>
      <c r="G52" s="44" t="str">
        <f xml:space="preserve">  InpC!G$75</f>
        <v>%</v>
      </c>
      <c r="M52" s="58"/>
    </row>
    <row r="53" spans="1:13" outlineLevel="1">
      <c r="A53" s="18"/>
      <c r="B53" s="18"/>
      <c r="C53" s="30"/>
      <c r="D53" s="31"/>
      <c r="E53" s="4" t="str">
        <f xml:space="preserve">  InpC!E$56</f>
        <v>debt day count convention</v>
      </c>
      <c r="F53" s="4">
        <f xml:space="preserve">  InpC!F$56</f>
        <v>360</v>
      </c>
      <c r="G53" s="4" t="str">
        <f xml:space="preserve">  InpC!G$56</f>
        <v>day</v>
      </c>
      <c r="M53" s="2"/>
    </row>
    <row r="54" spans="1:13" outlineLevel="1">
      <c r="A54" s="18"/>
      <c r="B54" s="18"/>
      <c r="C54" s="30"/>
      <c r="D54" s="31"/>
      <c r="E54" s="4" t="str">
        <f xml:space="preserve">  InpC!E$55</f>
        <v>Days in period</v>
      </c>
      <c r="F54" s="4">
        <f xml:space="preserve">  InpC!F$55</f>
        <v>30</v>
      </c>
      <c r="G54" s="4" t="str">
        <f xml:space="preserve">  InpC!G$55</f>
        <v>day</v>
      </c>
      <c r="M54" s="2"/>
    </row>
    <row r="55" spans="1:13" outlineLevel="1">
      <c r="E55" s="46" t="s">
        <v>241</v>
      </c>
      <c r="F55" s="58">
        <f xml:space="preserve">  $F52 / $F53 * $F54</f>
        <v>6.6666666666666671E-3</v>
      </c>
      <c r="G55" s="46" t="s">
        <v>205</v>
      </c>
      <c r="M55" s="58"/>
    </row>
    <row r="58" spans="1:13">
      <c r="B58" s="27" t="s">
        <v>265</v>
      </c>
    </row>
  </sheetData>
  <conditionalFormatting sqref="F2:F3">
    <cfRule type="cellIs" dxfId="182" priority="1" stopIfTrue="1" operator="notEqual">
      <formula>0</formula>
    </cfRule>
    <cfRule type="cellIs" dxfId="181" priority="2" stopIfTrue="1" operator="equal">
      <formula>""</formula>
    </cfRule>
  </conditionalFormatting>
  <conditionalFormatting sqref="J3:BQ3">
    <cfRule type="cellIs" dxfId="180" priority="8" operator="equal">
      <formula>"PPA ext."</formula>
    </cfRule>
    <cfRule type="cellIs" dxfId="179" priority="9" operator="equal">
      <formula>"Delay"</formula>
    </cfRule>
    <cfRule type="cellIs" dxfId="178" priority="10" operator="equal">
      <formula>"Fin Close"</formula>
    </cfRule>
    <cfRule type="cellIs" dxfId="177" priority="11" stopIfTrue="1" operator="equal">
      <formula>"Construction"</formula>
    </cfRule>
    <cfRule type="cellIs" dxfId="176"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Q54"/>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1"/>
  <cols>
    <col min="1" max="2" width="1.453125" style="27" customWidth="1"/>
    <col min="3" max="3" width="1.453125" style="61" customWidth="1"/>
    <col min="4" max="4" width="1.453125" style="88" customWidth="1"/>
    <col min="5" max="5" width="46.5429687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2" width="12.1796875" style="46" bestFit="1" customWidth="1"/>
    <col min="63" max="63" width="12.453125" style="46" bestFit="1" customWidth="1"/>
    <col min="64" max="64" width="12.36328125" style="46" bestFit="1" customWidth="1"/>
    <col min="65" max="65" width="12.1796875" style="46" bestFit="1" customWidth="1"/>
    <col min="66" max="66" width="12.453125" style="46" bestFit="1" customWidth="1"/>
    <col min="67" max="67" width="12.08984375" style="46" bestFit="1" customWidth="1"/>
    <col min="68" max="68" width="12" style="46" bestFit="1" customWidth="1"/>
    <col min="69" max="69" width="12.4531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VAT</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338</v>
      </c>
    </row>
    <row r="9" spans="1:69" outlineLevel="1">
      <c r="A9" s="18"/>
      <c r="B9" s="18"/>
      <c r="C9" s="30"/>
      <c r="D9" s="31"/>
      <c r="E9" s="4" t="str">
        <f xml:space="preserve">  Inventory!E$11</f>
        <v>VAT on inventory</v>
      </c>
      <c r="F9" s="4">
        <f xml:space="preserve">  Inventory!F$11</f>
        <v>0</v>
      </c>
      <c r="G9" s="4" t="str">
        <f xml:space="preserve">  Inventory!G$11</f>
        <v>GBP</v>
      </c>
      <c r="H9" s="4">
        <f ca="1" xml:space="preserve">  Inventory!H$11</f>
        <v>1155000</v>
      </c>
      <c r="I9" s="4">
        <f xml:space="preserve">  Inventory!I$11</f>
        <v>0</v>
      </c>
      <c r="J9" s="4">
        <f ca="1" xml:space="preserve">  Inventory!J$11</f>
        <v>35000</v>
      </c>
      <c r="K9" s="4">
        <f ca="1" xml:space="preserve">  Inventory!K$11</f>
        <v>0</v>
      </c>
      <c r="L9" s="4">
        <f ca="1" xml:space="preserve">  Inventory!L$11</f>
        <v>0</v>
      </c>
      <c r="M9" s="4">
        <f ca="1" xml:space="preserve">  Inventory!M$11</f>
        <v>0</v>
      </c>
      <c r="N9" s="4">
        <f ca="1" xml:space="preserve">  Inventory!N$11</f>
        <v>0</v>
      </c>
      <c r="O9" s="4">
        <f ca="1" xml:space="preserve">  Inventory!O$11</f>
        <v>0</v>
      </c>
      <c r="P9" s="4">
        <f ca="1" xml:space="preserve">  Inventory!P$11</f>
        <v>35000</v>
      </c>
      <c r="Q9" s="4">
        <f ca="1" xml:space="preserve">  Inventory!Q$11</f>
        <v>0</v>
      </c>
      <c r="R9" s="4">
        <f ca="1" xml:space="preserve">  Inventory!R$11</f>
        <v>0</v>
      </c>
      <c r="S9" s="4">
        <f ca="1" xml:space="preserve">  Inventory!S$11</f>
        <v>0</v>
      </c>
      <c r="T9" s="4">
        <f ca="1" xml:space="preserve">  Inventory!T$11</f>
        <v>0</v>
      </c>
      <c r="U9" s="4">
        <f ca="1" xml:space="preserve">  Inventory!U$11</f>
        <v>0</v>
      </c>
      <c r="V9" s="4">
        <f ca="1" xml:space="preserve">  Inventory!V$11</f>
        <v>35000</v>
      </c>
      <c r="W9" s="4">
        <f ca="1" xml:space="preserve">  Inventory!W$11</f>
        <v>0</v>
      </c>
      <c r="X9" s="4">
        <f ca="1" xml:space="preserve">  Inventory!X$11</f>
        <v>0</v>
      </c>
      <c r="Y9" s="4">
        <f ca="1" xml:space="preserve">  Inventory!Y$11</f>
        <v>0</v>
      </c>
      <c r="Z9" s="4">
        <f ca="1" xml:space="preserve">  Inventory!Z$11</f>
        <v>35000</v>
      </c>
      <c r="AA9" s="4">
        <f ca="1" xml:space="preserve">  Inventory!AA$11</f>
        <v>0</v>
      </c>
      <c r="AB9" s="4">
        <f ca="1" xml:space="preserve">  Inventory!AB$11</f>
        <v>0</v>
      </c>
      <c r="AC9" s="4">
        <f ca="1" xml:space="preserve">  Inventory!AC$11</f>
        <v>0</v>
      </c>
      <c r="AD9" s="4">
        <f ca="1" xml:space="preserve">  Inventory!AD$11</f>
        <v>35000</v>
      </c>
      <c r="AE9" s="4">
        <f ca="1" xml:space="preserve">  Inventory!AE$11</f>
        <v>0</v>
      </c>
      <c r="AF9" s="4">
        <f ca="1" xml:space="preserve">  Inventory!AF$11</f>
        <v>0</v>
      </c>
      <c r="AG9" s="4">
        <f ca="1" xml:space="preserve">  Inventory!AG$11</f>
        <v>35000</v>
      </c>
      <c r="AH9" s="4">
        <f ca="1" xml:space="preserve">  Inventory!AH$11</f>
        <v>0</v>
      </c>
      <c r="AI9" s="4">
        <f ca="1" xml:space="preserve">  Inventory!AI$11</f>
        <v>35000</v>
      </c>
      <c r="AJ9" s="4">
        <f ca="1" xml:space="preserve">  Inventory!AJ$11</f>
        <v>0</v>
      </c>
      <c r="AK9" s="4">
        <f ca="1" xml:space="preserve">  Inventory!AK$11</f>
        <v>0</v>
      </c>
      <c r="AL9" s="4">
        <f ca="1" xml:space="preserve">  Inventory!AL$11</f>
        <v>35000</v>
      </c>
      <c r="AM9" s="4">
        <f ca="1" xml:space="preserve">  Inventory!AM$11</f>
        <v>0</v>
      </c>
      <c r="AN9" s="4">
        <f ca="1" xml:space="preserve">  Inventory!AN$11</f>
        <v>0</v>
      </c>
      <c r="AO9" s="4">
        <f ca="1" xml:space="preserve">  Inventory!AO$11</f>
        <v>35000</v>
      </c>
      <c r="AP9" s="4">
        <f ca="1" xml:space="preserve">  Inventory!AP$11</f>
        <v>0</v>
      </c>
      <c r="AQ9" s="4">
        <f ca="1" xml:space="preserve">  Inventory!AQ$11</f>
        <v>35000</v>
      </c>
      <c r="AR9" s="4">
        <f ca="1" xml:space="preserve">  Inventory!AR$11</f>
        <v>0</v>
      </c>
      <c r="AS9" s="4">
        <f ca="1" xml:space="preserve">  Inventory!AS$11</f>
        <v>35000</v>
      </c>
      <c r="AT9" s="4">
        <f ca="1" xml:space="preserve">  Inventory!AT$11</f>
        <v>35000</v>
      </c>
      <c r="AU9" s="4">
        <f ca="1" xml:space="preserve">  Inventory!AU$11</f>
        <v>0</v>
      </c>
      <c r="AV9" s="4">
        <f ca="1" xml:space="preserve">  Inventory!AV$11</f>
        <v>35000</v>
      </c>
      <c r="AW9" s="4">
        <f ca="1" xml:space="preserve">  Inventory!AW$11</f>
        <v>35000</v>
      </c>
      <c r="AX9" s="4">
        <f ca="1" xml:space="preserve">  Inventory!AX$11</f>
        <v>0</v>
      </c>
      <c r="AY9" s="4">
        <f ca="1" xml:space="preserve">  Inventory!AY$11</f>
        <v>35000</v>
      </c>
      <c r="AZ9" s="4">
        <f ca="1" xml:space="preserve">  Inventory!AZ$11</f>
        <v>35000</v>
      </c>
      <c r="BA9" s="4">
        <f ca="1" xml:space="preserve">  Inventory!BA$11</f>
        <v>35000</v>
      </c>
      <c r="BB9" s="4">
        <f ca="1" xml:space="preserve">  Inventory!BB$11</f>
        <v>35000</v>
      </c>
      <c r="BC9" s="4">
        <f ca="1" xml:space="preserve">  Inventory!BC$11</f>
        <v>35000</v>
      </c>
      <c r="BD9" s="4">
        <f ca="1" xml:space="preserve">  Inventory!BD$11</f>
        <v>35000</v>
      </c>
      <c r="BE9" s="4">
        <f ca="1" xml:space="preserve">  Inventory!BE$11</f>
        <v>35000</v>
      </c>
      <c r="BF9" s="4">
        <f ca="1" xml:space="preserve">  Inventory!BF$11</f>
        <v>35000</v>
      </c>
      <c r="BG9" s="4">
        <f ca="1" xml:space="preserve">  Inventory!BG$11</f>
        <v>35000</v>
      </c>
      <c r="BH9" s="4">
        <f ca="1" xml:space="preserve">  Inventory!BH$11</f>
        <v>35000</v>
      </c>
      <c r="BI9" s="4">
        <f ca="1" xml:space="preserve">  Inventory!BI$11</f>
        <v>35000</v>
      </c>
      <c r="BJ9" s="4">
        <f ca="1" xml:space="preserve">  Inventory!BJ$11</f>
        <v>35000</v>
      </c>
      <c r="BK9" s="4">
        <f ca="1" xml:space="preserve">  Inventory!BK$11</f>
        <v>35000</v>
      </c>
      <c r="BL9" s="4">
        <f ca="1" xml:space="preserve">  Inventory!BL$11</f>
        <v>35000</v>
      </c>
      <c r="BM9" s="4">
        <f ca="1" xml:space="preserve">  Inventory!BM$11</f>
        <v>35000</v>
      </c>
      <c r="BN9" s="4">
        <f ca="1" xml:space="preserve">  Inventory!BN$11</f>
        <v>35000</v>
      </c>
      <c r="BO9" s="4">
        <f ca="1" xml:space="preserve">  Inventory!BO$11</f>
        <v>35000</v>
      </c>
      <c r="BP9" s="4">
        <f ca="1" xml:space="preserve">  Inventory!BP$11</f>
        <v>35000</v>
      </c>
      <c r="BQ9" s="4">
        <f ca="1" xml:space="preserve">  Inventory!BQ$11</f>
        <v>35000</v>
      </c>
    </row>
    <row r="10" spans="1:69" outlineLevel="1">
      <c r="A10" s="18"/>
      <c r="B10" s="18"/>
      <c r="C10" s="30"/>
      <c r="D10" s="31"/>
      <c r="E10" s="4" t="str">
        <f xml:space="preserve">  Expense!E$13</f>
        <v>VAT on operating expense</v>
      </c>
      <c r="F10" s="4">
        <f xml:space="preserve">  Expense!F$13</f>
        <v>0</v>
      </c>
      <c r="G10" s="4" t="str">
        <f xml:space="preserve">  Expense!G$13</f>
        <v>GBP</v>
      </c>
      <c r="H10" s="4">
        <f ca="1" xml:space="preserve">  Expense!H$13</f>
        <v>794458.85893919331</v>
      </c>
      <c r="I10" s="4">
        <f xml:space="preserve">  Expense!I$13</f>
        <v>0</v>
      </c>
      <c r="J10" s="4">
        <f ca="1" xml:space="preserve">  Expense!J$13</f>
        <v>5220</v>
      </c>
      <c r="K10" s="4">
        <f ca="1" xml:space="preserve">  Expense!K$13</f>
        <v>5263.6589175802555</v>
      </c>
      <c r="L10" s="4">
        <f ca="1" xml:space="preserve">  Expense!L$13</f>
        <v>5308.4285064132237</v>
      </c>
      <c r="M10" s="4">
        <f ca="1" xml:space="preserve">  Expense!M$13</f>
        <v>5466.8637306707278</v>
      </c>
      <c r="N10" s="4">
        <f ca="1" xml:space="preserve">  Expense!N$13</f>
        <v>5518.8572264172044</v>
      </c>
      <c r="O10" s="4">
        <f ca="1" xml:space="preserve">  Expense!O$13</f>
        <v>5572.17342286847</v>
      </c>
      <c r="P10" s="4">
        <f ca="1" xml:space="preserve">  Expense!P$13</f>
        <v>5742.6271839152232</v>
      </c>
      <c r="Q10" s="4">
        <f ca="1" xml:space="preserve">  Expense!Q$13</f>
        <v>5802.491535394016</v>
      </c>
      <c r="R10" s="4">
        <f ca="1" xml:space="preserve">  Expense!R$13</f>
        <v>5868.0407153725964</v>
      </c>
      <c r="S10" s="4">
        <f ca="1" xml:space="preserve">  Expense!S$13</f>
        <v>6052.3641987312758</v>
      </c>
      <c r="T10" s="4">
        <f ca="1" xml:space="preserve">  Expense!T$13</f>
        <v>6119.1825207416014</v>
      </c>
      <c r="U10" s="4">
        <f ca="1" xml:space="preserve">  Expense!U$13</f>
        <v>6196.7550234558857</v>
      </c>
      <c r="V10" s="4">
        <f ca="1" xml:space="preserve">  Expense!V$13</f>
        <v>6390.0000000000009</v>
      </c>
      <c r="W10" s="4">
        <f ca="1" xml:space="preserve">  Expense!W$13</f>
        <v>6478.6436398124706</v>
      </c>
      <c r="X10" s="4">
        <f ca="1" xml:space="preserve">  Expense!X$13</f>
        <v>6568.1344275598158</v>
      </c>
      <c r="Y10" s="4">
        <f ca="1" xml:space="preserve">  Expense!Y$13</f>
        <v>6786.9657976920826</v>
      </c>
      <c r="Z10" s="4">
        <f ca="1" xml:space="preserve">  Expense!Z$13</f>
        <v>6890.8799850792802</v>
      </c>
      <c r="AA10" s="4">
        <f ca="1" xml:space="preserve">  Expense!AA$13</f>
        <v>6997.4292817000669</v>
      </c>
      <c r="AB10" s="4">
        <f ca="1" xml:space="preserve">  Expense!AB$13</f>
        <v>7237.2107919126029</v>
      </c>
      <c r="AC10" s="4">
        <f ca="1" xml:space="preserve">  Expense!AC$13</f>
        <v>7356.8272358892082</v>
      </c>
      <c r="AD10" s="4">
        <f ca="1" xml:space="preserve">  Expense!AD$13</f>
        <v>7489.0051613847209</v>
      </c>
      <c r="AE10" s="4">
        <f ca="1" xml:space="preserve">  Expense!AE$13</f>
        <v>7754.5583227889219</v>
      </c>
      <c r="AF10" s="4">
        <f ca="1" xml:space="preserve">  Expense!AF$13</f>
        <v>7887.362999915953</v>
      </c>
      <c r="AG10" s="4">
        <f ca="1" xml:space="preserve">  Expense!AG$13</f>
        <v>8042.8650735489546</v>
      </c>
      <c r="AH10" s="4">
        <f ca="1" xml:space="preserve">  Expense!AH$13</f>
        <v>8975.2955125547105</v>
      </c>
      <c r="AI10" s="4">
        <f ca="1" xml:space="preserve">  Expense!AI$13</f>
        <v>9189.1705144178159</v>
      </c>
      <c r="AJ10" s="4">
        <f ca="1" xml:space="preserve">  Expense!AJ$13</f>
        <v>9408.4769818158602</v>
      </c>
      <c r="AK10" s="4">
        <f ca="1" xml:space="preserve">  Expense!AK$13</f>
        <v>9780.8793061602773</v>
      </c>
      <c r="AL10" s="4">
        <f ca="1" xml:space="preserve">  Expense!AL$13</f>
        <v>10035.550350824729</v>
      </c>
      <c r="AM10" s="4">
        <f ca="1" xml:space="preserve">  Expense!AM$13</f>
        <v>10296.688897816872</v>
      </c>
      <c r="AN10" s="4">
        <f ca="1" xml:space="preserve">  Expense!AN$13</f>
        <v>10718.107110337864</v>
      </c>
      <c r="AO10" s="4">
        <f ca="1" xml:space="preserve">  Expense!AO$13</f>
        <v>11011.292712068884</v>
      </c>
      <c r="AP10" s="4">
        <f ca="1" xml:space="preserve">  Expense!AP$13</f>
        <v>11334.244334670359</v>
      </c>
      <c r="AQ10" s="4">
        <f ca="1" xml:space="preserve">  Expense!AQ$13</f>
        <v>11814.026718696503</v>
      </c>
      <c r="AR10" s="4">
        <f ca="1" xml:space="preserve">  Expense!AR$13</f>
        <v>12139.782580647781</v>
      </c>
      <c r="AS10" s="4">
        <f ca="1" xml:space="preserve">  Expense!AS$13</f>
        <v>12520.617685810434</v>
      </c>
      <c r="AT10" s="4">
        <f ca="1" xml:space="preserve">  Expense!AT$13</f>
        <v>13048.6241300115</v>
      </c>
      <c r="AU10" s="4">
        <f ca="1" xml:space="preserve">  Expense!AU$13</f>
        <v>13477.594210855874</v>
      </c>
      <c r="AV10" s="4">
        <f ca="1" xml:space="preserve">  Expense!AV$13</f>
        <v>13916.195855184529</v>
      </c>
      <c r="AW10" s="4">
        <f ca="1" xml:space="preserve">  Expense!AW$13</f>
        <v>14541.964336679883</v>
      </c>
      <c r="AX10" s="4">
        <f ca="1" xml:space="preserve">  Expense!AX$13</f>
        <v>15051.289435301658</v>
      </c>
      <c r="AY10" s="4">
        <f ca="1" xml:space="preserve">  Expense!AY$13</f>
        <v>15573.54713501056</v>
      </c>
      <c r="AZ10" s="4">
        <f ca="1" xml:space="preserve">  Expense!AZ$13</f>
        <v>16294.447728808511</v>
      </c>
      <c r="BA10" s="4">
        <f ca="1" xml:space="preserve">  Expense!BA$13</f>
        <v>16880.792728029668</v>
      </c>
      <c r="BB10" s="4">
        <f ca="1" xml:space="preserve">  Expense!BB$13</f>
        <v>17527.076483001172</v>
      </c>
      <c r="BC10" s="4">
        <f ca="1" xml:space="preserve">  Expense!BC$13</f>
        <v>18361.378020211047</v>
      </c>
      <c r="BD10" s="4">
        <f ca="1" xml:space="preserve">  Expense!BD$13</f>
        <v>19012.15298685458</v>
      </c>
      <c r="BE10" s="4">
        <f ca="1" xml:space="preserve">  Expense!BE$13</f>
        <v>19774.163397211018</v>
      </c>
      <c r="BF10" s="4">
        <f ca="1" xml:space="preserve">  Expense!BF$13</f>
        <v>20706.807493822413</v>
      </c>
      <c r="BG10" s="4">
        <f ca="1" xml:space="preserve">  Expense!BG$13</f>
        <v>21562.345102103969</v>
      </c>
      <c r="BH10" s="4">
        <f ca="1" xml:space="preserve">  Expense!BH$13</f>
        <v>22439.616138105452</v>
      </c>
      <c r="BI10" s="4">
        <f ca="1" xml:space="preserve">  Expense!BI$13</f>
        <v>23560.273181715122</v>
      </c>
      <c r="BJ10" s="4">
        <f ca="1" xml:space="preserve">  Expense!BJ$13</f>
        <v>24579.025295819119</v>
      </c>
      <c r="BK10" s="4">
        <f ca="1" xml:space="preserve">  Expense!BK$13</f>
        <v>25623.657015217428</v>
      </c>
      <c r="BL10" s="4">
        <f ca="1" xml:space="preserve">  Expense!BL$13</f>
        <v>26931.451966263223</v>
      </c>
      <c r="BM10" s="4">
        <f ca="1" xml:space="preserve">  Expense!BM$13</f>
        <v>28104.299097118859</v>
      </c>
      <c r="BN10" s="4">
        <f ca="1" xml:space="preserve">  Expense!BN$13</f>
        <v>29368.552015671728</v>
      </c>
      <c r="BO10" s="4">
        <f ca="1" xml:space="preserve">  Expense!BO$13</f>
        <v>30895.800734156859</v>
      </c>
      <c r="BP10" s="4">
        <f ca="1" xml:space="preserve">  Expense!BP$13</f>
        <v>32234.205795430236</v>
      </c>
      <c r="BQ10" s="4">
        <f ca="1" xml:space="preserve">  Expense!BQ$13</f>
        <v>33758.140251942074</v>
      </c>
    </row>
    <row r="11" spans="1:69" outlineLevel="1">
      <c r="E11" s="46" t="s">
        <v>338</v>
      </c>
      <c r="G11" s="46" t="s">
        <v>252</v>
      </c>
      <c r="H11" s="2">
        <f ca="1" xml:space="preserve"> SUM( J11:BQ11 )</f>
        <v>1949458.8589391932</v>
      </c>
      <c r="J11" s="2">
        <f t="shared" ref="J11:BQ11" ca="1" si="0" xml:space="preserve">  J9 + J10</f>
        <v>40220</v>
      </c>
      <c r="K11" s="2">
        <f t="shared" ca="1" si="0"/>
        <v>5263.6589175802555</v>
      </c>
      <c r="L11" s="2">
        <f t="shared" ca="1" si="0"/>
        <v>5308.4285064132237</v>
      </c>
      <c r="M11" s="2">
        <f t="shared" ca="1" si="0"/>
        <v>5466.8637306707278</v>
      </c>
      <c r="N11" s="2">
        <f t="shared" ca="1" si="0"/>
        <v>5518.8572264172044</v>
      </c>
      <c r="O11" s="2">
        <f t="shared" ca="1" si="0"/>
        <v>5572.17342286847</v>
      </c>
      <c r="P11" s="2">
        <f t="shared" ca="1" si="0"/>
        <v>40742.627183915225</v>
      </c>
      <c r="Q11" s="2">
        <f t="shared" ca="1" si="0"/>
        <v>5802.491535394016</v>
      </c>
      <c r="R11" s="2">
        <f t="shared" ca="1" si="0"/>
        <v>5868.0407153725964</v>
      </c>
      <c r="S11" s="2">
        <f t="shared" ca="1" si="0"/>
        <v>6052.3641987312758</v>
      </c>
      <c r="T11" s="2">
        <f t="shared" ca="1" si="0"/>
        <v>6119.1825207416014</v>
      </c>
      <c r="U11" s="2">
        <f t="shared" ca="1" si="0"/>
        <v>6196.7550234558857</v>
      </c>
      <c r="V11" s="2">
        <f t="shared" ca="1" si="0"/>
        <v>41390</v>
      </c>
      <c r="W11" s="2">
        <f t="shared" ca="1" si="0"/>
        <v>6478.6436398124706</v>
      </c>
      <c r="X11" s="2">
        <f t="shared" ca="1" si="0"/>
        <v>6568.1344275598158</v>
      </c>
      <c r="Y11" s="2">
        <f t="shared" ca="1" si="0"/>
        <v>6786.9657976920826</v>
      </c>
      <c r="Z11" s="2">
        <f t="shared" ca="1" si="0"/>
        <v>41890.879985079278</v>
      </c>
      <c r="AA11" s="2">
        <f t="shared" ca="1" si="0"/>
        <v>6997.4292817000669</v>
      </c>
      <c r="AB11" s="2">
        <f t="shared" ca="1" si="0"/>
        <v>7237.2107919126029</v>
      </c>
      <c r="AC11" s="2">
        <f t="shared" ca="1" si="0"/>
        <v>7356.8272358892082</v>
      </c>
      <c r="AD11" s="2">
        <f t="shared" ca="1" si="0"/>
        <v>42489.005161384717</v>
      </c>
      <c r="AE11" s="2">
        <f t="shared" ca="1" si="0"/>
        <v>7754.5583227889219</v>
      </c>
      <c r="AF11" s="2">
        <f t="shared" ca="1" si="0"/>
        <v>7887.362999915953</v>
      </c>
      <c r="AG11" s="2">
        <f t="shared" ca="1" si="0"/>
        <v>43042.865073548957</v>
      </c>
      <c r="AH11" s="2">
        <f t="shared" ca="1" si="0"/>
        <v>8975.2955125547105</v>
      </c>
      <c r="AI11" s="2">
        <f t="shared" ca="1" si="0"/>
        <v>44189.170514417812</v>
      </c>
      <c r="AJ11" s="2">
        <f t="shared" ca="1" si="0"/>
        <v>9408.4769818158602</v>
      </c>
      <c r="AK11" s="2">
        <f t="shared" ca="1" si="0"/>
        <v>9780.8793061602773</v>
      </c>
      <c r="AL11" s="2">
        <f t="shared" ca="1" si="0"/>
        <v>45035.550350824728</v>
      </c>
      <c r="AM11" s="2">
        <f t="shared" ca="1" si="0"/>
        <v>10296.688897816872</v>
      </c>
      <c r="AN11" s="2">
        <f t="shared" ca="1" si="0"/>
        <v>10718.107110337864</v>
      </c>
      <c r="AO11" s="2">
        <f t="shared" ca="1" si="0"/>
        <v>46011.292712068884</v>
      </c>
      <c r="AP11" s="2">
        <f t="shared" ca="1" si="0"/>
        <v>11334.244334670359</v>
      </c>
      <c r="AQ11" s="2">
        <f t="shared" ca="1" si="0"/>
        <v>46814.026718696507</v>
      </c>
      <c r="AR11" s="2">
        <f t="shared" ca="1" si="0"/>
        <v>12139.782580647781</v>
      </c>
      <c r="AS11" s="2">
        <f t="shared" ca="1" si="0"/>
        <v>47520.61768581043</v>
      </c>
      <c r="AT11" s="2">
        <f t="shared" ca="1" si="0"/>
        <v>48048.6241300115</v>
      </c>
      <c r="AU11" s="2">
        <f t="shared" ca="1" si="0"/>
        <v>13477.594210855874</v>
      </c>
      <c r="AV11" s="2">
        <f t="shared" ca="1" si="0"/>
        <v>48916.195855184531</v>
      </c>
      <c r="AW11" s="2">
        <f t="shared" ca="1" si="0"/>
        <v>49541.964336679885</v>
      </c>
      <c r="AX11" s="2">
        <f t="shared" ca="1" si="0"/>
        <v>15051.289435301658</v>
      </c>
      <c r="AY11" s="2">
        <f t="shared" ca="1" si="0"/>
        <v>50573.547135010558</v>
      </c>
      <c r="AZ11" s="2">
        <f t="shared" ca="1" si="0"/>
        <v>51294.447728808511</v>
      </c>
      <c r="BA11" s="2">
        <f t="shared" ca="1" si="0"/>
        <v>51880.792728029672</v>
      </c>
      <c r="BB11" s="2">
        <f t="shared" ca="1" si="0"/>
        <v>52527.076483001176</v>
      </c>
      <c r="BC11" s="2">
        <f t="shared" ca="1" si="0"/>
        <v>53361.37802021105</v>
      </c>
      <c r="BD11" s="2">
        <f t="shared" ca="1" si="0"/>
        <v>54012.152986854577</v>
      </c>
      <c r="BE11" s="2">
        <f t="shared" ca="1" si="0"/>
        <v>54774.163397211014</v>
      </c>
      <c r="BF11" s="2">
        <f t="shared" ca="1" si="0"/>
        <v>55706.807493822416</v>
      </c>
      <c r="BG11" s="2">
        <f t="shared" ca="1" si="0"/>
        <v>56562.345102103965</v>
      </c>
      <c r="BH11" s="2">
        <f t="shared" ca="1" si="0"/>
        <v>57439.616138105455</v>
      </c>
      <c r="BI11" s="2">
        <f t="shared" ca="1" si="0"/>
        <v>58560.273181715122</v>
      </c>
      <c r="BJ11" s="2">
        <f t="shared" ca="1" si="0"/>
        <v>59579.025295819119</v>
      </c>
      <c r="BK11" s="2">
        <f t="shared" ca="1" si="0"/>
        <v>60623.657015217424</v>
      </c>
      <c r="BL11" s="2">
        <f t="shared" ca="1" si="0"/>
        <v>61931.451966263223</v>
      </c>
      <c r="BM11" s="2">
        <f t="shared" ca="1" si="0"/>
        <v>63104.299097118856</v>
      </c>
      <c r="BN11" s="2">
        <f t="shared" ca="1" si="0"/>
        <v>64368.552015671725</v>
      </c>
      <c r="BO11" s="2">
        <f t="shared" ca="1" si="0"/>
        <v>65895.800734156859</v>
      </c>
      <c r="BP11" s="2">
        <f t="shared" ca="1" si="0"/>
        <v>67234.205795430229</v>
      </c>
      <c r="BQ11" s="2">
        <f t="shared" ca="1" si="0"/>
        <v>68758.140251942066</v>
      </c>
    </row>
    <row r="14" spans="1:69">
      <c r="B14" s="27" t="s">
        <v>260</v>
      </c>
    </row>
    <row r="15" spans="1:69" outlineLevel="1">
      <c r="A15" s="18"/>
      <c r="B15" s="18"/>
      <c r="C15" s="30"/>
      <c r="D15" s="31"/>
      <c r="E15" s="44" t="str">
        <f xml:space="preserve">  InpC!E$84</f>
        <v>VAT rate</v>
      </c>
      <c r="F15" s="44">
        <f xml:space="preserve">  InpC!F$84</f>
        <v>0.2</v>
      </c>
      <c r="G15" s="44" t="str">
        <f xml:space="preserve">  InpC!G$84</f>
        <v>%</v>
      </c>
      <c r="M15" s="58"/>
    </row>
    <row r="16" spans="1:69" outlineLevel="1">
      <c r="A16" s="18"/>
      <c r="B16" s="18"/>
      <c r="C16" s="30"/>
      <c r="D16" s="31"/>
      <c r="E16" s="4" t="str">
        <f xml:space="preserve">  Income!E$12</f>
        <v>New Deferred Income from customer orders</v>
      </c>
      <c r="F16" s="4">
        <f xml:space="preserve">  Income!F$12</f>
        <v>0</v>
      </c>
      <c r="G16" s="4" t="str">
        <f xml:space="preserve">  Income!G$12</f>
        <v>GBP</v>
      </c>
      <c r="H16" s="4">
        <f ca="1" xml:space="preserve">  Income!H$12</f>
        <v>53374910.85979531</v>
      </c>
      <c r="I16" s="4">
        <f xml:space="preserve">  Income!I$12</f>
        <v>0</v>
      </c>
      <c r="J16" s="4">
        <f ca="1" xml:space="preserve">  Income!J$12</f>
        <v>0</v>
      </c>
      <c r="K16" s="4">
        <f ca="1" xml:space="preserve">  Income!K$12</f>
        <v>0</v>
      </c>
      <c r="L16" s="4">
        <f ca="1" xml:space="preserve">  Income!L$12</f>
        <v>0</v>
      </c>
      <c r="M16" s="4">
        <f ca="1" xml:space="preserve">  Income!M$12</f>
        <v>0</v>
      </c>
      <c r="N16" s="4">
        <f ca="1" xml:space="preserve">  Income!N$12</f>
        <v>0</v>
      </c>
      <c r="O16" s="4">
        <f ca="1" xml:space="preserve">  Income!O$12</f>
        <v>0</v>
      </c>
      <c r="P16" s="4">
        <f ca="1" xml:space="preserve">  Income!P$12</f>
        <v>0</v>
      </c>
      <c r="Q16" s="4">
        <f ca="1" xml:space="preserve">  Income!Q$12</f>
        <v>604287.74940016971</v>
      </c>
      <c r="R16" s="4">
        <f ca="1" xml:space="preserve">  Income!R$12</f>
        <v>108100.27412571901</v>
      </c>
      <c r="S16" s="4">
        <f ca="1" xml:space="preserve">  Income!S$12</f>
        <v>7611.9764741112449</v>
      </c>
      <c r="T16" s="4">
        <f ca="1" xml:space="preserve">  Income!T$12</f>
        <v>0</v>
      </c>
      <c r="U16" s="4">
        <f ca="1" xml:space="preserve">  Income!U$12</f>
        <v>0</v>
      </c>
      <c r="V16" s="4">
        <f ca="1" xml:space="preserve">  Income!V$12</f>
        <v>0</v>
      </c>
      <c r="W16" s="4">
        <f ca="1" xml:space="preserve">  Income!W$12</f>
        <v>636986.87995648826</v>
      </c>
      <c r="X16" s="4">
        <f ca="1" xml:space="preserve">  Income!X$12</f>
        <v>83013.120043511706</v>
      </c>
      <c r="Y16" s="4">
        <f ca="1" xml:space="preserve">  Income!Y$12</f>
        <v>0</v>
      </c>
      <c r="Z16" s="4">
        <f ca="1" xml:space="preserve">  Income!Z$12</f>
        <v>0</v>
      </c>
      <c r="AA16" s="4">
        <f ca="1" xml:space="preserve">  Income!AA$12</f>
        <v>0</v>
      </c>
      <c r="AB16" s="4">
        <f ca="1" xml:space="preserve">  Income!AB$12</f>
        <v>0</v>
      </c>
      <c r="AC16" s="4">
        <f ca="1" xml:space="preserve">  Income!AC$12</f>
        <v>1324287.7494001696</v>
      </c>
      <c r="AD16" s="4">
        <f ca="1" xml:space="preserve">  Income!AD$12</f>
        <v>108100.27412571901</v>
      </c>
      <c r="AE16" s="4">
        <f ca="1" xml:space="preserve">  Income!AE$12</f>
        <v>7611.9764741112449</v>
      </c>
      <c r="AF16" s="4">
        <f ca="1" xml:space="preserve">  Income!AF$12</f>
        <v>0</v>
      </c>
      <c r="AG16" s="4">
        <f ca="1" xml:space="preserve">  Income!AG$12</f>
        <v>720000</v>
      </c>
      <c r="AH16" s="4">
        <f ca="1" xml:space="preserve">  Income!AH$12</f>
        <v>0</v>
      </c>
      <c r="AI16" s="4">
        <f ca="1" xml:space="preserve">  Income!AI$12</f>
        <v>780986.87995648826</v>
      </c>
      <c r="AJ16" s="4">
        <f ca="1" xml:space="preserve">  Income!AJ$12</f>
        <v>235744.90355956272</v>
      </c>
      <c r="AK16" s="4">
        <f ca="1" xml:space="preserve">  Income!AK$12</f>
        <v>881685.70128264476</v>
      </c>
      <c r="AL16" s="4">
        <f ca="1" xml:space="preserve">  Income!AL$12</f>
        <v>171489.89948570688</v>
      </c>
      <c r="AM16" s="4">
        <f ca="1" xml:space="preserve">  Income!AM$12</f>
        <v>181888.59863500224</v>
      </c>
      <c r="AN16" s="4">
        <f ca="1" xml:space="preserve">  Income!AN$12</f>
        <v>912551.8379252553</v>
      </c>
      <c r="AO16" s="4">
        <f ca="1" xml:space="preserve">  Income!AO$12</f>
        <v>924227.67795567936</v>
      </c>
      <c r="AP16" s="4">
        <f ca="1" xml:space="preserve">  Income!AP$12</f>
        <v>936200.54825143795</v>
      </c>
      <c r="AQ16" s="4">
        <f ca="1" xml:space="preserve">  Income!AQ$12</f>
        <v>229310.38424715391</v>
      </c>
      <c r="AR16" s="4">
        <f ca="1" xml:space="preserve">  Income!AR$12</f>
        <v>243215.16642235266</v>
      </c>
      <c r="AS16" s="4">
        <f ca="1" xml:space="preserve">  Income!AS$12</f>
        <v>1696578.8308244175</v>
      </c>
      <c r="AT16" s="4">
        <f ca="1" xml:space="preserve">  Income!AT$12</f>
        <v>272093.33136727469</v>
      </c>
      <c r="AU16" s="4">
        <f ca="1" xml:space="preserve">  Income!AU$12</f>
        <v>432000</v>
      </c>
      <c r="AV16" s="4">
        <f ca="1" xml:space="preserve">  Income!AV$12</f>
        <v>1178460.5114785447</v>
      </c>
      <c r="AW16" s="4">
        <f ca="1" xml:space="preserve">  Income!AW$12</f>
        <v>1205312.5867946076</v>
      </c>
      <c r="AX16" s="4">
        <f ca="1" xml:space="preserve">  Income!AX$12</f>
        <v>1234713.0311270072</v>
      </c>
      <c r="AY16" s="4">
        <f ca="1" xml:space="preserve">  Income!AY$12</f>
        <v>545894.56775374222</v>
      </c>
      <c r="AZ16" s="4">
        <f ca="1" xml:space="preserve">  Income!AZ$12</f>
        <v>2017867.6663681525</v>
      </c>
      <c r="BA16" s="4">
        <f ca="1" xml:space="preserve">  Income!BA$12</f>
        <v>1332875.1396766703</v>
      </c>
      <c r="BB16" s="4">
        <f ca="1" xml:space="preserve">  Income!BB$12</f>
        <v>1368771.2987677499</v>
      </c>
      <c r="BC16" s="4">
        <f ca="1" xml:space="preserve">  Income!BC$12</f>
        <v>1408316.7198625684</v>
      </c>
      <c r="BD16" s="4">
        <f ca="1" xml:space="preserve">  Income!BD$12</f>
        <v>1450028.2970138618</v>
      </c>
      <c r="BE16" s="4">
        <f ca="1" xml:space="preserve">  Income!BE$12</f>
        <v>1489952.896841333</v>
      </c>
      <c r="BF16" s="4">
        <f ca="1" xml:space="preserve">  Income!BF$12</f>
        <v>1536567.8121107903</v>
      </c>
      <c r="BG16" s="4">
        <f ca="1" xml:space="preserve">  Income!BG$12</f>
        <v>1713964.3969462125</v>
      </c>
      <c r="BH16" s="4">
        <f ca="1" xml:space="preserve">  Income!BH$12</f>
        <v>2494468.1252813269</v>
      </c>
      <c r="BI16" s="4">
        <f ca="1" xml:space="preserve">  Income!BI$12</f>
        <v>1836227.5763104046</v>
      </c>
      <c r="BJ16" s="4">
        <f ca="1" xml:space="preserve">  Income!BJ$12</f>
        <v>2623848.1923596486</v>
      </c>
      <c r="BK16" s="4">
        <f ca="1" xml:space="preserve">  Income!BK$12</f>
        <v>1975565.2387699792</v>
      </c>
      <c r="BL16" s="4">
        <f ca="1" xml:space="preserve">  Income!BL$12</f>
        <v>2769102.8074925654</v>
      </c>
      <c r="BM16" s="4">
        <f ca="1" xml:space="preserve">  Income!BM$12</f>
        <v>2849619.3215712141</v>
      </c>
      <c r="BN16" s="4">
        <f ca="1" xml:space="preserve">  Income!BN$12</f>
        <v>2212179.7307127388</v>
      </c>
      <c r="BO16" s="4">
        <f ca="1" xml:space="preserve">  Income!BO$12</f>
        <v>3023205.6403321358</v>
      </c>
      <c r="BP16" s="4">
        <f ca="1" xml:space="preserve">  Income!BP$12</f>
        <v>3119141.7172477059</v>
      </c>
      <c r="BQ16" s="4">
        <f ca="1" xml:space="preserve">  Income!BQ$12</f>
        <v>2490853.8250633674</v>
      </c>
    </row>
    <row r="17" spans="1:69" outlineLevel="1">
      <c r="A17" s="36"/>
      <c r="B17" s="36"/>
      <c r="C17" s="65"/>
      <c r="D17" s="64"/>
      <c r="E17" s="21" t="s">
        <v>260</v>
      </c>
      <c r="F17" s="21"/>
      <c r="G17" s="21" t="s">
        <v>252</v>
      </c>
      <c r="H17" s="3">
        <f ca="1" xml:space="preserve"> SUM( J17:BQ17 )</f>
        <v>10674982.171959061</v>
      </c>
      <c r="I17" s="21"/>
      <c r="J17" s="3">
        <f t="shared" ref="J17:BQ17" ca="1" si="1" xml:space="preserve">  J16 * $F15</f>
        <v>0</v>
      </c>
      <c r="K17" s="3">
        <f t="shared" ca="1" si="1"/>
        <v>0</v>
      </c>
      <c r="L17" s="3">
        <f t="shared" ca="1" si="1"/>
        <v>0</v>
      </c>
      <c r="M17" s="3">
        <f t="shared" ca="1" si="1"/>
        <v>0</v>
      </c>
      <c r="N17" s="3">
        <f t="shared" ca="1" si="1"/>
        <v>0</v>
      </c>
      <c r="O17" s="3">
        <f t="shared" ca="1" si="1"/>
        <v>0</v>
      </c>
      <c r="P17" s="3">
        <f t="shared" ca="1" si="1"/>
        <v>0</v>
      </c>
      <c r="Q17" s="3">
        <f t="shared" ca="1" si="1"/>
        <v>120857.54988003394</v>
      </c>
      <c r="R17" s="3">
        <f t="shared" ca="1" si="1"/>
        <v>21620.054825143801</v>
      </c>
      <c r="S17" s="3">
        <f t="shared" ca="1" si="1"/>
        <v>1522.3952948222491</v>
      </c>
      <c r="T17" s="3">
        <f t="shared" ca="1" si="1"/>
        <v>0</v>
      </c>
      <c r="U17" s="3">
        <f t="shared" ca="1" si="1"/>
        <v>0</v>
      </c>
      <c r="V17" s="3">
        <f t="shared" ca="1" si="1"/>
        <v>0</v>
      </c>
      <c r="W17" s="3">
        <f t="shared" ca="1" si="1"/>
        <v>127397.37599129765</v>
      </c>
      <c r="X17" s="3">
        <f t="shared" ca="1" si="1"/>
        <v>16602.624008702343</v>
      </c>
      <c r="Y17" s="3">
        <f t="shared" ca="1" si="1"/>
        <v>0</v>
      </c>
      <c r="Z17" s="3">
        <f t="shared" ca="1" si="1"/>
        <v>0</v>
      </c>
      <c r="AA17" s="3">
        <f t="shared" ca="1" si="1"/>
        <v>0</v>
      </c>
      <c r="AB17" s="3">
        <f t="shared" ca="1" si="1"/>
        <v>0</v>
      </c>
      <c r="AC17" s="3">
        <f t="shared" ca="1" si="1"/>
        <v>264857.54988003394</v>
      </c>
      <c r="AD17" s="3">
        <f t="shared" ca="1" si="1"/>
        <v>21620.054825143801</v>
      </c>
      <c r="AE17" s="3">
        <f t="shared" ca="1" si="1"/>
        <v>1522.3952948222491</v>
      </c>
      <c r="AF17" s="3">
        <f t="shared" ca="1" si="1"/>
        <v>0</v>
      </c>
      <c r="AG17" s="3">
        <f t="shared" ca="1" si="1"/>
        <v>144000</v>
      </c>
      <c r="AH17" s="3">
        <f t="shared" ca="1" si="1"/>
        <v>0</v>
      </c>
      <c r="AI17" s="3">
        <f t="shared" ca="1" si="1"/>
        <v>156197.37599129765</v>
      </c>
      <c r="AJ17" s="3">
        <f t="shared" ca="1" si="1"/>
        <v>47148.980711912547</v>
      </c>
      <c r="AK17" s="3">
        <f t="shared" ca="1" si="1"/>
        <v>176337.14025652898</v>
      </c>
      <c r="AL17" s="3">
        <f t="shared" ca="1" si="1"/>
        <v>34297.979897141377</v>
      </c>
      <c r="AM17" s="3">
        <f t="shared" ca="1" si="1"/>
        <v>36377.719727000447</v>
      </c>
      <c r="AN17" s="3">
        <f t="shared" ca="1" si="1"/>
        <v>182510.36758505108</v>
      </c>
      <c r="AO17" s="3">
        <f t="shared" ca="1" si="1"/>
        <v>184845.53559113588</v>
      </c>
      <c r="AP17" s="3">
        <f t="shared" ca="1" si="1"/>
        <v>187240.1096502876</v>
      </c>
      <c r="AQ17" s="3">
        <f t="shared" ca="1" si="1"/>
        <v>45862.076849430785</v>
      </c>
      <c r="AR17" s="3">
        <f t="shared" ca="1" si="1"/>
        <v>48643.033284470534</v>
      </c>
      <c r="AS17" s="3">
        <f t="shared" ca="1" si="1"/>
        <v>339315.76616488351</v>
      </c>
      <c r="AT17" s="3">
        <f t="shared" ca="1" si="1"/>
        <v>54418.666273454939</v>
      </c>
      <c r="AU17" s="3">
        <f t="shared" ca="1" si="1"/>
        <v>86400</v>
      </c>
      <c r="AV17" s="3">
        <f t="shared" ca="1" si="1"/>
        <v>235692.10229570896</v>
      </c>
      <c r="AW17" s="3">
        <f t="shared" ca="1" si="1"/>
        <v>241062.51735892153</v>
      </c>
      <c r="AX17" s="3">
        <f t="shared" ca="1" si="1"/>
        <v>246942.60622540145</v>
      </c>
      <c r="AY17" s="3">
        <f t="shared" ca="1" si="1"/>
        <v>109178.91355074845</v>
      </c>
      <c r="AZ17" s="3">
        <f t="shared" ca="1" si="1"/>
        <v>403573.53327363054</v>
      </c>
      <c r="BA17" s="3">
        <f t="shared" ca="1" si="1"/>
        <v>266575.02793533407</v>
      </c>
      <c r="BB17" s="3">
        <f t="shared" ca="1" si="1"/>
        <v>273754.25975355</v>
      </c>
      <c r="BC17" s="3">
        <f t="shared" ca="1" si="1"/>
        <v>281663.34397251369</v>
      </c>
      <c r="BD17" s="3">
        <f t="shared" ca="1" si="1"/>
        <v>290005.65940277238</v>
      </c>
      <c r="BE17" s="3">
        <f t="shared" ca="1" si="1"/>
        <v>297990.57936826663</v>
      </c>
      <c r="BF17" s="3">
        <f t="shared" ca="1" si="1"/>
        <v>307313.56242215808</v>
      </c>
      <c r="BG17" s="3">
        <f t="shared" ca="1" si="1"/>
        <v>342792.8793892425</v>
      </c>
      <c r="BH17" s="3">
        <f t="shared" ca="1" si="1"/>
        <v>498893.62505626539</v>
      </c>
      <c r="BI17" s="3">
        <f t="shared" ca="1" si="1"/>
        <v>367245.51526208094</v>
      </c>
      <c r="BJ17" s="3">
        <f t="shared" ca="1" si="1"/>
        <v>524769.63847192971</v>
      </c>
      <c r="BK17" s="3">
        <f t="shared" ca="1" si="1"/>
        <v>395113.04775399587</v>
      </c>
      <c r="BL17" s="3">
        <f t="shared" ca="1" si="1"/>
        <v>553820.5614985131</v>
      </c>
      <c r="BM17" s="3">
        <f t="shared" ca="1" si="1"/>
        <v>569923.86431424285</v>
      </c>
      <c r="BN17" s="3">
        <f t="shared" ca="1" si="1"/>
        <v>442435.94614254776</v>
      </c>
      <c r="BO17" s="3">
        <f t="shared" ca="1" si="1"/>
        <v>604641.12806642719</v>
      </c>
      <c r="BP17" s="3">
        <f t="shared" ca="1" si="1"/>
        <v>623828.34344954125</v>
      </c>
      <c r="BQ17" s="3">
        <f t="shared" ca="1" si="1"/>
        <v>498170.76501267351</v>
      </c>
    </row>
    <row r="20" spans="1:69">
      <c r="B20" s="27" t="s">
        <v>62</v>
      </c>
    </row>
    <row r="21" spans="1:69" outlineLevel="1">
      <c r="E21" s="2" t="str">
        <f t="shared" ref="E21:BQ21" si="2" xml:space="preserve">  E$17</f>
        <v>Output VAT</v>
      </c>
      <c r="F21" s="2">
        <f t="shared" si="2"/>
        <v>0</v>
      </c>
      <c r="G21" s="2" t="str">
        <f t="shared" si="2"/>
        <v>GBP</v>
      </c>
      <c r="H21" s="2">
        <f t="shared" ca="1" si="2"/>
        <v>10674982.171959061</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120857.54988003394</v>
      </c>
      <c r="R21" s="2">
        <f t="shared" ca="1" si="2"/>
        <v>21620.054825143801</v>
      </c>
      <c r="S21" s="2">
        <f t="shared" ca="1" si="2"/>
        <v>1522.3952948222491</v>
      </c>
      <c r="T21" s="2">
        <f t="shared" ca="1" si="2"/>
        <v>0</v>
      </c>
      <c r="U21" s="2">
        <f t="shared" ca="1" si="2"/>
        <v>0</v>
      </c>
      <c r="V21" s="2">
        <f t="shared" ca="1" si="2"/>
        <v>0</v>
      </c>
      <c r="W21" s="2">
        <f t="shared" ca="1" si="2"/>
        <v>127397.37599129765</v>
      </c>
      <c r="X21" s="2">
        <f t="shared" ca="1" si="2"/>
        <v>16602.624008702343</v>
      </c>
      <c r="Y21" s="2">
        <f t="shared" ca="1" si="2"/>
        <v>0</v>
      </c>
      <c r="Z21" s="2">
        <f t="shared" ca="1" si="2"/>
        <v>0</v>
      </c>
      <c r="AA21" s="2">
        <f t="shared" ca="1" si="2"/>
        <v>0</v>
      </c>
      <c r="AB21" s="2">
        <f t="shared" ca="1" si="2"/>
        <v>0</v>
      </c>
      <c r="AC21" s="2">
        <f t="shared" ca="1" si="2"/>
        <v>264857.54988003394</v>
      </c>
      <c r="AD21" s="2">
        <f t="shared" ca="1" si="2"/>
        <v>21620.054825143801</v>
      </c>
      <c r="AE21" s="2">
        <f t="shared" ca="1" si="2"/>
        <v>1522.3952948222491</v>
      </c>
      <c r="AF21" s="2">
        <f t="shared" ca="1" si="2"/>
        <v>0</v>
      </c>
      <c r="AG21" s="2">
        <f t="shared" ca="1" si="2"/>
        <v>144000</v>
      </c>
      <c r="AH21" s="2">
        <f t="shared" ca="1" si="2"/>
        <v>0</v>
      </c>
      <c r="AI21" s="2">
        <f t="shared" ca="1" si="2"/>
        <v>156197.37599129765</v>
      </c>
      <c r="AJ21" s="2">
        <f t="shared" ca="1" si="2"/>
        <v>47148.980711912547</v>
      </c>
      <c r="AK21" s="2">
        <f t="shared" ca="1" si="2"/>
        <v>176337.14025652898</v>
      </c>
      <c r="AL21" s="2">
        <f t="shared" ca="1" si="2"/>
        <v>34297.979897141377</v>
      </c>
      <c r="AM21" s="2">
        <f t="shared" ca="1" si="2"/>
        <v>36377.719727000447</v>
      </c>
      <c r="AN21" s="2">
        <f t="shared" ca="1" si="2"/>
        <v>182510.36758505108</v>
      </c>
      <c r="AO21" s="2">
        <f t="shared" ca="1" si="2"/>
        <v>184845.53559113588</v>
      </c>
      <c r="AP21" s="2">
        <f t="shared" ca="1" si="2"/>
        <v>187240.1096502876</v>
      </c>
      <c r="AQ21" s="2">
        <f t="shared" ca="1" si="2"/>
        <v>45862.076849430785</v>
      </c>
      <c r="AR21" s="2">
        <f t="shared" ca="1" si="2"/>
        <v>48643.033284470534</v>
      </c>
      <c r="AS21" s="2">
        <f t="shared" ca="1" si="2"/>
        <v>339315.76616488351</v>
      </c>
      <c r="AT21" s="2">
        <f t="shared" ca="1" si="2"/>
        <v>54418.666273454939</v>
      </c>
      <c r="AU21" s="2">
        <f t="shared" ca="1" si="2"/>
        <v>86400</v>
      </c>
      <c r="AV21" s="2">
        <f t="shared" ca="1" si="2"/>
        <v>235692.10229570896</v>
      </c>
      <c r="AW21" s="2">
        <f t="shared" ca="1" si="2"/>
        <v>241062.51735892153</v>
      </c>
      <c r="AX21" s="2">
        <f t="shared" ca="1" si="2"/>
        <v>246942.60622540145</v>
      </c>
      <c r="AY21" s="2">
        <f t="shared" ca="1" si="2"/>
        <v>109178.91355074845</v>
      </c>
      <c r="AZ21" s="2">
        <f t="shared" ca="1" si="2"/>
        <v>403573.53327363054</v>
      </c>
      <c r="BA21" s="2">
        <f t="shared" ca="1" si="2"/>
        <v>266575.02793533407</v>
      </c>
      <c r="BB21" s="2">
        <f t="shared" ca="1" si="2"/>
        <v>273754.25975355</v>
      </c>
      <c r="BC21" s="2">
        <f t="shared" ca="1" si="2"/>
        <v>281663.34397251369</v>
      </c>
      <c r="BD21" s="2">
        <f t="shared" ca="1" si="2"/>
        <v>290005.65940277238</v>
      </c>
      <c r="BE21" s="2">
        <f t="shared" ca="1" si="2"/>
        <v>297990.57936826663</v>
      </c>
      <c r="BF21" s="2">
        <f t="shared" ca="1" si="2"/>
        <v>307313.56242215808</v>
      </c>
      <c r="BG21" s="2">
        <f t="shared" ca="1" si="2"/>
        <v>342792.8793892425</v>
      </c>
      <c r="BH21" s="2">
        <f t="shared" ca="1" si="2"/>
        <v>498893.62505626539</v>
      </c>
      <c r="BI21" s="2">
        <f t="shared" ca="1" si="2"/>
        <v>367245.51526208094</v>
      </c>
      <c r="BJ21" s="2">
        <f t="shared" ca="1" si="2"/>
        <v>524769.63847192971</v>
      </c>
      <c r="BK21" s="2">
        <f t="shared" ca="1" si="2"/>
        <v>395113.04775399587</v>
      </c>
      <c r="BL21" s="2">
        <f t="shared" ca="1" si="2"/>
        <v>553820.5614985131</v>
      </c>
      <c r="BM21" s="2">
        <f t="shared" ca="1" si="2"/>
        <v>569923.86431424285</v>
      </c>
      <c r="BN21" s="2">
        <f t="shared" ca="1" si="2"/>
        <v>442435.94614254776</v>
      </c>
      <c r="BO21" s="2">
        <f t="shared" ca="1" si="2"/>
        <v>604641.12806642719</v>
      </c>
      <c r="BP21" s="2">
        <f t="shared" ca="1" si="2"/>
        <v>623828.34344954125</v>
      </c>
      <c r="BQ21" s="2">
        <f t="shared" ca="1" si="2"/>
        <v>498170.76501267351</v>
      </c>
    </row>
    <row r="22" spans="1:69" outlineLevel="1">
      <c r="E22" s="2" t="str">
        <f t="shared" ref="E22:BQ22" si="3" xml:space="preserve">  E$11</f>
        <v>Input VAT</v>
      </c>
      <c r="F22" s="2">
        <f t="shared" si="3"/>
        <v>0</v>
      </c>
      <c r="G22" s="2" t="str">
        <f t="shared" si="3"/>
        <v>GBP</v>
      </c>
      <c r="H22" s="2">
        <f t="shared" ca="1" si="3"/>
        <v>1949458.8589391932</v>
      </c>
      <c r="I22" s="2">
        <f t="shared" si="3"/>
        <v>0</v>
      </c>
      <c r="J22" s="2">
        <f t="shared" ca="1" si="3"/>
        <v>40220</v>
      </c>
      <c r="K22" s="2">
        <f t="shared" ca="1" si="3"/>
        <v>5263.6589175802555</v>
      </c>
      <c r="L22" s="2">
        <f t="shared" ca="1" si="3"/>
        <v>5308.4285064132237</v>
      </c>
      <c r="M22" s="2">
        <f t="shared" ca="1" si="3"/>
        <v>5466.8637306707278</v>
      </c>
      <c r="N22" s="2">
        <f t="shared" ca="1" si="3"/>
        <v>5518.8572264172044</v>
      </c>
      <c r="O22" s="2">
        <f t="shared" ca="1" si="3"/>
        <v>5572.17342286847</v>
      </c>
      <c r="P22" s="2">
        <f t="shared" ca="1" si="3"/>
        <v>40742.627183915225</v>
      </c>
      <c r="Q22" s="2">
        <f t="shared" ca="1" si="3"/>
        <v>5802.491535394016</v>
      </c>
      <c r="R22" s="2">
        <f t="shared" ca="1" si="3"/>
        <v>5868.0407153725964</v>
      </c>
      <c r="S22" s="2">
        <f t="shared" ca="1" si="3"/>
        <v>6052.3641987312758</v>
      </c>
      <c r="T22" s="2">
        <f t="shared" ca="1" si="3"/>
        <v>6119.1825207416014</v>
      </c>
      <c r="U22" s="2">
        <f t="shared" ca="1" si="3"/>
        <v>6196.7550234558857</v>
      </c>
      <c r="V22" s="2">
        <f t="shared" ca="1" si="3"/>
        <v>41390</v>
      </c>
      <c r="W22" s="2">
        <f t="shared" ca="1" si="3"/>
        <v>6478.6436398124706</v>
      </c>
      <c r="X22" s="2">
        <f t="shared" ca="1" si="3"/>
        <v>6568.1344275598158</v>
      </c>
      <c r="Y22" s="2">
        <f t="shared" ca="1" si="3"/>
        <v>6786.9657976920826</v>
      </c>
      <c r="Z22" s="2">
        <f t="shared" ca="1" si="3"/>
        <v>41890.879985079278</v>
      </c>
      <c r="AA22" s="2">
        <f t="shared" ca="1" si="3"/>
        <v>6997.4292817000669</v>
      </c>
      <c r="AB22" s="2">
        <f t="shared" ca="1" si="3"/>
        <v>7237.2107919126029</v>
      </c>
      <c r="AC22" s="2">
        <f t="shared" ca="1" si="3"/>
        <v>7356.8272358892082</v>
      </c>
      <c r="AD22" s="2">
        <f t="shared" ca="1" si="3"/>
        <v>42489.005161384717</v>
      </c>
      <c r="AE22" s="2">
        <f t="shared" ca="1" si="3"/>
        <v>7754.5583227889219</v>
      </c>
      <c r="AF22" s="2">
        <f t="shared" ca="1" si="3"/>
        <v>7887.362999915953</v>
      </c>
      <c r="AG22" s="2">
        <f t="shared" ca="1" si="3"/>
        <v>43042.865073548957</v>
      </c>
      <c r="AH22" s="2">
        <f t="shared" ca="1" si="3"/>
        <v>8975.2955125547105</v>
      </c>
      <c r="AI22" s="2">
        <f t="shared" ca="1" si="3"/>
        <v>44189.170514417812</v>
      </c>
      <c r="AJ22" s="2">
        <f t="shared" ca="1" si="3"/>
        <v>9408.4769818158602</v>
      </c>
      <c r="AK22" s="2">
        <f t="shared" ca="1" si="3"/>
        <v>9780.8793061602773</v>
      </c>
      <c r="AL22" s="2">
        <f t="shared" ca="1" si="3"/>
        <v>45035.550350824728</v>
      </c>
      <c r="AM22" s="2">
        <f t="shared" ca="1" si="3"/>
        <v>10296.688897816872</v>
      </c>
      <c r="AN22" s="2">
        <f t="shared" ca="1" si="3"/>
        <v>10718.107110337864</v>
      </c>
      <c r="AO22" s="2">
        <f t="shared" ca="1" si="3"/>
        <v>46011.292712068884</v>
      </c>
      <c r="AP22" s="2">
        <f t="shared" ca="1" si="3"/>
        <v>11334.244334670359</v>
      </c>
      <c r="AQ22" s="2">
        <f t="shared" ca="1" si="3"/>
        <v>46814.026718696507</v>
      </c>
      <c r="AR22" s="2">
        <f t="shared" ca="1" si="3"/>
        <v>12139.782580647781</v>
      </c>
      <c r="AS22" s="2">
        <f t="shared" ca="1" si="3"/>
        <v>47520.61768581043</v>
      </c>
      <c r="AT22" s="2">
        <f t="shared" ca="1" si="3"/>
        <v>48048.6241300115</v>
      </c>
      <c r="AU22" s="2">
        <f t="shared" ca="1" si="3"/>
        <v>13477.594210855874</v>
      </c>
      <c r="AV22" s="2">
        <f t="shared" ca="1" si="3"/>
        <v>48916.195855184531</v>
      </c>
      <c r="AW22" s="2">
        <f t="shared" ca="1" si="3"/>
        <v>49541.964336679885</v>
      </c>
      <c r="AX22" s="2">
        <f t="shared" ca="1" si="3"/>
        <v>15051.289435301658</v>
      </c>
      <c r="AY22" s="2">
        <f t="shared" ca="1" si="3"/>
        <v>50573.547135010558</v>
      </c>
      <c r="AZ22" s="2">
        <f t="shared" ca="1" si="3"/>
        <v>51294.447728808511</v>
      </c>
      <c r="BA22" s="2">
        <f t="shared" ca="1" si="3"/>
        <v>51880.792728029672</v>
      </c>
      <c r="BB22" s="2">
        <f t="shared" ca="1" si="3"/>
        <v>52527.076483001176</v>
      </c>
      <c r="BC22" s="2">
        <f t="shared" ca="1" si="3"/>
        <v>53361.37802021105</v>
      </c>
      <c r="BD22" s="2">
        <f t="shared" ca="1" si="3"/>
        <v>54012.152986854577</v>
      </c>
      <c r="BE22" s="2">
        <f t="shared" ca="1" si="3"/>
        <v>54774.163397211014</v>
      </c>
      <c r="BF22" s="2">
        <f t="shared" ca="1" si="3"/>
        <v>55706.807493822416</v>
      </c>
      <c r="BG22" s="2">
        <f t="shared" ca="1" si="3"/>
        <v>56562.345102103965</v>
      </c>
      <c r="BH22" s="2">
        <f t="shared" ca="1" si="3"/>
        <v>57439.616138105455</v>
      </c>
      <c r="BI22" s="2">
        <f t="shared" ca="1" si="3"/>
        <v>58560.273181715122</v>
      </c>
      <c r="BJ22" s="2">
        <f t="shared" ca="1" si="3"/>
        <v>59579.025295819119</v>
      </c>
      <c r="BK22" s="2">
        <f t="shared" ca="1" si="3"/>
        <v>60623.657015217424</v>
      </c>
      <c r="BL22" s="2">
        <f t="shared" ca="1" si="3"/>
        <v>61931.451966263223</v>
      </c>
      <c r="BM22" s="2">
        <f t="shared" ca="1" si="3"/>
        <v>63104.299097118856</v>
      </c>
      <c r="BN22" s="2">
        <f t="shared" ca="1" si="3"/>
        <v>64368.552015671725</v>
      </c>
      <c r="BO22" s="2">
        <f t="shared" ca="1" si="3"/>
        <v>65895.800734156859</v>
      </c>
      <c r="BP22" s="2">
        <f t="shared" ca="1" si="3"/>
        <v>67234.205795430229</v>
      </c>
      <c r="BQ22" s="2">
        <f t="shared" ca="1" si="3"/>
        <v>68758.140251942066</v>
      </c>
    </row>
    <row r="23" spans="1:69" outlineLevel="1">
      <c r="E23" s="46" t="s">
        <v>62</v>
      </c>
      <c r="G23" s="46" t="s">
        <v>252</v>
      </c>
      <c r="H23" s="2">
        <f ca="1" xml:space="preserve"> SUM( J23:BQ23 )</f>
        <v>8725523.313019868</v>
      </c>
      <c r="J23" s="2">
        <f t="shared" ref="J23:BQ23" ca="1" si="4" xml:space="preserve">  J21 - J22</f>
        <v>-40220</v>
      </c>
      <c r="K23" s="2">
        <f t="shared" ca="1" si="4"/>
        <v>-5263.6589175802555</v>
      </c>
      <c r="L23" s="2">
        <f t="shared" ca="1" si="4"/>
        <v>-5308.4285064132237</v>
      </c>
      <c r="M23" s="2">
        <f t="shared" ca="1" si="4"/>
        <v>-5466.8637306707278</v>
      </c>
      <c r="N23" s="2">
        <f t="shared" ca="1" si="4"/>
        <v>-5518.8572264172044</v>
      </c>
      <c r="O23" s="2">
        <f t="shared" ca="1" si="4"/>
        <v>-5572.17342286847</v>
      </c>
      <c r="P23" s="2">
        <f t="shared" ca="1" si="4"/>
        <v>-40742.627183915225</v>
      </c>
      <c r="Q23" s="2">
        <f t="shared" ca="1" si="4"/>
        <v>115055.05834463993</v>
      </c>
      <c r="R23" s="2">
        <f t="shared" ca="1" si="4"/>
        <v>15752.014109771204</v>
      </c>
      <c r="S23" s="2">
        <f t="shared" ca="1" si="4"/>
        <v>-4529.9689039090263</v>
      </c>
      <c r="T23" s="2">
        <f t="shared" ca="1" si="4"/>
        <v>-6119.1825207416014</v>
      </c>
      <c r="U23" s="2">
        <f t="shared" ca="1" si="4"/>
        <v>-6196.7550234558857</v>
      </c>
      <c r="V23" s="2">
        <f t="shared" ca="1" si="4"/>
        <v>-41390</v>
      </c>
      <c r="W23" s="2">
        <f t="shared" ca="1" si="4"/>
        <v>120918.73235148519</v>
      </c>
      <c r="X23" s="2">
        <f t="shared" ca="1" si="4"/>
        <v>10034.489581142527</v>
      </c>
      <c r="Y23" s="2">
        <f t="shared" ca="1" si="4"/>
        <v>-6786.9657976920826</v>
      </c>
      <c r="Z23" s="2">
        <f t="shared" ca="1" si="4"/>
        <v>-41890.879985079278</v>
      </c>
      <c r="AA23" s="2">
        <f t="shared" ca="1" si="4"/>
        <v>-6997.4292817000669</v>
      </c>
      <c r="AB23" s="2">
        <f t="shared" ca="1" si="4"/>
        <v>-7237.2107919126029</v>
      </c>
      <c r="AC23" s="2">
        <f t="shared" ca="1" si="4"/>
        <v>257500.72264414473</v>
      </c>
      <c r="AD23" s="2">
        <f t="shared" ca="1" si="4"/>
        <v>-20868.950336240916</v>
      </c>
      <c r="AE23" s="2">
        <f t="shared" ca="1" si="4"/>
        <v>-6232.1630279666733</v>
      </c>
      <c r="AF23" s="2">
        <f t="shared" ca="1" si="4"/>
        <v>-7887.362999915953</v>
      </c>
      <c r="AG23" s="2">
        <f t="shared" ca="1" si="4"/>
        <v>100957.13492645105</v>
      </c>
      <c r="AH23" s="2">
        <f t="shared" ca="1" si="4"/>
        <v>-8975.2955125547105</v>
      </c>
      <c r="AI23" s="2">
        <f t="shared" ca="1" si="4"/>
        <v>112008.20547687984</v>
      </c>
      <c r="AJ23" s="2">
        <f t="shared" ca="1" si="4"/>
        <v>37740.503730096687</v>
      </c>
      <c r="AK23" s="2">
        <f t="shared" ca="1" si="4"/>
        <v>166556.26095036871</v>
      </c>
      <c r="AL23" s="2">
        <f t="shared" ca="1" si="4"/>
        <v>-10737.570453683351</v>
      </c>
      <c r="AM23" s="2">
        <f t="shared" ca="1" si="4"/>
        <v>26081.030829183575</v>
      </c>
      <c r="AN23" s="2">
        <f t="shared" ca="1" si="4"/>
        <v>171792.26047471323</v>
      </c>
      <c r="AO23" s="2">
        <f t="shared" ca="1" si="4"/>
        <v>138834.24287906699</v>
      </c>
      <c r="AP23" s="2">
        <f t="shared" ca="1" si="4"/>
        <v>175905.86531561724</v>
      </c>
      <c r="AQ23" s="2">
        <f t="shared" ca="1" si="4"/>
        <v>-951.94986926572165</v>
      </c>
      <c r="AR23" s="2">
        <f t="shared" ca="1" si="4"/>
        <v>36503.250703822749</v>
      </c>
      <c r="AS23" s="2">
        <f t="shared" ca="1" si="4"/>
        <v>291795.14847907308</v>
      </c>
      <c r="AT23" s="2">
        <f t="shared" ca="1" si="4"/>
        <v>6370.0421434434393</v>
      </c>
      <c r="AU23" s="2">
        <f t="shared" ca="1" si="4"/>
        <v>72922.405789144133</v>
      </c>
      <c r="AV23" s="2">
        <f t="shared" ca="1" si="4"/>
        <v>186775.90644052444</v>
      </c>
      <c r="AW23" s="2">
        <f t="shared" ca="1" si="4"/>
        <v>191520.55302224163</v>
      </c>
      <c r="AX23" s="2">
        <f t="shared" ca="1" si="4"/>
        <v>231891.31679009981</v>
      </c>
      <c r="AY23" s="2">
        <f t="shared" ca="1" si="4"/>
        <v>58605.366415737888</v>
      </c>
      <c r="AZ23" s="2">
        <f t="shared" ca="1" si="4"/>
        <v>352279.08554482204</v>
      </c>
      <c r="BA23" s="2">
        <f t="shared" ca="1" si="4"/>
        <v>214694.23520730442</v>
      </c>
      <c r="BB23" s="2">
        <f t="shared" ca="1" si="4"/>
        <v>221227.18327054882</v>
      </c>
      <c r="BC23" s="2">
        <f t="shared" ca="1" si="4"/>
        <v>228301.96595230262</v>
      </c>
      <c r="BD23" s="2">
        <f t="shared" ca="1" si="4"/>
        <v>235993.5064159178</v>
      </c>
      <c r="BE23" s="2">
        <f t="shared" ca="1" si="4"/>
        <v>243216.41597105563</v>
      </c>
      <c r="BF23" s="2">
        <f t="shared" ca="1" si="4"/>
        <v>251606.75492833566</v>
      </c>
      <c r="BG23" s="2">
        <f t="shared" ca="1" si="4"/>
        <v>286230.53428713855</v>
      </c>
      <c r="BH23" s="2">
        <f t="shared" ca="1" si="4"/>
        <v>441454.00891815993</v>
      </c>
      <c r="BI23" s="2">
        <f t="shared" ca="1" si="4"/>
        <v>308685.24208036583</v>
      </c>
      <c r="BJ23" s="2">
        <f t="shared" ca="1" si="4"/>
        <v>465190.61317611061</v>
      </c>
      <c r="BK23" s="2">
        <f t="shared" ca="1" si="4"/>
        <v>334489.39073877846</v>
      </c>
      <c r="BL23" s="2">
        <f t="shared" ca="1" si="4"/>
        <v>491889.10953224986</v>
      </c>
      <c r="BM23" s="2">
        <f t="shared" ca="1" si="4"/>
        <v>506819.56521712401</v>
      </c>
      <c r="BN23" s="2">
        <f t="shared" ca="1" si="4"/>
        <v>378067.39412687602</v>
      </c>
      <c r="BO23" s="2">
        <f t="shared" ca="1" si="4"/>
        <v>538745.32733227033</v>
      </c>
      <c r="BP23" s="2">
        <f t="shared" ca="1" si="4"/>
        <v>556594.13765411102</v>
      </c>
      <c r="BQ23" s="2">
        <f t="shared" ca="1" si="4"/>
        <v>429412.62476073147</v>
      </c>
    </row>
    <row r="26" spans="1:69">
      <c r="B26" s="27" t="s">
        <v>173</v>
      </c>
    </row>
    <row r="27" spans="1:69" s="85" customFormat="1">
      <c r="A27" s="59"/>
      <c r="B27" s="59"/>
      <c r="C27" s="86"/>
      <c r="D27" s="84"/>
      <c r="E27" s="40" t="str">
        <f xml:space="preserve">  InpC!E$44</f>
        <v>Opening VAT balance</v>
      </c>
      <c r="F27" s="40">
        <f xml:space="preserve">  InpC!F$44</f>
        <v>0</v>
      </c>
      <c r="G27" s="40" t="str">
        <f xml:space="preserve">  InpC!G$44</f>
        <v>GBP</v>
      </c>
      <c r="M27" s="87"/>
    </row>
    <row r="28" spans="1:69">
      <c r="A28" s="18"/>
      <c r="B28" s="18"/>
      <c r="C28" s="30"/>
      <c r="D28" s="31"/>
      <c r="E28" s="10" t="str">
        <f xml:space="preserve">  Time!E$28</f>
        <v>Period number</v>
      </c>
      <c r="F28" s="10">
        <f xml:space="preserve">  Time!F$28</f>
        <v>0</v>
      </c>
      <c r="G28" s="10" t="str">
        <f xml:space="preserve">  Time!G$28</f>
        <v>Counter</v>
      </c>
      <c r="H28" s="10">
        <f xml:space="preserve">  Time!H$28</f>
        <v>0</v>
      </c>
      <c r="I28" s="10">
        <f xml:space="preserve">  Time!I$28</f>
        <v>0</v>
      </c>
      <c r="J28" s="10">
        <f xml:space="preserve">  Time!J$28</f>
        <v>1</v>
      </c>
      <c r="K28" s="10">
        <f xml:space="preserve">  Time!K$28</f>
        <v>2</v>
      </c>
      <c r="L28" s="10">
        <f xml:space="preserve">  Time!L$28</f>
        <v>3</v>
      </c>
      <c r="M28" s="10">
        <f xml:space="preserve">  Time!M$28</f>
        <v>4</v>
      </c>
      <c r="N28" s="10">
        <f xml:space="preserve">  Time!N$28</f>
        <v>5</v>
      </c>
      <c r="O28" s="10">
        <f xml:space="preserve">  Time!O$28</f>
        <v>6</v>
      </c>
      <c r="P28" s="10">
        <f xml:space="preserve">  Time!P$28</f>
        <v>7</v>
      </c>
      <c r="Q28" s="10">
        <f xml:space="preserve">  Time!Q$28</f>
        <v>8</v>
      </c>
      <c r="R28" s="10">
        <f xml:space="preserve">  Time!R$28</f>
        <v>9</v>
      </c>
      <c r="S28" s="10">
        <f xml:space="preserve">  Time!S$28</f>
        <v>10</v>
      </c>
      <c r="T28" s="10">
        <f xml:space="preserve">  Time!T$28</f>
        <v>11</v>
      </c>
      <c r="U28" s="10">
        <f xml:space="preserve">  Time!U$28</f>
        <v>12</v>
      </c>
      <c r="V28" s="10">
        <f xml:space="preserve">  Time!V$28</f>
        <v>13</v>
      </c>
      <c r="W28" s="10">
        <f xml:space="preserve">  Time!W$28</f>
        <v>14</v>
      </c>
      <c r="X28" s="10">
        <f xml:space="preserve">  Time!X$28</f>
        <v>15</v>
      </c>
      <c r="Y28" s="10">
        <f xml:space="preserve">  Time!Y$28</f>
        <v>16</v>
      </c>
      <c r="Z28" s="10">
        <f xml:space="preserve">  Time!Z$28</f>
        <v>17</v>
      </c>
      <c r="AA28" s="10">
        <f xml:space="preserve">  Time!AA$28</f>
        <v>18</v>
      </c>
      <c r="AB28" s="10">
        <f xml:space="preserve">  Time!AB$28</f>
        <v>19</v>
      </c>
      <c r="AC28" s="10">
        <f xml:space="preserve">  Time!AC$28</f>
        <v>20</v>
      </c>
      <c r="AD28" s="10">
        <f xml:space="preserve">  Time!AD$28</f>
        <v>21</v>
      </c>
      <c r="AE28" s="10">
        <f xml:space="preserve">  Time!AE$28</f>
        <v>22</v>
      </c>
      <c r="AF28" s="10">
        <f xml:space="preserve">  Time!AF$28</f>
        <v>23</v>
      </c>
      <c r="AG28" s="10">
        <f xml:space="preserve">  Time!AG$28</f>
        <v>24</v>
      </c>
      <c r="AH28" s="10">
        <f xml:space="preserve">  Time!AH$28</f>
        <v>25</v>
      </c>
      <c r="AI28" s="10">
        <f xml:space="preserve">  Time!AI$28</f>
        <v>26</v>
      </c>
      <c r="AJ28" s="10">
        <f xml:space="preserve">  Time!AJ$28</f>
        <v>27</v>
      </c>
      <c r="AK28" s="10">
        <f xml:space="preserve">  Time!AK$28</f>
        <v>28</v>
      </c>
      <c r="AL28" s="10">
        <f xml:space="preserve">  Time!AL$28</f>
        <v>29</v>
      </c>
      <c r="AM28" s="10">
        <f xml:space="preserve">  Time!AM$28</f>
        <v>30</v>
      </c>
      <c r="AN28" s="10">
        <f xml:space="preserve">  Time!AN$28</f>
        <v>31</v>
      </c>
      <c r="AO28" s="10">
        <f xml:space="preserve">  Time!AO$28</f>
        <v>32</v>
      </c>
      <c r="AP28" s="10">
        <f xml:space="preserve">  Time!AP$28</f>
        <v>33</v>
      </c>
      <c r="AQ28" s="10">
        <f xml:space="preserve">  Time!AQ$28</f>
        <v>34</v>
      </c>
      <c r="AR28" s="10">
        <f xml:space="preserve">  Time!AR$28</f>
        <v>35</v>
      </c>
      <c r="AS28" s="10">
        <f xml:space="preserve">  Time!AS$28</f>
        <v>36</v>
      </c>
      <c r="AT28" s="10">
        <f xml:space="preserve">  Time!AT$28</f>
        <v>37</v>
      </c>
      <c r="AU28" s="10">
        <f xml:space="preserve">  Time!AU$28</f>
        <v>38</v>
      </c>
      <c r="AV28" s="10">
        <f xml:space="preserve">  Time!AV$28</f>
        <v>39</v>
      </c>
      <c r="AW28" s="10">
        <f xml:space="preserve">  Time!AW$28</f>
        <v>40</v>
      </c>
      <c r="AX28" s="10">
        <f xml:space="preserve">  Time!AX$28</f>
        <v>41</v>
      </c>
      <c r="AY28" s="10">
        <f xml:space="preserve">  Time!AY$28</f>
        <v>42</v>
      </c>
      <c r="AZ28" s="10">
        <f xml:space="preserve">  Time!AZ$28</f>
        <v>43</v>
      </c>
      <c r="BA28" s="10">
        <f xml:space="preserve">  Time!BA$28</f>
        <v>44</v>
      </c>
      <c r="BB28" s="10">
        <f xml:space="preserve">  Time!BB$28</f>
        <v>45</v>
      </c>
      <c r="BC28" s="10">
        <f xml:space="preserve">  Time!BC$28</f>
        <v>46</v>
      </c>
      <c r="BD28" s="10">
        <f xml:space="preserve">  Time!BD$28</f>
        <v>47</v>
      </c>
      <c r="BE28" s="10">
        <f xml:space="preserve">  Time!BE$28</f>
        <v>48</v>
      </c>
      <c r="BF28" s="10">
        <f xml:space="preserve">  Time!BF$28</f>
        <v>49</v>
      </c>
      <c r="BG28" s="10">
        <f xml:space="preserve">  Time!BG$28</f>
        <v>50</v>
      </c>
      <c r="BH28" s="10">
        <f xml:space="preserve">  Time!BH$28</f>
        <v>51</v>
      </c>
      <c r="BI28" s="10">
        <f xml:space="preserve">  Time!BI$28</f>
        <v>52</v>
      </c>
      <c r="BJ28" s="10">
        <f xml:space="preserve">  Time!BJ$28</f>
        <v>53</v>
      </c>
      <c r="BK28" s="10">
        <f xml:space="preserve">  Time!BK$28</f>
        <v>54</v>
      </c>
      <c r="BL28" s="10">
        <f xml:space="preserve">  Time!BL$28</f>
        <v>55</v>
      </c>
      <c r="BM28" s="10">
        <f xml:space="preserve">  Time!BM$28</f>
        <v>56</v>
      </c>
      <c r="BN28" s="10">
        <f xml:space="preserve">  Time!BN$28</f>
        <v>57</v>
      </c>
      <c r="BO28" s="10">
        <f xml:space="preserve">  Time!BO$28</f>
        <v>58</v>
      </c>
      <c r="BP28" s="10">
        <f xml:space="preserve">  Time!BP$28</f>
        <v>59</v>
      </c>
      <c r="BQ28" s="10">
        <f xml:space="preserve">  Time!BQ$28</f>
        <v>60</v>
      </c>
    </row>
    <row r="29" spans="1:69">
      <c r="E29" s="46" t="s">
        <v>282</v>
      </c>
      <c r="G29" s="46" t="s">
        <v>252</v>
      </c>
      <c r="J29" s="2">
        <f t="shared" ref="J29:BQ29" si="5" xml:space="preserve">  I32</f>
        <v>0</v>
      </c>
      <c r="K29" s="2">
        <f t="shared" ca="1" si="5"/>
        <v>-40220</v>
      </c>
      <c r="L29" s="2">
        <f t="shared" ca="1" si="5"/>
        <v>-45483.658917580258</v>
      </c>
      <c r="M29" s="2">
        <f t="shared" ca="1" si="5"/>
        <v>-5308.42850641322</v>
      </c>
      <c r="N29" s="2">
        <f t="shared" ca="1" si="5"/>
        <v>-10775.292237083948</v>
      </c>
      <c r="O29" s="2">
        <f t="shared" ca="1" si="5"/>
        <v>-16294.149463501151</v>
      </c>
      <c r="P29" s="2">
        <f t="shared" ca="1" si="5"/>
        <v>-5572.1734228684691</v>
      </c>
      <c r="Q29" s="2">
        <f t="shared" ca="1" si="5"/>
        <v>-46314.800606783698</v>
      </c>
      <c r="R29" s="2">
        <f t="shared" ca="1" si="5"/>
        <v>68740.257737856227</v>
      </c>
      <c r="S29" s="2">
        <f t="shared" ca="1" si="5"/>
        <v>15752.014109771204</v>
      </c>
      <c r="T29" s="2">
        <f t="shared" ca="1" si="5"/>
        <v>11222.045205862178</v>
      </c>
      <c r="U29" s="2">
        <f t="shared" ca="1" si="5"/>
        <v>5102.8626851205763</v>
      </c>
      <c r="V29" s="2">
        <f t="shared" ca="1" si="5"/>
        <v>-6196.7550234558857</v>
      </c>
      <c r="W29" s="2">
        <f t="shared" ca="1" si="5"/>
        <v>-47586.755023455888</v>
      </c>
      <c r="X29" s="2">
        <f t="shared" ca="1" si="5"/>
        <v>73331.977328029301</v>
      </c>
      <c r="Y29" s="2">
        <f t="shared" ca="1" si="5"/>
        <v>10034.489581142523</v>
      </c>
      <c r="Z29" s="2">
        <f t="shared" ca="1" si="5"/>
        <v>3247.5237834504405</v>
      </c>
      <c r="AA29" s="2">
        <f t="shared" ca="1" si="5"/>
        <v>-38643.356201628834</v>
      </c>
      <c r="AB29" s="2">
        <f t="shared" ca="1" si="5"/>
        <v>-6997.4292817000678</v>
      </c>
      <c r="AC29" s="2">
        <f t="shared" ca="1" si="5"/>
        <v>-14234.640073612671</v>
      </c>
      <c r="AD29" s="2">
        <f t="shared" ca="1" si="5"/>
        <v>243266.08257053205</v>
      </c>
      <c r="AE29" s="2">
        <f t="shared" ca="1" si="5"/>
        <v>-20868.95033624093</v>
      </c>
      <c r="AF29" s="2">
        <f t="shared" ca="1" si="5"/>
        <v>-27101.113364207602</v>
      </c>
      <c r="AG29" s="2">
        <f t="shared" ca="1" si="5"/>
        <v>-34988.476364123555</v>
      </c>
      <c r="AH29" s="2">
        <f t="shared" ca="1" si="5"/>
        <v>100957.13492645105</v>
      </c>
      <c r="AI29" s="2">
        <f t="shared" ca="1" si="5"/>
        <v>91981.839413896334</v>
      </c>
      <c r="AJ29" s="2">
        <f t="shared" ca="1" si="5"/>
        <v>203990.04489077616</v>
      </c>
      <c r="AK29" s="2">
        <f t="shared" ca="1" si="5"/>
        <v>37740.50373009668</v>
      </c>
      <c r="AL29" s="2">
        <f t="shared" ca="1" si="5"/>
        <v>204296.76468046539</v>
      </c>
      <c r="AM29" s="2">
        <f t="shared" ca="1" si="5"/>
        <v>193559.19422678204</v>
      </c>
      <c r="AN29" s="2">
        <f t="shared" ca="1" si="5"/>
        <v>26081.030829183583</v>
      </c>
      <c r="AO29" s="2">
        <f t="shared" ca="1" si="5"/>
        <v>197873.29130389681</v>
      </c>
      <c r="AP29" s="2">
        <f t="shared" ca="1" si="5"/>
        <v>336707.53418296378</v>
      </c>
      <c r="AQ29" s="2">
        <f t="shared" ca="1" si="5"/>
        <v>175905.86531561724</v>
      </c>
      <c r="AR29" s="2">
        <f t="shared" ca="1" si="5"/>
        <v>174953.91544635152</v>
      </c>
      <c r="AS29" s="2">
        <f t="shared" ca="1" si="5"/>
        <v>211457.16615017428</v>
      </c>
      <c r="AT29" s="2">
        <f t="shared" ca="1" si="5"/>
        <v>291795.14847907308</v>
      </c>
      <c r="AU29" s="2">
        <f t="shared" ca="1" si="5"/>
        <v>298165.1906225165</v>
      </c>
      <c r="AV29" s="2">
        <f t="shared" ca="1" si="5"/>
        <v>371087.59641166066</v>
      </c>
      <c r="AW29" s="2">
        <f t="shared" ca="1" si="5"/>
        <v>186775.9064405245</v>
      </c>
      <c r="AX29" s="2">
        <f t="shared" ca="1" si="5"/>
        <v>378296.45946276613</v>
      </c>
      <c r="AY29" s="2">
        <f t="shared" ca="1" si="5"/>
        <v>610187.77625286591</v>
      </c>
      <c r="AZ29" s="2">
        <f t="shared" ca="1" si="5"/>
        <v>58605.366415737895</v>
      </c>
      <c r="BA29" s="2">
        <f t="shared" ca="1" si="5"/>
        <v>410884.45196055993</v>
      </c>
      <c r="BB29" s="2">
        <f t="shared" ca="1" si="5"/>
        <v>625578.68716786429</v>
      </c>
      <c r="BC29" s="2">
        <f t="shared" ca="1" si="5"/>
        <v>221227.18327054882</v>
      </c>
      <c r="BD29" s="2">
        <f t="shared" ca="1" si="5"/>
        <v>449529.14922285144</v>
      </c>
      <c r="BE29" s="2">
        <f t="shared" ca="1" si="5"/>
        <v>685522.65563876927</v>
      </c>
      <c r="BF29" s="2">
        <f t="shared" ca="1" si="5"/>
        <v>243216.41597105563</v>
      </c>
      <c r="BG29" s="2">
        <f t="shared" ca="1" si="5"/>
        <v>494823.17089939129</v>
      </c>
      <c r="BH29" s="2">
        <f t="shared" ca="1" si="5"/>
        <v>781053.70518652978</v>
      </c>
      <c r="BI29" s="2">
        <f t="shared" ca="1" si="5"/>
        <v>441454.00891815987</v>
      </c>
      <c r="BJ29" s="2">
        <f t="shared" ca="1" si="5"/>
        <v>750139.25099852565</v>
      </c>
      <c r="BK29" s="2">
        <f t="shared" ca="1" si="5"/>
        <v>1215329.8641746363</v>
      </c>
      <c r="BL29" s="2">
        <f t="shared" ca="1" si="5"/>
        <v>334489.39073877851</v>
      </c>
      <c r="BM29" s="2">
        <f t="shared" ca="1" si="5"/>
        <v>826378.50027102837</v>
      </c>
      <c r="BN29" s="2">
        <f t="shared" ca="1" si="5"/>
        <v>1333198.0654881524</v>
      </c>
      <c r="BO29" s="2">
        <f t="shared" ca="1" si="5"/>
        <v>378067.39412687602</v>
      </c>
      <c r="BP29" s="2">
        <f t="shared" ca="1" si="5"/>
        <v>916812.72145914636</v>
      </c>
      <c r="BQ29" s="2">
        <f t="shared" ca="1" si="5"/>
        <v>1473406.8591132574</v>
      </c>
    </row>
    <row r="30" spans="1:69">
      <c r="D30" s="88" t="s">
        <v>216</v>
      </c>
      <c r="E30" s="2" t="str">
        <f t="shared" ref="E30:BQ30" si="6" xml:space="preserve">  E$23</f>
        <v>VAT due</v>
      </c>
      <c r="F30" s="2">
        <f t="shared" si="6"/>
        <v>0</v>
      </c>
      <c r="G30" s="2" t="str">
        <f t="shared" si="6"/>
        <v>GBP</v>
      </c>
      <c r="H30" s="2">
        <f t="shared" ca="1" si="6"/>
        <v>8725523.313019868</v>
      </c>
      <c r="I30" s="2">
        <f t="shared" si="6"/>
        <v>0</v>
      </c>
      <c r="J30" s="2">
        <f t="shared" ca="1" si="6"/>
        <v>-40220</v>
      </c>
      <c r="K30" s="2">
        <f t="shared" ca="1" si="6"/>
        <v>-5263.6589175802555</v>
      </c>
      <c r="L30" s="2">
        <f t="shared" ca="1" si="6"/>
        <v>-5308.4285064132237</v>
      </c>
      <c r="M30" s="2">
        <f t="shared" ca="1" si="6"/>
        <v>-5466.8637306707278</v>
      </c>
      <c r="N30" s="2">
        <f t="shared" ca="1" si="6"/>
        <v>-5518.8572264172044</v>
      </c>
      <c r="O30" s="2">
        <f t="shared" ca="1" si="6"/>
        <v>-5572.17342286847</v>
      </c>
      <c r="P30" s="2">
        <f t="shared" ca="1" si="6"/>
        <v>-40742.627183915225</v>
      </c>
      <c r="Q30" s="2">
        <f t="shared" ca="1" si="6"/>
        <v>115055.05834463993</v>
      </c>
      <c r="R30" s="2">
        <f t="shared" ca="1" si="6"/>
        <v>15752.014109771204</v>
      </c>
      <c r="S30" s="2">
        <f t="shared" ca="1" si="6"/>
        <v>-4529.9689039090263</v>
      </c>
      <c r="T30" s="2">
        <f t="shared" ca="1" si="6"/>
        <v>-6119.1825207416014</v>
      </c>
      <c r="U30" s="2">
        <f t="shared" ca="1" si="6"/>
        <v>-6196.7550234558857</v>
      </c>
      <c r="V30" s="2">
        <f t="shared" ca="1" si="6"/>
        <v>-41390</v>
      </c>
      <c r="W30" s="2">
        <f t="shared" ca="1" si="6"/>
        <v>120918.73235148519</v>
      </c>
      <c r="X30" s="2">
        <f t="shared" ca="1" si="6"/>
        <v>10034.489581142527</v>
      </c>
      <c r="Y30" s="2">
        <f t="shared" ca="1" si="6"/>
        <v>-6786.9657976920826</v>
      </c>
      <c r="Z30" s="2">
        <f t="shared" ca="1" si="6"/>
        <v>-41890.879985079278</v>
      </c>
      <c r="AA30" s="2">
        <f t="shared" ca="1" si="6"/>
        <v>-6997.4292817000669</v>
      </c>
      <c r="AB30" s="2">
        <f t="shared" ca="1" si="6"/>
        <v>-7237.2107919126029</v>
      </c>
      <c r="AC30" s="2">
        <f t="shared" ca="1" si="6"/>
        <v>257500.72264414473</v>
      </c>
      <c r="AD30" s="2">
        <f t="shared" ca="1" si="6"/>
        <v>-20868.950336240916</v>
      </c>
      <c r="AE30" s="2">
        <f t="shared" ca="1" si="6"/>
        <v>-6232.1630279666733</v>
      </c>
      <c r="AF30" s="2">
        <f t="shared" ca="1" si="6"/>
        <v>-7887.362999915953</v>
      </c>
      <c r="AG30" s="2">
        <f t="shared" ca="1" si="6"/>
        <v>100957.13492645105</v>
      </c>
      <c r="AH30" s="2">
        <f t="shared" ca="1" si="6"/>
        <v>-8975.2955125547105</v>
      </c>
      <c r="AI30" s="2">
        <f t="shared" ca="1" si="6"/>
        <v>112008.20547687984</v>
      </c>
      <c r="AJ30" s="2">
        <f t="shared" ca="1" si="6"/>
        <v>37740.503730096687</v>
      </c>
      <c r="AK30" s="2">
        <f t="shared" ca="1" si="6"/>
        <v>166556.26095036871</v>
      </c>
      <c r="AL30" s="2">
        <f t="shared" ca="1" si="6"/>
        <v>-10737.570453683351</v>
      </c>
      <c r="AM30" s="2">
        <f t="shared" ca="1" si="6"/>
        <v>26081.030829183575</v>
      </c>
      <c r="AN30" s="2">
        <f t="shared" ca="1" si="6"/>
        <v>171792.26047471323</v>
      </c>
      <c r="AO30" s="2">
        <f t="shared" ca="1" si="6"/>
        <v>138834.24287906699</v>
      </c>
      <c r="AP30" s="2">
        <f t="shared" ca="1" si="6"/>
        <v>175905.86531561724</v>
      </c>
      <c r="AQ30" s="2">
        <f t="shared" ca="1" si="6"/>
        <v>-951.94986926572165</v>
      </c>
      <c r="AR30" s="2">
        <f t="shared" ca="1" si="6"/>
        <v>36503.250703822749</v>
      </c>
      <c r="AS30" s="2">
        <f t="shared" ca="1" si="6"/>
        <v>291795.14847907308</v>
      </c>
      <c r="AT30" s="2">
        <f t="shared" ca="1" si="6"/>
        <v>6370.0421434434393</v>
      </c>
      <c r="AU30" s="2">
        <f t="shared" ca="1" si="6"/>
        <v>72922.405789144133</v>
      </c>
      <c r="AV30" s="2">
        <f t="shared" ca="1" si="6"/>
        <v>186775.90644052444</v>
      </c>
      <c r="AW30" s="2">
        <f t="shared" ca="1" si="6"/>
        <v>191520.55302224163</v>
      </c>
      <c r="AX30" s="2">
        <f t="shared" ca="1" si="6"/>
        <v>231891.31679009981</v>
      </c>
      <c r="AY30" s="2">
        <f t="shared" ca="1" si="6"/>
        <v>58605.366415737888</v>
      </c>
      <c r="AZ30" s="2">
        <f t="shared" ca="1" si="6"/>
        <v>352279.08554482204</v>
      </c>
      <c r="BA30" s="2">
        <f t="shared" ca="1" si="6"/>
        <v>214694.23520730442</v>
      </c>
      <c r="BB30" s="2">
        <f t="shared" ca="1" si="6"/>
        <v>221227.18327054882</v>
      </c>
      <c r="BC30" s="2">
        <f t="shared" ca="1" si="6"/>
        <v>228301.96595230262</v>
      </c>
      <c r="BD30" s="2">
        <f t="shared" ca="1" si="6"/>
        <v>235993.5064159178</v>
      </c>
      <c r="BE30" s="2">
        <f t="shared" ca="1" si="6"/>
        <v>243216.41597105563</v>
      </c>
      <c r="BF30" s="2">
        <f t="shared" ca="1" si="6"/>
        <v>251606.75492833566</v>
      </c>
      <c r="BG30" s="2">
        <f t="shared" ca="1" si="6"/>
        <v>286230.53428713855</v>
      </c>
      <c r="BH30" s="2">
        <f t="shared" ca="1" si="6"/>
        <v>441454.00891815993</v>
      </c>
      <c r="BI30" s="2">
        <f t="shared" ca="1" si="6"/>
        <v>308685.24208036583</v>
      </c>
      <c r="BJ30" s="2">
        <f t="shared" ca="1" si="6"/>
        <v>465190.61317611061</v>
      </c>
      <c r="BK30" s="2">
        <f t="shared" ca="1" si="6"/>
        <v>334489.39073877846</v>
      </c>
      <c r="BL30" s="2">
        <f t="shared" ca="1" si="6"/>
        <v>491889.10953224986</v>
      </c>
      <c r="BM30" s="2">
        <f t="shared" ca="1" si="6"/>
        <v>506819.56521712401</v>
      </c>
      <c r="BN30" s="2">
        <f t="shared" ca="1" si="6"/>
        <v>378067.39412687602</v>
      </c>
      <c r="BO30" s="2">
        <f t="shared" ca="1" si="6"/>
        <v>538745.32733227033</v>
      </c>
      <c r="BP30" s="2">
        <f t="shared" ca="1" si="6"/>
        <v>556594.13765411102</v>
      </c>
      <c r="BQ30" s="2">
        <f t="shared" ca="1" si="6"/>
        <v>429412.62476073147</v>
      </c>
    </row>
    <row r="31" spans="1:69">
      <c r="D31" s="88" t="s">
        <v>293</v>
      </c>
      <c r="E31" s="2" t="str">
        <f t="shared" ref="E31:BQ31" si="7" xml:space="preserve">  E$37</f>
        <v>VAT paid POS</v>
      </c>
      <c r="F31" s="2">
        <f t="shared" si="7"/>
        <v>0</v>
      </c>
      <c r="G31" s="2" t="str">
        <f t="shared" si="7"/>
        <v>GBP</v>
      </c>
      <c r="H31" s="2">
        <f t="shared" ca="1" si="7"/>
        <v>8296110.6882591359</v>
      </c>
      <c r="I31" s="2">
        <f t="shared" si="7"/>
        <v>0</v>
      </c>
      <c r="J31" s="2">
        <f t="shared" ca="1" si="7"/>
        <v>0</v>
      </c>
      <c r="K31" s="2">
        <f t="shared" ca="1" si="7"/>
        <v>0</v>
      </c>
      <c r="L31" s="2">
        <f t="shared" ca="1" si="7"/>
        <v>-45483.658917580258</v>
      </c>
      <c r="M31" s="2">
        <f t="shared" ca="1" si="7"/>
        <v>0</v>
      </c>
      <c r="N31" s="2">
        <f t="shared" ca="1" si="7"/>
        <v>0</v>
      </c>
      <c r="O31" s="2">
        <f t="shared" ca="1" si="7"/>
        <v>-16294.149463501151</v>
      </c>
      <c r="P31" s="2">
        <f t="shared" ca="1" si="7"/>
        <v>0</v>
      </c>
      <c r="Q31" s="2">
        <f t="shared" ca="1" si="7"/>
        <v>0</v>
      </c>
      <c r="R31" s="2">
        <f t="shared" ca="1" si="7"/>
        <v>68740.257737856227</v>
      </c>
      <c r="S31" s="2">
        <f t="shared" ca="1" si="7"/>
        <v>0</v>
      </c>
      <c r="T31" s="2">
        <f t="shared" ca="1" si="7"/>
        <v>0</v>
      </c>
      <c r="U31" s="2">
        <f t="shared" ca="1" si="7"/>
        <v>5102.8626851205763</v>
      </c>
      <c r="V31" s="2">
        <f t="shared" ca="1" si="7"/>
        <v>0</v>
      </c>
      <c r="W31" s="2">
        <f t="shared" ca="1" si="7"/>
        <v>0</v>
      </c>
      <c r="X31" s="2">
        <f t="shared" ca="1" si="7"/>
        <v>73331.977328029301</v>
      </c>
      <c r="Y31" s="2">
        <f t="shared" ca="1" si="7"/>
        <v>0</v>
      </c>
      <c r="Z31" s="2">
        <f t="shared" ca="1" si="7"/>
        <v>0</v>
      </c>
      <c r="AA31" s="2">
        <f t="shared" ca="1" si="7"/>
        <v>-38643.356201628834</v>
      </c>
      <c r="AB31" s="2">
        <f t="shared" ca="1" si="7"/>
        <v>0</v>
      </c>
      <c r="AC31" s="2">
        <f t="shared" ca="1" si="7"/>
        <v>0</v>
      </c>
      <c r="AD31" s="2">
        <f t="shared" ca="1" si="7"/>
        <v>243266.08257053205</v>
      </c>
      <c r="AE31" s="2">
        <f t="shared" ca="1" si="7"/>
        <v>0</v>
      </c>
      <c r="AF31" s="2">
        <f t="shared" ca="1" si="7"/>
        <v>0</v>
      </c>
      <c r="AG31" s="2">
        <f t="shared" ca="1" si="7"/>
        <v>-34988.476364123555</v>
      </c>
      <c r="AH31" s="2">
        <f t="shared" ca="1" si="7"/>
        <v>0</v>
      </c>
      <c r="AI31" s="2">
        <f t="shared" ca="1" si="7"/>
        <v>0</v>
      </c>
      <c r="AJ31" s="2">
        <f t="shared" ca="1" si="7"/>
        <v>203990.04489077616</v>
      </c>
      <c r="AK31" s="2">
        <f t="shared" ca="1" si="7"/>
        <v>0</v>
      </c>
      <c r="AL31" s="2">
        <f t="shared" ca="1" si="7"/>
        <v>0</v>
      </c>
      <c r="AM31" s="2">
        <f t="shared" ca="1" si="7"/>
        <v>193559.19422678204</v>
      </c>
      <c r="AN31" s="2">
        <f t="shared" ca="1" si="7"/>
        <v>0</v>
      </c>
      <c r="AO31" s="2">
        <f t="shared" ca="1" si="7"/>
        <v>0</v>
      </c>
      <c r="AP31" s="2">
        <f t="shared" ca="1" si="7"/>
        <v>336707.53418296378</v>
      </c>
      <c r="AQ31" s="2">
        <f t="shared" ca="1" si="7"/>
        <v>0</v>
      </c>
      <c r="AR31" s="2">
        <f t="shared" ca="1" si="7"/>
        <v>0</v>
      </c>
      <c r="AS31" s="2">
        <f t="shared" ca="1" si="7"/>
        <v>211457.16615017428</v>
      </c>
      <c r="AT31" s="2">
        <f t="shared" ca="1" si="7"/>
        <v>0</v>
      </c>
      <c r="AU31" s="2">
        <f t="shared" ca="1" si="7"/>
        <v>0</v>
      </c>
      <c r="AV31" s="2">
        <f t="shared" ca="1" si="7"/>
        <v>371087.59641166066</v>
      </c>
      <c r="AW31" s="2">
        <f t="shared" ca="1" si="7"/>
        <v>0</v>
      </c>
      <c r="AX31" s="2">
        <f t="shared" ca="1" si="7"/>
        <v>0</v>
      </c>
      <c r="AY31" s="2">
        <f t="shared" ca="1" si="7"/>
        <v>610187.77625286591</v>
      </c>
      <c r="AZ31" s="2">
        <f t="shared" ca="1" si="7"/>
        <v>0</v>
      </c>
      <c r="BA31" s="2">
        <f t="shared" ca="1" si="7"/>
        <v>0</v>
      </c>
      <c r="BB31" s="2">
        <f t="shared" ca="1" si="7"/>
        <v>625578.68716786429</v>
      </c>
      <c r="BC31" s="2">
        <f t="shared" ca="1" si="7"/>
        <v>0</v>
      </c>
      <c r="BD31" s="2">
        <f t="shared" ca="1" si="7"/>
        <v>0</v>
      </c>
      <c r="BE31" s="2">
        <f t="shared" ca="1" si="7"/>
        <v>685522.65563876927</v>
      </c>
      <c r="BF31" s="2">
        <f t="shared" ca="1" si="7"/>
        <v>0</v>
      </c>
      <c r="BG31" s="2">
        <f t="shared" ca="1" si="7"/>
        <v>0</v>
      </c>
      <c r="BH31" s="2">
        <f t="shared" ca="1" si="7"/>
        <v>781053.70518652978</v>
      </c>
      <c r="BI31" s="2">
        <f t="shared" ca="1" si="7"/>
        <v>0</v>
      </c>
      <c r="BJ31" s="2">
        <f t="shared" ca="1" si="7"/>
        <v>0</v>
      </c>
      <c r="BK31" s="2">
        <f t="shared" ca="1" si="7"/>
        <v>1215329.8641746363</v>
      </c>
      <c r="BL31" s="2">
        <f t="shared" ca="1" si="7"/>
        <v>0</v>
      </c>
      <c r="BM31" s="2">
        <f t="shared" ca="1" si="7"/>
        <v>0</v>
      </c>
      <c r="BN31" s="2">
        <f t="shared" ca="1" si="7"/>
        <v>1333198.0654881524</v>
      </c>
      <c r="BO31" s="2">
        <f t="shared" ca="1" si="7"/>
        <v>0</v>
      </c>
      <c r="BP31" s="2">
        <f t="shared" ca="1" si="7"/>
        <v>0</v>
      </c>
      <c r="BQ31" s="2">
        <f t="shared" ca="1" si="7"/>
        <v>1473406.8591132574</v>
      </c>
    </row>
    <row r="32" spans="1:69" s="83" customFormat="1">
      <c r="A32" s="62"/>
      <c r="B32" s="62"/>
      <c r="C32" s="90"/>
      <c r="D32" s="91"/>
      <c r="E32" s="35" t="s">
        <v>173</v>
      </c>
      <c r="F32" s="35"/>
      <c r="G32" s="35" t="s">
        <v>252</v>
      </c>
      <c r="H32" s="35"/>
      <c r="I32" s="11">
        <f t="shared" ref="I32:BQ32" si="8" xml:space="preserve">  IF( I28 = 0, $F27, I29 + I30 - I31 )</f>
        <v>0</v>
      </c>
      <c r="J32" s="11">
        <f t="shared" ca="1" si="8"/>
        <v>-40220</v>
      </c>
      <c r="K32" s="11">
        <f t="shared" ca="1" si="8"/>
        <v>-45483.658917580258</v>
      </c>
      <c r="L32" s="11">
        <f t="shared" ca="1" si="8"/>
        <v>-5308.42850641322</v>
      </c>
      <c r="M32" s="11">
        <f t="shared" ca="1" si="8"/>
        <v>-10775.292237083948</v>
      </c>
      <c r="N32" s="11">
        <f t="shared" ca="1" si="8"/>
        <v>-16294.149463501151</v>
      </c>
      <c r="O32" s="11">
        <f t="shared" ca="1" si="8"/>
        <v>-5572.1734228684691</v>
      </c>
      <c r="P32" s="11">
        <f t="shared" ca="1" si="8"/>
        <v>-46314.800606783698</v>
      </c>
      <c r="Q32" s="11">
        <f t="shared" ca="1" si="8"/>
        <v>68740.257737856227</v>
      </c>
      <c r="R32" s="11">
        <f t="shared" ca="1" si="8"/>
        <v>15752.014109771204</v>
      </c>
      <c r="S32" s="11">
        <f t="shared" ca="1" si="8"/>
        <v>11222.045205862178</v>
      </c>
      <c r="T32" s="11">
        <f t="shared" ca="1" si="8"/>
        <v>5102.8626851205763</v>
      </c>
      <c r="U32" s="11">
        <f t="shared" ca="1" si="8"/>
        <v>-6196.7550234558857</v>
      </c>
      <c r="V32" s="11">
        <f t="shared" ca="1" si="8"/>
        <v>-47586.755023455888</v>
      </c>
      <c r="W32" s="11">
        <f t="shared" ca="1" si="8"/>
        <v>73331.977328029301</v>
      </c>
      <c r="X32" s="11">
        <f t="shared" ca="1" si="8"/>
        <v>10034.489581142523</v>
      </c>
      <c r="Y32" s="11">
        <f t="shared" ca="1" si="8"/>
        <v>3247.5237834504405</v>
      </c>
      <c r="Z32" s="11">
        <f t="shared" ca="1" si="8"/>
        <v>-38643.356201628834</v>
      </c>
      <c r="AA32" s="11">
        <f t="shared" ca="1" si="8"/>
        <v>-6997.4292817000678</v>
      </c>
      <c r="AB32" s="11">
        <f t="shared" ca="1" si="8"/>
        <v>-14234.640073612671</v>
      </c>
      <c r="AC32" s="11">
        <f t="shared" ca="1" si="8"/>
        <v>243266.08257053205</v>
      </c>
      <c r="AD32" s="11">
        <f t="shared" ca="1" si="8"/>
        <v>-20868.95033624093</v>
      </c>
      <c r="AE32" s="11">
        <f t="shared" ca="1" si="8"/>
        <v>-27101.113364207602</v>
      </c>
      <c r="AF32" s="11">
        <f t="shared" ca="1" si="8"/>
        <v>-34988.476364123555</v>
      </c>
      <c r="AG32" s="11">
        <f t="shared" ca="1" si="8"/>
        <v>100957.13492645105</v>
      </c>
      <c r="AH32" s="11">
        <f t="shared" ca="1" si="8"/>
        <v>91981.839413896334</v>
      </c>
      <c r="AI32" s="11">
        <f t="shared" ca="1" si="8"/>
        <v>203990.04489077616</v>
      </c>
      <c r="AJ32" s="11">
        <f t="shared" ca="1" si="8"/>
        <v>37740.50373009668</v>
      </c>
      <c r="AK32" s="11">
        <f t="shared" ca="1" si="8"/>
        <v>204296.76468046539</v>
      </c>
      <c r="AL32" s="11">
        <f t="shared" ca="1" si="8"/>
        <v>193559.19422678204</v>
      </c>
      <c r="AM32" s="11">
        <f t="shared" ca="1" si="8"/>
        <v>26081.030829183583</v>
      </c>
      <c r="AN32" s="11">
        <f t="shared" ca="1" si="8"/>
        <v>197873.29130389681</v>
      </c>
      <c r="AO32" s="11">
        <f t="shared" ca="1" si="8"/>
        <v>336707.53418296378</v>
      </c>
      <c r="AP32" s="11">
        <f t="shared" ca="1" si="8"/>
        <v>175905.86531561724</v>
      </c>
      <c r="AQ32" s="11">
        <f t="shared" ca="1" si="8"/>
        <v>174953.91544635152</v>
      </c>
      <c r="AR32" s="11">
        <f t="shared" ca="1" si="8"/>
        <v>211457.16615017428</v>
      </c>
      <c r="AS32" s="11">
        <f t="shared" ca="1" si="8"/>
        <v>291795.14847907308</v>
      </c>
      <c r="AT32" s="11">
        <f t="shared" ca="1" si="8"/>
        <v>298165.1906225165</v>
      </c>
      <c r="AU32" s="11">
        <f t="shared" ca="1" si="8"/>
        <v>371087.59641166066</v>
      </c>
      <c r="AV32" s="11">
        <f t="shared" ca="1" si="8"/>
        <v>186775.9064405245</v>
      </c>
      <c r="AW32" s="11">
        <f t="shared" ca="1" si="8"/>
        <v>378296.45946276613</v>
      </c>
      <c r="AX32" s="11">
        <f t="shared" ca="1" si="8"/>
        <v>610187.77625286591</v>
      </c>
      <c r="AY32" s="11">
        <f t="shared" ca="1" si="8"/>
        <v>58605.366415737895</v>
      </c>
      <c r="AZ32" s="11">
        <f t="shared" ca="1" si="8"/>
        <v>410884.45196055993</v>
      </c>
      <c r="BA32" s="11">
        <f t="shared" ca="1" si="8"/>
        <v>625578.68716786429</v>
      </c>
      <c r="BB32" s="11">
        <f t="shared" ca="1" si="8"/>
        <v>221227.18327054882</v>
      </c>
      <c r="BC32" s="11">
        <f t="shared" ca="1" si="8"/>
        <v>449529.14922285144</v>
      </c>
      <c r="BD32" s="11">
        <f t="shared" ca="1" si="8"/>
        <v>685522.65563876927</v>
      </c>
      <c r="BE32" s="11">
        <f t="shared" ca="1" si="8"/>
        <v>243216.41597105563</v>
      </c>
      <c r="BF32" s="11">
        <f t="shared" ca="1" si="8"/>
        <v>494823.17089939129</v>
      </c>
      <c r="BG32" s="11">
        <f t="shared" ca="1" si="8"/>
        <v>781053.70518652978</v>
      </c>
      <c r="BH32" s="11">
        <f t="shared" ca="1" si="8"/>
        <v>441454.00891815987</v>
      </c>
      <c r="BI32" s="11">
        <f t="shared" ca="1" si="8"/>
        <v>750139.25099852565</v>
      </c>
      <c r="BJ32" s="11">
        <f t="shared" ca="1" si="8"/>
        <v>1215329.8641746363</v>
      </c>
      <c r="BK32" s="11">
        <f t="shared" ca="1" si="8"/>
        <v>334489.39073877851</v>
      </c>
      <c r="BL32" s="11">
        <f t="shared" ca="1" si="8"/>
        <v>826378.50027102837</v>
      </c>
      <c r="BM32" s="11">
        <f t="shared" ca="1" si="8"/>
        <v>1333198.0654881524</v>
      </c>
      <c r="BN32" s="11">
        <f t="shared" ca="1" si="8"/>
        <v>378067.39412687602</v>
      </c>
      <c r="BO32" s="11">
        <f t="shared" ca="1" si="8"/>
        <v>916812.72145914636</v>
      </c>
      <c r="BP32" s="11">
        <f t="shared" ca="1" si="8"/>
        <v>1473406.8591132574</v>
      </c>
      <c r="BQ32" s="11">
        <f t="shared" ca="1" si="8"/>
        <v>429412.62476073159</v>
      </c>
    </row>
    <row r="34" spans="1:69">
      <c r="B34" s="27" t="s">
        <v>261</v>
      </c>
    </row>
    <row r="35" spans="1:69" outlineLevel="1">
      <c r="E35" s="2" t="str">
        <f t="shared" ref="E35:G35" si="9" xml:space="preserve">  E$44</f>
        <v>VAT payment delay</v>
      </c>
      <c r="F35" s="2">
        <f t="shared" si="9"/>
        <v>1</v>
      </c>
      <c r="G35" s="2" t="str">
        <f t="shared" si="9"/>
        <v>period</v>
      </c>
      <c r="M35" s="2"/>
    </row>
    <row r="36" spans="1:69" outlineLevel="1">
      <c r="E36" s="2" t="str">
        <f t="shared" ref="E36:BQ36" si="10" xml:space="preserve">  E$51</f>
        <v>VAT quarterly return</v>
      </c>
      <c r="F36" s="2">
        <f t="shared" si="10"/>
        <v>0</v>
      </c>
      <c r="G36" s="2" t="str">
        <f t="shared" si="10"/>
        <v>GBP</v>
      </c>
      <c r="H36" s="2">
        <f t="shared" ca="1" si="10"/>
        <v>8296110.6882591359</v>
      </c>
      <c r="I36" s="2">
        <f t="shared" si="10"/>
        <v>0</v>
      </c>
      <c r="J36" s="2">
        <f t="shared" ca="1" si="10"/>
        <v>0</v>
      </c>
      <c r="K36" s="2">
        <f t="shared" ca="1" si="10"/>
        <v>-45483.658917580258</v>
      </c>
      <c r="L36" s="2">
        <f t="shared" ca="1" si="10"/>
        <v>0</v>
      </c>
      <c r="M36" s="2">
        <f t="shared" ca="1" si="10"/>
        <v>0</v>
      </c>
      <c r="N36" s="2">
        <f t="shared" ca="1" si="10"/>
        <v>-16294.149463501151</v>
      </c>
      <c r="O36" s="2">
        <f t="shared" ca="1" si="10"/>
        <v>0</v>
      </c>
      <c r="P36" s="2">
        <f t="shared" ca="1" si="10"/>
        <v>0</v>
      </c>
      <c r="Q36" s="2">
        <f t="shared" ca="1" si="10"/>
        <v>68740.257737856227</v>
      </c>
      <c r="R36" s="2">
        <f t="shared" ca="1" si="10"/>
        <v>0</v>
      </c>
      <c r="S36" s="2">
        <f t="shared" ca="1" si="10"/>
        <v>0</v>
      </c>
      <c r="T36" s="2">
        <f t="shared" ca="1" si="10"/>
        <v>5102.8626851205763</v>
      </c>
      <c r="U36" s="2">
        <f t="shared" ca="1" si="10"/>
        <v>0</v>
      </c>
      <c r="V36" s="2">
        <f t="shared" ca="1" si="10"/>
        <v>0</v>
      </c>
      <c r="W36" s="2">
        <f t="shared" ca="1" si="10"/>
        <v>73331.977328029301</v>
      </c>
      <c r="X36" s="2">
        <f t="shared" ca="1" si="10"/>
        <v>0</v>
      </c>
      <c r="Y36" s="2">
        <f t="shared" ca="1" si="10"/>
        <v>0</v>
      </c>
      <c r="Z36" s="2">
        <f t="shared" ca="1" si="10"/>
        <v>-38643.356201628834</v>
      </c>
      <c r="AA36" s="2">
        <f t="shared" ca="1" si="10"/>
        <v>0</v>
      </c>
      <c r="AB36" s="2">
        <f t="shared" ca="1" si="10"/>
        <v>0</v>
      </c>
      <c r="AC36" s="2">
        <f t="shared" ca="1" si="10"/>
        <v>243266.08257053205</v>
      </c>
      <c r="AD36" s="2">
        <f t="shared" ca="1" si="10"/>
        <v>0</v>
      </c>
      <c r="AE36" s="2">
        <f t="shared" ca="1" si="10"/>
        <v>0</v>
      </c>
      <c r="AF36" s="2">
        <f t="shared" ca="1" si="10"/>
        <v>-34988.476364123555</v>
      </c>
      <c r="AG36" s="2">
        <f t="shared" ca="1" si="10"/>
        <v>0</v>
      </c>
      <c r="AH36" s="2">
        <f t="shared" ca="1" si="10"/>
        <v>0</v>
      </c>
      <c r="AI36" s="2">
        <f t="shared" ca="1" si="10"/>
        <v>203990.04489077616</v>
      </c>
      <c r="AJ36" s="2">
        <f t="shared" ca="1" si="10"/>
        <v>0</v>
      </c>
      <c r="AK36" s="2">
        <f t="shared" ca="1" si="10"/>
        <v>0</v>
      </c>
      <c r="AL36" s="2">
        <f t="shared" ca="1" si="10"/>
        <v>193559.19422678204</v>
      </c>
      <c r="AM36" s="2">
        <f t="shared" ca="1" si="10"/>
        <v>0</v>
      </c>
      <c r="AN36" s="2">
        <f t="shared" ca="1" si="10"/>
        <v>0</v>
      </c>
      <c r="AO36" s="2">
        <f t="shared" ca="1" si="10"/>
        <v>336707.53418296378</v>
      </c>
      <c r="AP36" s="2">
        <f t="shared" ca="1" si="10"/>
        <v>0</v>
      </c>
      <c r="AQ36" s="2">
        <f t="shared" ca="1" si="10"/>
        <v>0</v>
      </c>
      <c r="AR36" s="2">
        <f t="shared" ca="1" si="10"/>
        <v>211457.16615017428</v>
      </c>
      <c r="AS36" s="2">
        <f t="shared" ca="1" si="10"/>
        <v>0</v>
      </c>
      <c r="AT36" s="2">
        <f t="shared" ca="1" si="10"/>
        <v>0</v>
      </c>
      <c r="AU36" s="2">
        <f t="shared" ca="1" si="10"/>
        <v>371087.59641166066</v>
      </c>
      <c r="AV36" s="2">
        <f t="shared" ca="1" si="10"/>
        <v>0</v>
      </c>
      <c r="AW36" s="2">
        <f t="shared" ca="1" si="10"/>
        <v>0</v>
      </c>
      <c r="AX36" s="2">
        <f t="shared" ca="1" si="10"/>
        <v>610187.77625286591</v>
      </c>
      <c r="AY36" s="2">
        <f t="shared" ca="1" si="10"/>
        <v>0</v>
      </c>
      <c r="AZ36" s="2">
        <f t="shared" ca="1" si="10"/>
        <v>0</v>
      </c>
      <c r="BA36" s="2">
        <f t="shared" ca="1" si="10"/>
        <v>625578.68716786429</v>
      </c>
      <c r="BB36" s="2">
        <f t="shared" ca="1" si="10"/>
        <v>0</v>
      </c>
      <c r="BC36" s="2">
        <f t="shared" ca="1" si="10"/>
        <v>0</v>
      </c>
      <c r="BD36" s="2">
        <f t="shared" ca="1" si="10"/>
        <v>685522.65563876927</v>
      </c>
      <c r="BE36" s="2">
        <f t="shared" ca="1" si="10"/>
        <v>0</v>
      </c>
      <c r="BF36" s="2">
        <f t="shared" ca="1" si="10"/>
        <v>0</v>
      </c>
      <c r="BG36" s="2">
        <f t="shared" ca="1" si="10"/>
        <v>781053.70518652978</v>
      </c>
      <c r="BH36" s="2">
        <f t="shared" ca="1" si="10"/>
        <v>0</v>
      </c>
      <c r="BI36" s="2">
        <f t="shared" ca="1" si="10"/>
        <v>0</v>
      </c>
      <c r="BJ36" s="2">
        <f t="shared" ca="1" si="10"/>
        <v>1215329.8641746363</v>
      </c>
      <c r="BK36" s="2">
        <f t="shared" ca="1" si="10"/>
        <v>0</v>
      </c>
      <c r="BL36" s="2">
        <f t="shared" ca="1" si="10"/>
        <v>0</v>
      </c>
      <c r="BM36" s="2">
        <f t="shared" ca="1" si="10"/>
        <v>1333198.0654881524</v>
      </c>
      <c r="BN36" s="2">
        <f t="shared" ca="1" si="10"/>
        <v>0</v>
      </c>
      <c r="BO36" s="2">
        <f t="shared" ca="1" si="10"/>
        <v>0</v>
      </c>
      <c r="BP36" s="2">
        <f t="shared" ca="1" si="10"/>
        <v>1473406.8591132574</v>
      </c>
      <c r="BQ36" s="2">
        <f t="shared" ca="1" si="10"/>
        <v>0</v>
      </c>
    </row>
    <row r="37" spans="1:69" outlineLevel="1">
      <c r="E37" s="46" t="s">
        <v>264</v>
      </c>
      <c r="G37" s="46" t="s">
        <v>252</v>
      </c>
      <c r="H37" s="2">
        <f t="shared" ref="H37:H38" ca="1" si="11" xml:space="preserve"> SUM( J37:BQ37 )</f>
        <v>8296110.6882591359</v>
      </c>
      <c r="J37" s="2">
        <f ca="1" xml:space="preserve">  IF( Time!J28 &lt; 1 + $F35, 0, OFFSET( J36, 0, - 1 * ( $F35 ) ) )</f>
        <v>0</v>
      </c>
      <c r="K37" s="2">
        <f ca="1" xml:space="preserve">  IF( Time!K28 &lt; 1 + $F35, 0, OFFSET( K36, 0, - 1 * ( $F35 ) ) )</f>
        <v>0</v>
      </c>
      <c r="L37" s="2">
        <f ca="1" xml:space="preserve">  IF( Time!L28 &lt; 1 + $F35, 0, OFFSET( L36, 0, - 1 * ( $F35 ) ) )</f>
        <v>-45483.658917580258</v>
      </c>
      <c r="M37" s="2">
        <f ca="1" xml:space="preserve">  IF( Time!M28 &lt; 1 + $F35, 0, OFFSET( M36, 0, - 1 * ( $F35 ) ) )</f>
        <v>0</v>
      </c>
      <c r="N37" s="2">
        <f ca="1" xml:space="preserve">  IF( Time!N28 &lt; 1 + $F35, 0, OFFSET( N36, 0, - 1 * ( $F35 ) ) )</f>
        <v>0</v>
      </c>
      <c r="O37" s="2">
        <f ca="1" xml:space="preserve">  IF( Time!O28 &lt; 1 + $F35, 0, OFFSET( O36, 0, - 1 * ( $F35 ) ) )</f>
        <v>-16294.149463501151</v>
      </c>
      <c r="P37" s="2">
        <f ca="1" xml:space="preserve">  IF( Time!P28 &lt; 1 + $F35, 0, OFFSET( P36, 0, - 1 * ( $F35 ) ) )</f>
        <v>0</v>
      </c>
      <c r="Q37" s="2">
        <f ca="1" xml:space="preserve">  IF( Time!Q28 &lt; 1 + $F35, 0, OFFSET( Q36, 0, - 1 * ( $F35 ) ) )</f>
        <v>0</v>
      </c>
      <c r="R37" s="2">
        <f ca="1" xml:space="preserve">  IF( Time!R28 &lt; 1 + $F35, 0, OFFSET( R36, 0, - 1 * ( $F35 ) ) )</f>
        <v>68740.257737856227</v>
      </c>
      <c r="S37" s="2">
        <f ca="1" xml:space="preserve">  IF( Time!S28 &lt; 1 + $F35, 0, OFFSET( S36, 0, - 1 * ( $F35 ) ) )</f>
        <v>0</v>
      </c>
      <c r="T37" s="2">
        <f ca="1" xml:space="preserve">  IF( Time!T28 &lt; 1 + $F35, 0, OFFSET( T36, 0, - 1 * ( $F35 ) ) )</f>
        <v>0</v>
      </c>
      <c r="U37" s="2">
        <f ca="1" xml:space="preserve">  IF( Time!U28 &lt; 1 + $F35, 0, OFFSET( U36, 0, - 1 * ( $F35 ) ) )</f>
        <v>5102.8626851205763</v>
      </c>
      <c r="V37" s="2">
        <f ca="1" xml:space="preserve">  IF( Time!V28 &lt; 1 + $F35, 0, OFFSET( V36, 0, - 1 * ( $F35 ) ) )</f>
        <v>0</v>
      </c>
      <c r="W37" s="2">
        <f ca="1" xml:space="preserve">  IF( Time!W28 &lt; 1 + $F35, 0, OFFSET( W36, 0, - 1 * ( $F35 ) ) )</f>
        <v>0</v>
      </c>
      <c r="X37" s="2">
        <f ca="1" xml:space="preserve">  IF( Time!X28 &lt; 1 + $F35, 0, OFFSET( X36, 0, - 1 * ( $F35 ) ) )</f>
        <v>73331.977328029301</v>
      </c>
      <c r="Y37" s="2">
        <f ca="1" xml:space="preserve">  IF( Time!Y28 &lt; 1 + $F35, 0, OFFSET( Y36, 0, - 1 * ( $F35 ) ) )</f>
        <v>0</v>
      </c>
      <c r="Z37" s="2">
        <f ca="1" xml:space="preserve">  IF( Time!Z28 &lt; 1 + $F35, 0, OFFSET( Z36, 0, - 1 * ( $F35 ) ) )</f>
        <v>0</v>
      </c>
      <c r="AA37" s="2">
        <f ca="1" xml:space="preserve">  IF( Time!AA28 &lt; 1 + $F35, 0, OFFSET( AA36, 0, - 1 * ( $F35 ) ) )</f>
        <v>-38643.356201628834</v>
      </c>
      <c r="AB37" s="2">
        <f ca="1" xml:space="preserve">  IF( Time!AB28 &lt; 1 + $F35, 0, OFFSET( AB36, 0, - 1 * ( $F35 ) ) )</f>
        <v>0</v>
      </c>
      <c r="AC37" s="2">
        <f ca="1" xml:space="preserve">  IF( Time!AC28 &lt; 1 + $F35, 0, OFFSET( AC36, 0, - 1 * ( $F35 ) ) )</f>
        <v>0</v>
      </c>
      <c r="AD37" s="2">
        <f ca="1" xml:space="preserve">  IF( Time!AD28 &lt; 1 + $F35, 0, OFFSET( AD36, 0, - 1 * ( $F35 ) ) )</f>
        <v>243266.08257053205</v>
      </c>
      <c r="AE37" s="2">
        <f ca="1" xml:space="preserve">  IF( Time!AE28 &lt; 1 + $F35, 0, OFFSET( AE36, 0, - 1 * ( $F35 ) ) )</f>
        <v>0</v>
      </c>
      <c r="AF37" s="2">
        <f ca="1" xml:space="preserve">  IF( Time!AF28 &lt; 1 + $F35, 0, OFFSET( AF36, 0, - 1 * ( $F35 ) ) )</f>
        <v>0</v>
      </c>
      <c r="AG37" s="2">
        <f ca="1" xml:space="preserve">  IF( Time!AG28 &lt; 1 + $F35, 0, OFFSET( AG36, 0, - 1 * ( $F35 ) ) )</f>
        <v>-34988.476364123555</v>
      </c>
      <c r="AH37" s="2">
        <f ca="1" xml:space="preserve">  IF( Time!AH28 &lt; 1 + $F35, 0, OFFSET( AH36, 0, - 1 * ( $F35 ) ) )</f>
        <v>0</v>
      </c>
      <c r="AI37" s="2">
        <f ca="1" xml:space="preserve">  IF( Time!AI28 &lt; 1 + $F35, 0, OFFSET( AI36, 0, - 1 * ( $F35 ) ) )</f>
        <v>0</v>
      </c>
      <c r="AJ37" s="2">
        <f ca="1" xml:space="preserve">  IF( Time!AJ28 &lt; 1 + $F35, 0, OFFSET( AJ36, 0, - 1 * ( $F35 ) ) )</f>
        <v>203990.04489077616</v>
      </c>
      <c r="AK37" s="2">
        <f ca="1" xml:space="preserve">  IF( Time!AK28 &lt; 1 + $F35, 0, OFFSET( AK36, 0, - 1 * ( $F35 ) ) )</f>
        <v>0</v>
      </c>
      <c r="AL37" s="2">
        <f ca="1" xml:space="preserve">  IF( Time!AL28 &lt; 1 + $F35, 0, OFFSET( AL36, 0, - 1 * ( $F35 ) ) )</f>
        <v>0</v>
      </c>
      <c r="AM37" s="2">
        <f ca="1" xml:space="preserve">  IF( Time!AM28 &lt; 1 + $F35, 0, OFFSET( AM36, 0, - 1 * ( $F35 ) ) )</f>
        <v>193559.19422678204</v>
      </c>
      <c r="AN37" s="2">
        <f ca="1" xml:space="preserve">  IF( Time!AN28 &lt; 1 + $F35, 0, OFFSET( AN36, 0, - 1 * ( $F35 ) ) )</f>
        <v>0</v>
      </c>
      <c r="AO37" s="2">
        <f ca="1" xml:space="preserve">  IF( Time!AO28 &lt; 1 + $F35, 0, OFFSET( AO36, 0, - 1 * ( $F35 ) ) )</f>
        <v>0</v>
      </c>
      <c r="AP37" s="2">
        <f ca="1" xml:space="preserve">  IF( Time!AP28 &lt; 1 + $F35, 0, OFFSET( AP36, 0, - 1 * ( $F35 ) ) )</f>
        <v>336707.53418296378</v>
      </c>
      <c r="AQ37" s="2">
        <f ca="1" xml:space="preserve">  IF( Time!AQ28 &lt; 1 + $F35, 0, OFFSET( AQ36, 0, - 1 * ( $F35 ) ) )</f>
        <v>0</v>
      </c>
      <c r="AR37" s="2">
        <f ca="1" xml:space="preserve">  IF( Time!AR28 &lt; 1 + $F35, 0, OFFSET( AR36, 0, - 1 * ( $F35 ) ) )</f>
        <v>0</v>
      </c>
      <c r="AS37" s="2">
        <f ca="1" xml:space="preserve">  IF( Time!AS28 &lt; 1 + $F35, 0, OFFSET( AS36, 0, - 1 * ( $F35 ) ) )</f>
        <v>211457.16615017428</v>
      </c>
      <c r="AT37" s="2">
        <f ca="1" xml:space="preserve">  IF( Time!AT28 &lt; 1 + $F35, 0, OFFSET( AT36, 0, - 1 * ( $F35 ) ) )</f>
        <v>0</v>
      </c>
      <c r="AU37" s="2">
        <f ca="1" xml:space="preserve">  IF( Time!AU28 &lt; 1 + $F35, 0, OFFSET( AU36, 0, - 1 * ( $F35 ) ) )</f>
        <v>0</v>
      </c>
      <c r="AV37" s="2">
        <f ca="1" xml:space="preserve">  IF( Time!AV28 &lt; 1 + $F35, 0, OFFSET( AV36, 0, - 1 * ( $F35 ) ) )</f>
        <v>371087.59641166066</v>
      </c>
      <c r="AW37" s="2">
        <f ca="1" xml:space="preserve">  IF( Time!AW28 &lt; 1 + $F35, 0, OFFSET( AW36, 0, - 1 * ( $F35 ) ) )</f>
        <v>0</v>
      </c>
      <c r="AX37" s="2">
        <f ca="1" xml:space="preserve">  IF( Time!AX28 &lt; 1 + $F35, 0, OFFSET( AX36, 0, - 1 * ( $F35 ) ) )</f>
        <v>0</v>
      </c>
      <c r="AY37" s="2">
        <f ca="1" xml:space="preserve">  IF( Time!AY28 &lt; 1 + $F35, 0, OFFSET( AY36, 0, - 1 * ( $F35 ) ) )</f>
        <v>610187.77625286591</v>
      </c>
      <c r="AZ37" s="2">
        <f ca="1" xml:space="preserve">  IF( Time!AZ28 &lt; 1 + $F35, 0, OFFSET( AZ36, 0, - 1 * ( $F35 ) ) )</f>
        <v>0</v>
      </c>
      <c r="BA37" s="2">
        <f ca="1" xml:space="preserve">  IF( Time!BA28 &lt; 1 + $F35, 0, OFFSET( BA36, 0, - 1 * ( $F35 ) ) )</f>
        <v>0</v>
      </c>
      <c r="BB37" s="2">
        <f ca="1" xml:space="preserve">  IF( Time!BB28 &lt; 1 + $F35, 0, OFFSET( BB36, 0, - 1 * ( $F35 ) ) )</f>
        <v>625578.68716786429</v>
      </c>
      <c r="BC37" s="2">
        <f ca="1" xml:space="preserve">  IF( Time!BC28 &lt; 1 + $F35, 0, OFFSET( BC36, 0, - 1 * ( $F35 ) ) )</f>
        <v>0</v>
      </c>
      <c r="BD37" s="2">
        <f ca="1" xml:space="preserve">  IF( Time!BD28 &lt; 1 + $F35, 0, OFFSET( BD36, 0, - 1 * ( $F35 ) ) )</f>
        <v>0</v>
      </c>
      <c r="BE37" s="2">
        <f ca="1" xml:space="preserve">  IF( Time!BE28 &lt; 1 + $F35, 0, OFFSET( BE36, 0, - 1 * ( $F35 ) ) )</f>
        <v>685522.65563876927</v>
      </c>
      <c r="BF37" s="2">
        <f ca="1" xml:space="preserve">  IF( Time!BF28 &lt; 1 + $F35, 0, OFFSET( BF36, 0, - 1 * ( $F35 ) ) )</f>
        <v>0</v>
      </c>
      <c r="BG37" s="2">
        <f ca="1" xml:space="preserve">  IF( Time!BG28 &lt; 1 + $F35, 0, OFFSET( BG36, 0, - 1 * ( $F35 ) ) )</f>
        <v>0</v>
      </c>
      <c r="BH37" s="2">
        <f ca="1" xml:space="preserve">  IF( Time!BH28 &lt; 1 + $F35, 0, OFFSET( BH36, 0, - 1 * ( $F35 ) ) )</f>
        <v>781053.70518652978</v>
      </c>
      <c r="BI37" s="2">
        <f ca="1" xml:space="preserve">  IF( Time!BI28 &lt; 1 + $F35, 0, OFFSET( BI36, 0, - 1 * ( $F35 ) ) )</f>
        <v>0</v>
      </c>
      <c r="BJ37" s="2">
        <f ca="1" xml:space="preserve">  IF( Time!BJ28 &lt; 1 + $F35, 0, OFFSET( BJ36, 0, - 1 * ( $F35 ) ) )</f>
        <v>0</v>
      </c>
      <c r="BK37" s="2">
        <f ca="1" xml:space="preserve">  IF( Time!BK28 &lt; 1 + $F35, 0, OFFSET( BK36, 0, - 1 * ( $F35 ) ) )</f>
        <v>1215329.8641746363</v>
      </c>
      <c r="BL37" s="2">
        <f ca="1" xml:space="preserve">  IF( Time!BL28 &lt; 1 + $F35, 0, OFFSET( BL36, 0, - 1 * ( $F35 ) ) )</f>
        <v>0</v>
      </c>
      <c r="BM37" s="2">
        <f ca="1" xml:space="preserve">  IF( Time!BM28 &lt; 1 + $F35, 0, OFFSET( BM36, 0, - 1 * ( $F35 ) ) )</f>
        <v>0</v>
      </c>
      <c r="BN37" s="2">
        <f ca="1" xml:space="preserve">  IF( Time!BN28 &lt; 1 + $F35, 0, OFFSET( BN36, 0, - 1 * ( $F35 ) ) )</f>
        <v>1333198.0654881524</v>
      </c>
      <c r="BO37" s="2">
        <f ca="1" xml:space="preserve">  IF( Time!BO28 &lt; 1 + $F35, 0, OFFSET( BO36, 0, - 1 * ( $F35 ) ) )</f>
        <v>0</v>
      </c>
      <c r="BP37" s="2">
        <f ca="1" xml:space="preserve">  IF( Time!BP28 &lt; 1 + $F35, 0, OFFSET( BP36, 0, - 1 * ( $F35 ) ) )</f>
        <v>0</v>
      </c>
      <c r="BQ37" s="2">
        <f ca="1" xml:space="preserve">  IF( Time!BQ28 &lt; 1 + $F35, 0, OFFSET( BQ36, 0, - 1 * ( $F35 ) ) )</f>
        <v>1473406.8591132574</v>
      </c>
    </row>
    <row r="38" spans="1:69" outlineLevel="1">
      <c r="A38" s="36"/>
      <c r="B38" s="36"/>
      <c r="C38" s="65"/>
      <c r="D38" s="64"/>
      <c r="E38" s="21" t="str">
        <f xml:space="preserve"> LEFT($E$37, LEN($E$37) - 3 )</f>
        <v xml:space="preserve">VAT paid </v>
      </c>
      <c r="F38" s="21"/>
      <c r="G38" s="21" t="str">
        <f xml:space="preserve"> G$37</f>
        <v>GBP</v>
      </c>
      <c r="H38" s="3">
        <f t="shared" ca="1" si="11"/>
        <v>-8296110.6882591359</v>
      </c>
      <c r="I38" s="21"/>
      <c r="J38" s="3">
        <f t="shared" ref="J38:BQ38" ca="1" si="12" xml:space="preserve"> -1 * J37</f>
        <v>0</v>
      </c>
      <c r="K38" s="3">
        <f t="shared" ca="1" si="12"/>
        <v>0</v>
      </c>
      <c r="L38" s="3">
        <f t="shared" ca="1" si="12"/>
        <v>45483.658917580258</v>
      </c>
      <c r="M38" s="3">
        <f t="shared" ca="1" si="12"/>
        <v>0</v>
      </c>
      <c r="N38" s="3">
        <f t="shared" ca="1" si="12"/>
        <v>0</v>
      </c>
      <c r="O38" s="3">
        <f t="shared" ca="1" si="12"/>
        <v>16294.149463501151</v>
      </c>
      <c r="P38" s="3">
        <f t="shared" ca="1" si="12"/>
        <v>0</v>
      </c>
      <c r="Q38" s="3">
        <f t="shared" ca="1" si="12"/>
        <v>0</v>
      </c>
      <c r="R38" s="3">
        <f t="shared" ca="1" si="12"/>
        <v>-68740.257737856227</v>
      </c>
      <c r="S38" s="3">
        <f t="shared" ca="1" si="12"/>
        <v>0</v>
      </c>
      <c r="T38" s="3">
        <f t="shared" ca="1" si="12"/>
        <v>0</v>
      </c>
      <c r="U38" s="3">
        <f t="shared" ca="1" si="12"/>
        <v>-5102.8626851205763</v>
      </c>
      <c r="V38" s="3">
        <f t="shared" ca="1" si="12"/>
        <v>0</v>
      </c>
      <c r="W38" s="3">
        <f t="shared" ca="1" si="12"/>
        <v>0</v>
      </c>
      <c r="X38" s="3">
        <f t="shared" ca="1" si="12"/>
        <v>-73331.977328029301</v>
      </c>
      <c r="Y38" s="3">
        <f t="shared" ca="1" si="12"/>
        <v>0</v>
      </c>
      <c r="Z38" s="3">
        <f t="shared" ca="1" si="12"/>
        <v>0</v>
      </c>
      <c r="AA38" s="3">
        <f t="shared" ca="1" si="12"/>
        <v>38643.356201628834</v>
      </c>
      <c r="AB38" s="3">
        <f t="shared" ca="1" si="12"/>
        <v>0</v>
      </c>
      <c r="AC38" s="3">
        <f t="shared" ca="1" si="12"/>
        <v>0</v>
      </c>
      <c r="AD38" s="3">
        <f t="shared" ca="1" si="12"/>
        <v>-243266.08257053205</v>
      </c>
      <c r="AE38" s="3">
        <f t="shared" ca="1" si="12"/>
        <v>0</v>
      </c>
      <c r="AF38" s="3">
        <f t="shared" ca="1" si="12"/>
        <v>0</v>
      </c>
      <c r="AG38" s="3">
        <f t="shared" ca="1" si="12"/>
        <v>34988.476364123555</v>
      </c>
      <c r="AH38" s="3">
        <f t="shared" ca="1" si="12"/>
        <v>0</v>
      </c>
      <c r="AI38" s="3">
        <f t="shared" ca="1" si="12"/>
        <v>0</v>
      </c>
      <c r="AJ38" s="3">
        <f t="shared" ca="1" si="12"/>
        <v>-203990.04489077616</v>
      </c>
      <c r="AK38" s="3">
        <f t="shared" ca="1" si="12"/>
        <v>0</v>
      </c>
      <c r="AL38" s="3">
        <f t="shared" ca="1" si="12"/>
        <v>0</v>
      </c>
      <c r="AM38" s="3">
        <f t="shared" ca="1" si="12"/>
        <v>-193559.19422678204</v>
      </c>
      <c r="AN38" s="3">
        <f t="shared" ca="1" si="12"/>
        <v>0</v>
      </c>
      <c r="AO38" s="3">
        <f t="shared" ca="1" si="12"/>
        <v>0</v>
      </c>
      <c r="AP38" s="3">
        <f t="shared" ca="1" si="12"/>
        <v>-336707.53418296378</v>
      </c>
      <c r="AQ38" s="3">
        <f t="shared" ca="1" si="12"/>
        <v>0</v>
      </c>
      <c r="AR38" s="3">
        <f t="shared" ca="1" si="12"/>
        <v>0</v>
      </c>
      <c r="AS38" s="3">
        <f t="shared" ca="1" si="12"/>
        <v>-211457.16615017428</v>
      </c>
      <c r="AT38" s="3">
        <f t="shared" ca="1" si="12"/>
        <v>0</v>
      </c>
      <c r="AU38" s="3">
        <f t="shared" ca="1" si="12"/>
        <v>0</v>
      </c>
      <c r="AV38" s="3">
        <f t="shared" ca="1" si="12"/>
        <v>-371087.59641166066</v>
      </c>
      <c r="AW38" s="3">
        <f t="shared" ca="1" si="12"/>
        <v>0</v>
      </c>
      <c r="AX38" s="3">
        <f t="shared" ca="1" si="12"/>
        <v>0</v>
      </c>
      <c r="AY38" s="3">
        <f t="shared" ca="1" si="12"/>
        <v>-610187.77625286591</v>
      </c>
      <c r="AZ38" s="3">
        <f t="shared" ca="1" si="12"/>
        <v>0</v>
      </c>
      <c r="BA38" s="3">
        <f t="shared" ca="1" si="12"/>
        <v>0</v>
      </c>
      <c r="BB38" s="3">
        <f t="shared" ca="1" si="12"/>
        <v>-625578.68716786429</v>
      </c>
      <c r="BC38" s="3">
        <f t="shared" ca="1" si="12"/>
        <v>0</v>
      </c>
      <c r="BD38" s="3">
        <f t="shared" ca="1" si="12"/>
        <v>0</v>
      </c>
      <c r="BE38" s="3">
        <f t="shared" ca="1" si="12"/>
        <v>-685522.65563876927</v>
      </c>
      <c r="BF38" s="3">
        <f t="shared" ca="1" si="12"/>
        <v>0</v>
      </c>
      <c r="BG38" s="3">
        <f t="shared" ca="1" si="12"/>
        <v>0</v>
      </c>
      <c r="BH38" s="3">
        <f t="shared" ca="1" si="12"/>
        <v>-781053.70518652978</v>
      </c>
      <c r="BI38" s="3">
        <f t="shared" ca="1" si="12"/>
        <v>0</v>
      </c>
      <c r="BJ38" s="3">
        <f t="shared" ca="1" si="12"/>
        <v>0</v>
      </c>
      <c r="BK38" s="3">
        <f t="shared" ca="1" si="12"/>
        <v>-1215329.8641746363</v>
      </c>
      <c r="BL38" s="3">
        <f t="shared" ca="1" si="12"/>
        <v>0</v>
      </c>
      <c r="BM38" s="3">
        <f t="shared" ca="1" si="12"/>
        <v>0</v>
      </c>
      <c r="BN38" s="3">
        <f t="shared" ca="1" si="12"/>
        <v>-1333198.0654881524</v>
      </c>
      <c r="BO38" s="3">
        <f t="shared" ca="1" si="12"/>
        <v>0</v>
      </c>
      <c r="BP38" s="3">
        <f t="shared" ca="1" si="12"/>
        <v>0</v>
      </c>
      <c r="BQ38" s="3">
        <f t="shared" ca="1" si="12"/>
        <v>-1473406.8591132574</v>
      </c>
    </row>
    <row r="41" spans="1:69">
      <c r="B41" s="27" t="s">
        <v>174</v>
      </c>
    </row>
    <row r="42" spans="1:69" outlineLevel="1">
      <c r="A42" s="18"/>
      <c r="B42" s="18"/>
      <c r="C42" s="30"/>
      <c r="D42" s="31"/>
      <c r="E42" s="4" t="str">
        <f xml:space="preserve">  InpC!E$85</f>
        <v>VAT payment delay in months</v>
      </c>
      <c r="F42" s="4">
        <f xml:space="preserve">  InpC!F$85</f>
        <v>1</v>
      </c>
      <c r="G42" s="4" t="str">
        <f xml:space="preserve">  InpC!G$85</f>
        <v>Months</v>
      </c>
      <c r="M42" s="2"/>
    </row>
    <row r="43" spans="1:69" outlineLevel="1">
      <c r="A43" s="18"/>
      <c r="B43" s="18"/>
      <c r="C43" s="30"/>
      <c r="D43" s="31"/>
      <c r="E43" s="4" t="str">
        <f xml:space="preserve">  InpC!E$98</f>
        <v>Months per period (Primary)</v>
      </c>
      <c r="F43" s="4">
        <f xml:space="preserve">  InpC!F$98</f>
        <v>1</v>
      </c>
      <c r="G43" s="4" t="str">
        <f xml:space="preserve">  InpC!G$98</f>
        <v>Months</v>
      </c>
      <c r="M43" s="2"/>
    </row>
    <row r="44" spans="1:69" outlineLevel="1">
      <c r="E44" s="46" t="s">
        <v>174</v>
      </c>
      <c r="F44" s="2">
        <f xml:space="preserve">  INT( $F42 / $F43 )</f>
        <v>1</v>
      </c>
      <c r="G44" s="46" t="s">
        <v>247</v>
      </c>
      <c r="M44" s="2"/>
    </row>
    <row r="47" spans="1:69">
      <c r="B47" s="27" t="s">
        <v>198</v>
      </c>
    </row>
    <row r="48" spans="1:69" outlineLevel="1">
      <c r="E48" s="2" t="str">
        <f t="shared" ref="E48:BQ48" si="13" xml:space="preserve">  E$29</f>
        <v>VAT balance BEG</v>
      </c>
      <c r="F48" s="2">
        <f t="shared" si="13"/>
        <v>0</v>
      </c>
      <c r="G48" s="2" t="str">
        <f t="shared" si="13"/>
        <v>GBP</v>
      </c>
      <c r="H48" s="2">
        <f t="shared" si="13"/>
        <v>0</v>
      </c>
      <c r="I48" s="2">
        <f t="shared" si="13"/>
        <v>0</v>
      </c>
      <c r="J48" s="2">
        <f t="shared" si="13"/>
        <v>0</v>
      </c>
      <c r="K48" s="2">
        <f t="shared" ca="1" si="13"/>
        <v>-40220</v>
      </c>
      <c r="L48" s="2">
        <f t="shared" ca="1" si="13"/>
        <v>-45483.658917580258</v>
      </c>
      <c r="M48" s="2">
        <f t="shared" ca="1" si="13"/>
        <v>-5308.42850641322</v>
      </c>
      <c r="N48" s="2">
        <f t="shared" ca="1" si="13"/>
        <v>-10775.292237083948</v>
      </c>
      <c r="O48" s="2">
        <f t="shared" ca="1" si="13"/>
        <v>-16294.149463501151</v>
      </c>
      <c r="P48" s="2">
        <f t="shared" ca="1" si="13"/>
        <v>-5572.1734228684691</v>
      </c>
      <c r="Q48" s="2">
        <f t="shared" ca="1" si="13"/>
        <v>-46314.800606783698</v>
      </c>
      <c r="R48" s="2">
        <f t="shared" ca="1" si="13"/>
        <v>68740.257737856227</v>
      </c>
      <c r="S48" s="2">
        <f t="shared" ca="1" si="13"/>
        <v>15752.014109771204</v>
      </c>
      <c r="T48" s="2">
        <f t="shared" ca="1" si="13"/>
        <v>11222.045205862178</v>
      </c>
      <c r="U48" s="2">
        <f t="shared" ca="1" si="13"/>
        <v>5102.8626851205763</v>
      </c>
      <c r="V48" s="2">
        <f t="shared" ca="1" si="13"/>
        <v>-6196.7550234558857</v>
      </c>
      <c r="W48" s="2">
        <f t="shared" ca="1" si="13"/>
        <v>-47586.755023455888</v>
      </c>
      <c r="X48" s="2">
        <f t="shared" ca="1" si="13"/>
        <v>73331.977328029301</v>
      </c>
      <c r="Y48" s="2">
        <f t="shared" ca="1" si="13"/>
        <v>10034.489581142523</v>
      </c>
      <c r="Z48" s="2">
        <f t="shared" ca="1" si="13"/>
        <v>3247.5237834504405</v>
      </c>
      <c r="AA48" s="2">
        <f t="shared" ca="1" si="13"/>
        <v>-38643.356201628834</v>
      </c>
      <c r="AB48" s="2">
        <f t="shared" ca="1" si="13"/>
        <v>-6997.4292817000678</v>
      </c>
      <c r="AC48" s="2">
        <f t="shared" ca="1" si="13"/>
        <v>-14234.640073612671</v>
      </c>
      <c r="AD48" s="2">
        <f t="shared" ca="1" si="13"/>
        <v>243266.08257053205</v>
      </c>
      <c r="AE48" s="2">
        <f t="shared" ca="1" si="13"/>
        <v>-20868.95033624093</v>
      </c>
      <c r="AF48" s="2">
        <f t="shared" ca="1" si="13"/>
        <v>-27101.113364207602</v>
      </c>
      <c r="AG48" s="2">
        <f t="shared" ca="1" si="13"/>
        <v>-34988.476364123555</v>
      </c>
      <c r="AH48" s="2">
        <f t="shared" ca="1" si="13"/>
        <v>100957.13492645105</v>
      </c>
      <c r="AI48" s="2">
        <f t="shared" ca="1" si="13"/>
        <v>91981.839413896334</v>
      </c>
      <c r="AJ48" s="2">
        <f t="shared" ca="1" si="13"/>
        <v>203990.04489077616</v>
      </c>
      <c r="AK48" s="2">
        <f t="shared" ca="1" si="13"/>
        <v>37740.50373009668</v>
      </c>
      <c r="AL48" s="2">
        <f t="shared" ca="1" si="13"/>
        <v>204296.76468046539</v>
      </c>
      <c r="AM48" s="2">
        <f t="shared" ca="1" si="13"/>
        <v>193559.19422678204</v>
      </c>
      <c r="AN48" s="2">
        <f t="shared" ca="1" si="13"/>
        <v>26081.030829183583</v>
      </c>
      <c r="AO48" s="2">
        <f t="shared" ca="1" si="13"/>
        <v>197873.29130389681</v>
      </c>
      <c r="AP48" s="2">
        <f t="shared" ca="1" si="13"/>
        <v>336707.53418296378</v>
      </c>
      <c r="AQ48" s="2">
        <f t="shared" ca="1" si="13"/>
        <v>175905.86531561724</v>
      </c>
      <c r="AR48" s="2">
        <f t="shared" ca="1" si="13"/>
        <v>174953.91544635152</v>
      </c>
      <c r="AS48" s="2">
        <f t="shared" ca="1" si="13"/>
        <v>211457.16615017428</v>
      </c>
      <c r="AT48" s="2">
        <f t="shared" ca="1" si="13"/>
        <v>291795.14847907308</v>
      </c>
      <c r="AU48" s="2">
        <f t="shared" ca="1" si="13"/>
        <v>298165.1906225165</v>
      </c>
      <c r="AV48" s="2">
        <f t="shared" ca="1" si="13"/>
        <v>371087.59641166066</v>
      </c>
      <c r="AW48" s="2">
        <f t="shared" ca="1" si="13"/>
        <v>186775.9064405245</v>
      </c>
      <c r="AX48" s="2">
        <f t="shared" ca="1" si="13"/>
        <v>378296.45946276613</v>
      </c>
      <c r="AY48" s="2">
        <f t="shared" ca="1" si="13"/>
        <v>610187.77625286591</v>
      </c>
      <c r="AZ48" s="2">
        <f t="shared" ca="1" si="13"/>
        <v>58605.366415737895</v>
      </c>
      <c r="BA48" s="2">
        <f t="shared" ca="1" si="13"/>
        <v>410884.45196055993</v>
      </c>
      <c r="BB48" s="2">
        <f t="shared" ca="1" si="13"/>
        <v>625578.68716786429</v>
      </c>
      <c r="BC48" s="2">
        <f t="shared" ca="1" si="13"/>
        <v>221227.18327054882</v>
      </c>
      <c r="BD48" s="2">
        <f t="shared" ca="1" si="13"/>
        <v>449529.14922285144</v>
      </c>
      <c r="BE48" s="2">
        <f t="shared" ca="1" si="13"/>
        <v>685522.65563876927</v>
      </c>
      <c r="BF48" s="2">
        <f t="shared" ca="1" si="13"/>
        <v>243216.41597105563</v>
      </c>
      <c r="BG48" s="2">
        <f t="shared" ca="1" si="13"/>
        <v>494823.17089939129</v>
      </c>
      <c r="BH48" s="2">
        <f t="shared" ca="1" si="13"/>
        <v>781053.70518652978</v>
      </c>
      <c r="BI48" s="2">
        <f t="shared" ca="1" si="13"/>
        <v>441454.00891815987</v>
      </c>
      <c r="BJ48" s="2">
        <f t="shared" ca="1" si="13"/>
        <v>750139.25099852565</v>
      </c>
      <c r="BK48" s="2">
        <f t="shared" ca="1" si="13"/>
        <v>1215329.8641746363</v>
      </c>
      <c r="BL48" s="2">
        <f t="shared" ca="1" si="13"/>
        <v>334489.39073877851</v>
      </c>
      <c r="BM48" s="2">
        <f t="shared" ca="1" si="13"/>
        <v>826378.50027102837</v>
      </c>
      <c r="BN48" s="2">
        <f t="shared" ca="1" si="13"/>
        <v>1333198.0654881524</v>
      </c>
      <c r="BO48" s="2">
        <f t="shared" ca="1" si="13"/>
        <v>378067.39412687602</v>
      </c>
      <c r="BP48" s="2">
        <f t="shared" ca="1" si="13"/>
        <v>916812.72145914636</v>
      </c>
      <c r="BQ48" s="2">
        <f t="shared" ca="1" si="13"/>
        <v>1473406.8591132574</v>
      </c>
    </row>
    <row r="49" spans="1:69" outlineLevel="1">
      <c r="E49" s="2" t="str">
        <f t="shared" ref="E49:BQ49" si="14" xml:space="preserve">  E$23</f>
        <v>VAT due</v>
      </c>
      <c r="F49" s="2">
        <f t="shared" si="14"/>
        <v>0</v>
      </c>
      <c r="G49" s="2" t="str">
        <f t="shared" si="14"/>
        <v>GBP</v>
      </c>
      <c r="H49" s="2">
        <f t="shared" ca="1" si="14"/>
        <v>8725523.313019868</v>
      </c>
      <c r="I49" s="2">
        <f t="shared" si="14"/>
        <v>0</v>
      </c>
      <c r="J49" s="2">
        <f t="shared" ca="1" si="14"/>
        <v>-40220</v>
      </c>
      <c r="K49" s="2">
        <f t="shared" ca="1" si="14"/>
        <v>-5263.6589175802555</v>
      </c>
      <c r="L49" s="2">
        <f t="shared" ca="1" si="14"/>
        <v>-5308.4285064132237</v>
      </c>
      <c r="M49" s="2">
        <f t="shared" ca="1" si="14"/>
        <v>-5466.8637306707278</v>
      </c>
      <c r="N49" s="2">
        <f t="shared" ca="1" si="14"/>
        <v>-5518.8572264172044</v>
      </c>
      <c r="O49" s="2">
        <f t="shared" ca="1" si="14"/>
        <v>-5572.17342286847</v>
      </c>
      <c r="P49" s="2">
        <f t="shared" ca="1" si="14"/>
        <v>-40742.627183915225</v>
      </c>
      <c r="Q49" s="2">
        <f t="shared" ca="1" si="14"/>
        <v>115055.05834463993</v>
      </c>
      <c r="R49" s="2">
        <f t="shared" ca="1" si="14"/>
        <v>15752.014109771204</v>
      </c>
      <c r="S49" s="2">
        <f t="shared" ca="1" si="14"/>
        <v>-4529.9689039090263</v>
      </c>
      <c r="T49" s="2">
        <f t="shared" ca="1" si="14"/>
        <v>-6119.1825207416014</v>
      </c>
      <c r="U49" s="2">
        <f t="shared" ca="1" si="14"/>
        <v>-6196.7550234558857</v>
      </c>
      <c r="V49" s="2">
        <f t="shared" ca="1" si="14"/>
        <v>-41390</v>
      </c>
      <c r="W49" s="2">
        <f t="shared" ca="1" si="14"/>
        <v>120918.73235148519</v>
      </c>
      <c r="X49" s="2">
        <f t="shared" ca="1" si="14"/>
        <v>10034.489581142527</v>
      </c>
      <c r="Y49" s="2">
        <f t="shared" ca="1" si="14"/>
        <v>-6786.9657976920826</v>
      </c>
      <c r="Z49" s="2">
        <f t="shared" ca="1" si="14"/>
        <v>-41890.879985079278</v>
      </c>
      <c r="AA49" s="2">
        <f t="shared" ca="1" si="14"/>
        <v>-6997.4292817000669</v>
      </c>
      <c r="AB49" s="2">
        <f t="shared" ca="1" si="14"/>
        <v>-7237.2107919126029</v>
      </c>
      <c r="AC49" s="2">
        <f t="shared" ca="1" si="14"/>
        <v>257500.72264414473</v>
      </c>
      <c r="AD49" s="2">
        <f t="shared" ca="1" si="14"/>
        <v>-20868.950336240916</v>
      </c>
      <c r="AE49" s="2">
        <f t="shared" ca="1" si="14"/>
        <v>-6232.1630279666733</v>
      </c>
      <c r="AF49" s="2">
        <f t="shared" ca="1" si="14"/>
        <v>-7887.362999915953</v>
      </c>
      <c r="AG49" s="2">
        <f t="shared" ca="1" si="14"/>
        <v>100957.13492645105</v>
      </c>
      <c r="AH49" s="2">
        <f t="shared" ca="1" si="14"/>
        <v>-8975.2955125547105</v>
      </c>
      <c r="AI49" s="2">
        <f t="shared" ca="1" si="14"/>
        <v>112008.20547687984</v>
      </c>
      <c r="AJ49" s="2">
        <f t="shared" ca="1" si="14"/>
        <v>37740.503730096687</v>
      </c>
      <c r="AK49" s="2">
        <f t="shared" ca="1" si="14"/>
        <v>166556.26095036871</v>
      </c>
      <c r="AL49" s="2">
        <f t="shared" ca="1" si="14"/>
        <v>-10737.570453683351</v>
      </c>
      <c r="AM49" s="2">
        <f t="shared" ca="1" si="14"/>
        <v>26081.030829183575</v>
      </c>
      <c r="AN49" s="2">
        <f t="shared" ca="1" si="14"/>
        <v>171792.26047471323</v>
      </c>
      <c r="AO49" s="2">
        <f t="shared" ca="1" si="14"/>
        <v>138834.24287906699</v>
      </c>
      <c r="AP49" s="2">
        <f t="shared" ca="1" si="14"/>
        <v>175905.86531561724</v>
      </c>
      <c r="AQ49" s="2">
        <f t="shared" ca="1" si="14"/>
        <v>-951.94986926572165</v>
      </c>
      <c r="AR49" s="2">
        <f t="shared" ca="1" si="14"/>
        <v>36503.250703822749</v>
      </c>
      <c r="AS49" s="2">
        <f t="shared" ca="1" si="14"/>
        <v>291795.14847907308</v>
      </c>
      <c r="AT49" s="2">
        <f t="shared" ca="1" si="14"/>
        <v>6370.0421434434393</v>
      </c>
      <c r="AU49" s="2">
        <f t="shared" ca="1" si="14"/>
        <v>72922.405789144133</v>
      </c>
      <c r="AV49" s="2">
        <f t="shared" ca="1" si="14"/>
        <v>186775.90644052444</v>
      </c>
      <c r="AW49" s="2">
        <f t="shared" ca="1" si="14"/>
        <v>191520.55302224163</v>
      </c>
      <c r="AX49" s="2">
        <f t="shared" ca="1" si="14"/>
        <v>231891.31679009981</v>
      </c>
      <c r="AY49" s="2">
        <f t="shared" ca="1" si="14"/>
        <v>58605.366415737888</v>
      </c>
      <c r="AZ49" s="2">
        <f t="shared" ca="1" si="14"/>
        <v>352279.08554482204</v>
      </c>
      <c r="BA49" s="2">
        <f t="shared" ca="1" si="14"/>
        <v>214694.23520730442</v>
      </c>
      <c r="BB49" s="2">
        <f t="shared" ca="1" si="14"/>
        <v>221227.18327054882</v>
      </c>
      <c r="BC49" s="2">
        <f t="shared" ca="1" si="14"/>
        <v>228301.96595230262</v>
      </c>
      <c r="BD49" s="2">
        <f t="shared" ca="1" si="14"/>
        <v>235993.5064159178</v>
      </c>
      <c r="BE49" s="2">
        <f t="shared" ca="1" si="14"/>
        <v>243216.41597105563</v>
      </c>
      <c r="BF49" s="2">
        <f t="shared" ca="1" si="14"/>
        <v>251606.75492833566</v>
      </c>
      <c r="BG49" s="2">
        <f t="shared" ca="1" si="14"/>
        <v>286230.53428713855</v>
      </c>
      <c r="BH49" s="2">
        <f t="shared" ca="1" si="14"/>
        <v>441454.00891815993</v>
      </c>
      <c r="BI49" s="2">
        <f t="shared" ca="1" si="14"/>
        <v>308685.24208036583</v>
      </c>
      <c r="BJ49" s="2">
        <f t="shared" ca="1" si="14"/>
        <v>465190.61317611061</v>
      </c>
      <c r="BK49" s="2">
        <f t="shared" ca="1" si="14"/>
        <v>334489.39073877846</v>
      </c>
      <c r="BL49" s="2">
        <f t="shared" ca="1" si="14"/>
        <v>491889.10953224986</v>
      </c>
      <c r="BM49" s="2">
        <f t="shared" ca="1" si="14"/>
        <v>506819.56521712401</v>
      </c>
      <c r="BN49" s="2">
        <f t="shared" ca="1" si="14"/>
        <v>378067.39412687602</v>
      </c>
      <c r="BO49" s="2">
        <f t="shared" ca="1" si="14"/>
        <v>538745.32733227033</v>
      </c>
      <c r="BP49" s="2">
        <f t="shared" ca="1" si="14"/>
        <v>556594.13765411102</v>
      </c>
      <c r="BQ49" s="2">
        <f t="shared" ca="1" si="14"/>
        <v>429412.62476073147</v>
      </c>
    </row>
    <row r="50" spans="1:69" outlineLevel="1">
      <c r="A50" s="18"/>
      <c r="B50" s="18"/>
      <c r="C50" s="30"/>
      <c r="D50" s="31"/>
      <c r="E50" s="4" t="str">
        <f xml:space="preserve">  Time!E$254</f>
        <v>VAT return this period flag</v>
      </c>
      <c r="F50" s="4">
        <f xml:space="preserve">  Time!F$254</f>
        <v>0</v>
      </c>
      <c r="G50" s="4" t="str">
        <f xml:space="preserve">  Time!G$254</f>
        <v>flag</v>
      </c>
      <c r="H50" s="4">
        <f xml:space="preserve">  Time!H$254</f>
        <v>20</v>
      </c>
      <c r="I50" s="4">
        <f xml:space="preserve">  Time!I$254</f>
        <v>0</v>
      </c>
      <c r="J50" s="4">
        <f xml:space="preserve">  Time!J$254</f>
        <v>0</v>
      </c>
      <c r="K50" s="4">
        <f xml:space="preserve">  Time!K$254</f>
        <v>1</v>
      </c>
      <c r="L50" s="4">
        <f xml:space="preserve">  Time!L$254</f>
        <v>0</v>
      </c>
      <c r="M50" s="4">
        <f xml:space="preserve">  Time!M$254</f>
        <v>0</v>
      </c>
      <c r="N50" s="4">
        <f xml:space="preserve">  Time!N$254</f>
        <v>1</v>
      </c>
      <c r="O50" s="4">
        <f xml:space="preserve">  Time!O$254</f>
        <v>0</v>
      </c>
      <c r="P50" s="4">
        <f xml:space="preserve">  Time!P$254</f>
        <v>0</v>
      </c>
      <c r="Q50" s="4">
        <f xml:space="preserve">  Time!Q$254</f>
        <v>1</v>
      </c>
      <c r="R50" s="4">
        <f xml:space="preserve">  Time!R$254</f>
        <v>0</v>
      </c>
      <c r="S50" s="4">
        <f xml:space="preserve">  Time!S$254</f>
        <v>0</v>
      </c>
      <c r="T50" s="4">
        <f xml:space="preserve">  Time!T$254</f>
        <v>1</v>
      </c>
      <c r="U50" s="4">
        <f xml:space="preserve">  Time!U$254</f>
        <v>0</v>
      </c>
      <c r="V50" s="4">
        <f xml:space="preserve">  Time!V$254</f>
        <v>0</v>
      </c>
      <c r="W50" s="4">
        <f xml:space="preserve">  Time!W$254</f>
        <v>1</v>
      </c>
      <c r="X50" s="4">
        <f xml:space="preserve">  Time!X$254</f>
        <v>0</v>
      </c>
      <c r="Y50" s="4">
        <f xml:space="preserve">  Time!Y$254</f>
        <v>0</v>
      </c>
      <c r="Z50" s="4">
        <f xml:space="preserve">  Time!Z$254</f>
        <v>1</v>
      </c>
      <c r="AA50" s="4">
        <f xml:space="preserve">  Time!AA$254</f>
        <v>0</v>
      </c>
      <c r="AB50" s="4">
        <f xml:space="preserve">  Time!AB$254</f>
        <v>0</v>
      </c>
      <c r="AC50" s="4">
        <f xml:space="preserve">  Time!AC$254</f>
        <v>1</v>
      </c>
      <c r="AD50" s="4">
        <f xml:space="preserve">  Time!AD$254</f>
        <v>0</v>
      </c>
      <c r="AE50" s="4">
        <f xml:space="preserve">  Time!AE$254</f>
        <v>0</v>
      </c>
      <c r="AF50" s="4">
        <f xml:space="preserve">  Time!AF$254</f>
        <v>1</v>
      </c>
      <c r="AG50" s="4">
        <f xml:space="preserve">  Time!AG$254</f>
        <v>0</v>
      </c>
      <c r="AH50" s="4">
        <f xml:space="preserve">  Time!AH$254</f>
        <v>0</v>
      </c>
      <c r="AI50" s="4">
        <f xml:space="preserve">  Time!AI$254</f>
        <v>1</v>
      </c>
      <c r="AJ50" s="4">
        <f xml:space="preserve">  Time!AJ$254</f>
        <v>0</v>
      </c>
      <c r="AK50" s="4">
        <f xml:space="preserve">  Time!AK$254</f>
        <v>0</v>
      </c>
      <c r="AL50" s="4">
        <f xml:space="preserve">  Time!AL$254</f>
        <v>1</v>
      </c>
      <c r="AM50" s="4">
        <f xml:space="preserve">  Time!AM$254</f>
        <v>0</v>
      </c>
      <c r="AN50" s="4">
        <f xml:space="preserve">  Time!AN$254</f>
        <v>0</v>
      </c>
      <c r="AO50" s="4">
        <f xml:space="preserve">  Time!AO$254</f>
        <v>1</v>
      </c>
      <c r="AP50" s="4">
        <f xml:space="preserve">  Time!AP$254</f>
        <v>0</v>
      </c>
      <c r="AQ50" s="4">
        <f xml:space="preserve">  Time!AQ$254</f>
        <v>0</v>
      </c>
      <c r="AR50" s="4">
        <f xml:space="preserve">  Time!AR$254</f>
        <v>1</v>
      </c>
      <c r="AS50" s="4">
        <f xml:space="preserve">  Time!AS$254</f>
        <v>0</v>
      </c>
      <c r="AT50" s="4">
        <f xml:space="preserve">  Time!AT$254</f>
        <v>0</v>
      </c>
      <c r="AU50" s="4">
        <f xml:space="preserve">  Time!AU$254</f>
        <v>1</v>
      </c>
      <c r="AV50" s="4">
        <f xml:space="preserve">  Time!AV$254</f>
        <v>0</v>
      </c>
      <c r="AW50" s="4">
        <f xml:space="preserve">  Time!AW$254</f>
        <v>0</v>
      </c>
      <c r="AX50" s="4">
        <f xml:space="preserve">  Time!AX$254</f>
        <v>1</v>
      </c>
      <c r="AY50" s="4">
        <f xml:space="preserve">  Time!AY$254</f>
        <v>0</v>
      </c>
      <c r="AZ50" s="4">
        <f xml:space="preserve">  Time!AZ$254</f>
        <v>0</v>
      </c>
      <c r="BA50" s="4">
        <f xml:space="preserve">  Time!BA$254</f>
        <v>1</v>
      </c>
      <c r="BB50" s="4">
        <f xml:space="preserve">  Time!BB$254</f>
        <v>0</v>
      </c>
      <c r="BC50" s="4">
        <f xml:space="preserve">  Time!BC$254</f>
        <v>0</v>
      </c>
      <c r="BD50" s="4">
        <f xml:space="preserve">  Time!BD$254</f>
        <v>1</v>
      </c>
      <c r="BE50" s="4">
        <f xml:space="preserve">  Time!BE$254</f>
        <v>0</v>
      </c>
      <c r="BF50" s="4">
        <f xml:space="preserve">  Time!BF$254</f>
        <v>0</v>
      </c>
      <c r="BG50" s="4">
        <f xml:space="preserve">  Time!BG$254</f>
        <v>1</v>
      </c>
      <c r="BH50" s="4">
        <f xml:space="preserve">  Time!BH$254</f>
        <v>0</v>
      </c>
      <c r="BI50" s="4">
        <f xml:space="preserve">  Time!BI$254</f>
        <v>0</v>
      </c>
      <c r="BJ50" s="4">
        <f xml:space="preserve">  Time!BJ$254</f>
        <v>1</v>
      </c>
      <c r="BK50" s="4">
        <f xml:space="preserve">  Time!BK$254</f>
        <v>0</v>
      </c>
      <c r="BL50" s="4">
        <f xml:space="preserve">  Time!BL$254</f>
        <v>0</v>
      </c>
      <c r="BM50" s="4">
        <f xml:space="preserve">  Time!BM$254</f>
        <v>1</v>
      </c>
      <c r="BN50" s="4">
        <f xml:space="preserve">  Time!BN$254</f>
        <v>0</v>
      </c>
      <c r="BO50" s="4">
        <f xml:space="preserve">  Time!BO$254</f>
        <v>0</v>
      </c>
      <c r="BP50" s="4">
        <f xml:space="preserve">  Time!BP$254</f>
        <v>1</v>
      </c>
      <c r="BQ50" s="4">
        <f xml:space="preserve">  Time!BQ$254</f>
        <v>0</v>
      </c>
    </row>
    <row r="51" spans="1:69" outlineLevel="1">
      <c r="E51" s="46" t="s">
        <v>198</v>
      </c>
      <c r="G51" s="46" t="s">
        <v>252</v>
      </c>
      <c r="H51" s="2">
        <f ca="1" xml:space="preserve"> SUM( J51:BQ51 )</f>
        <v>8296110.6882591359</v>
      </c>
      <c r="J51" s="2">
        <f t="shared" ref="J51:BQ51" ca="1" si="15" xml:space="preserve">  J50 * ( J48 + J49 )</f>
        <v>0</v>
      </c>
      <c r="K51" s="2">
        <f t="shared" ca="1" si="15"/>
        <v>-45483.658917580258</v>
      </c>
      <c r="L51" s="2">
        <f t="shared" ca="1" si="15"/>
        <v>0</v>
      </c>
      <c r="M51" s="2">
        <f t="shared" ca="1" si="15"/>
        <v>0</v>
      </c>
      <c r="N51" s="2">
        <f t="shared" ca="1" si="15"/>
        <v>-16294.149463501151</v>
      </c>
      <c r="O51" s="2">
        <f t="shared" ca="1" si="15"/>
        <v>0</v>
      </c>
      <c r="P51" s="2">
        <f t="shared" ca="1" si="15"/>
        <v>0</v>
      </c>
      <c r="Q51" s="2">
        <f t="shared" ca="1" si="15"/>
        <v>68740.257737856227</v>
      </c>
      <c r="R51" s="2">
        <f t="shared" ca="1" si="15"/>
        <v>0</v>
      </c>
      <c r="S51" s="2">
        <f t="shared" ca="1" si="15"/>
        <v>0</v>
      </c>
      <c r="T51" s="2">
        <f t="shared" ca="1" si="15"/>
        <v>5102.8626851205763</v>
      </c>
      <c r="U51" s="2">
        <f t="shared" ca="1" si="15"/>
        <v>0</v>
      </c>
      <c r="V51" s="2">
        <f t="shared" ca="1" si="15"/>
        <v>0</v>
      </c>
      <c r="W51" s="2">
        <f t="shared" ca="1" si="15"/>
        <v>73331.977328029301</v>
      </c>
      <c r="X51" s="2">
        <f t="shared" ca="1" si="15"/>
        <v>0</v>
      </c>
      <c r="Y51" s="2">
        <f t="shared" ca="1" si="15"/>
        <v>0</v>
      </c>
      <c r="Z51" s="2">
        <f t="shared" ca="1" si="15"/>
        <v>-38643.356201628834</v>
      </c>
      <c r="AA51" s="2">
        <f t="shared" ca="1" si="15"/>
        <v>0</v>
      </c>
      <c r="AB51" s="2">
        <f t="shared" ca="1" si="15"/>
        <v>0</v>
      </c>
      <c r="AC51" s="2">
        <f t="shared" ca="1" si="15"/>
        <v>243266.08257053205</v>
      </c>
      <c r="AD51" s="2">
        <f t="shared" ca="1" si="15"/>
        <v>0</v>
      </c>
      <c r="AE51" s="2">
        <f t="shared" ca="1" si="15"/>
        <v>0</v>
      </c>
      <c r="AF51" s="2">
        <f t="shared" ca="1" si="15"/>
        <v>-34988.476364123555</v>
      </c>
      <c r="AG51" s="2">
        <f t="shared" ca="1" si="15"/>
        <v>0</v>
      </c>
      <c r="AH51" s="2">
        <f t="shared" ca="1" si="15"/>
        <v>0</v>
      </c>
      <c r="AI51" s="2">
        <f t="shared" ca="1" si="15"/>
        <v>203990.04489077616</v>
      </c>
      <c r="AJ51" s="2">
        <f t="shared" ca="1" si="15"/>
        <v>0</v>
      </c>
      <c r="AK51" s="2">
        <f t="shared" ca="1" si="15"/>
        <v>0</v>
      </c>
      <c r="AL51" s="2">
        <f t="shared" ca="1" si="15"/>
        <v>193559.19422678204</v>
      </c>
      <c r="AM51" s="2">
        <f t="shared" ca="1" si="15"/>
        <v>0</v>
      </c>
      <c r="AN51" s="2">
        <f t="shared" ca="1" si="15"/>
        <v>0</v>
      </c>
      <c r="AO51" s="2">
        <f t="shared" ca="1" si="15"/>
        <v>336707.53418296378</v>
      </c>
      <c r="AP51" s="2">
        <f t="shared" ca="1" si="15"/>
        <v>0</v>
      </c>
      <c r="AQ51" s="2">
        <f t="shared" ca="1" si="15"/>
        <v>0</v>
      </c>
      <c r="AR51" s="2">
        <f t="shared" ca="1" si="15"/>
        <v>211457.16615017428</v>
      </c>
      <c r="AS51" s="2">
        <f t="shared" ca="1" si="15"/>
        <v>0</v>
      </c>
      <c r="AT51" s="2">
        <f t="shared" ca="1" si="15"/>
        <v>0</v>
      </c>
      <c r="AU51" s="2">
        <f t="shared" ca="1" si="15"/>
        <v>371087.59641166066</v>
      </c>
      <c r="AV51" s="2">
        <f t="shared" ca="1" si="15"/>
        <v>0</v>
      </c>
      <c r="AW51" s="2">
        <f t="shared" ca="1" si="15"/>
        <v>0</v>
      </c>
      <c r="AX51" s="2">
        <f t="shared" ca="1" si="15"/>
        <v>610187.77625286591</v>
      </c>
      <c r="AY51" s="2">
        <f t="shared" ca="1" si="15"/>
        <v>0</v>
      </c>
      <c r="AZ51" s="2">
        <f t="shared" ca="1" si="15"/>
        <v>0</v>
      </c>
      <c r="BA51" s="2">
        <f t="shared" ca="1" si="15"/>
        <v>625578.68716786429</v>
      </c>
      <c r="BB51" s="2">
        <f t="shared" ca="1" si="15"/>
        <v>0</v>
      </c>
      <c r="BC51" s="2">
        <f t="shared" ca="1" si="15"/>
        <v>0</v>
      </c>
      <c r="BD51" s="2">
        <f t="shared" ca="1" si="15"/>
        <v>685522.65563876927</v>
      </c>
      <c r="BE51" s="2">
        <f t="shared" ca="1" si="15"/>
        <v>0</v>
      </c>
      <c r="BF51" s="2">
        <f t="shared" ca="1" si="15"/>
        <v>0</v>
      </c>
      <c r="BG51" s="2">
        <f t="shared" ca="1" si="15"/>
        <v>781053.70518652978</v>
      </c>
      <c r="BH51" s="2">
        <f t="shared" ca="1" si="15"/>
        <v>0</v>
      </c>
      <c r="BI51" s="2">
        <f t="shared" ca="1" si="15"/>
        <v>0</v>
      </c>
      <c r="BJ51" s="2">
        <f t="shared" ca="1" si="15"/>
        <v>1215329.8641746363</v>
      </c>
      <c r="BK51" s="2">
        <f t="shared" ca="1" si="15"/>
        <v>0</v>
      </c>
      <c r="BL51" s="2">
        <f t="shared" ca="1" si="15"/>
        <v>0</v>
      </c>
      <c r="BM51" s="2">
        <f t="shared" ca="1" si="15"/>
        <v>1333198.0654881524</v>
      </c>
      <c r="BN51" s="2">
        <f t="shared" ca="1" si="15"/>
        <v>0</v>
      </c>
      <c r="BO51" s="2">
        <f t="shared" ca="1" si="15"/>
        <v>0</v>
      </c>
      <c r="BP51" s="2">
        <f t="shared" ca="1" si="15"/>
        <v>1473406.8591132574</v>
      </c>
      <c r="BQ51" s="2">
        <f t="shared" ca="1" si="15"/>
        <v>0</v>
      </c>
    </row>
    <row r="54" spans="1:69">
      <c r="B54" s="27" t="s">
        <v>265</v>
      </c>
    </row>
  </sheetData>
  <conditionalFormatting sqref="F2:F3">
    <cfRule type="cellIs" dxfId="175" priority="1" stopIfTrue="1" operator="notEqual">
      <formula>0</formula>
    </cfRule>
    <cfRule type="cellIs" dxfId="174" priority="2" stopIfTrue="1" operator="equal">
      <formula>""</formula>
    </cfRule>
  </conditionalFormatting>
  <conditionalFormatting sqref="J3:BQ3">
    <cfRule type="cellIs" dxfId="173" priority="8" operator="equal">
      <formula>"PPA ext."</formula>
    </cfRule>
    <cfRule type="cellIs" dxfId="172" priority="9" operator="equal">
      <formula>"Delay"</formula>
    </cfRule>
    <cfRule type="cellIs" dxfId="171" priority="10" operator="equal">
      <formula>"Fin Close"</formula>
    </cfRule>
    <cfRule type="cellIs" dxfId="170" priority="11" stopIfTrue="1" operator="equal">
      <formula>"Construction"</formula>
    </cfRule>
    <cfRule type="cellIs" dxfId="169"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BQ8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2"/>
  <cols>
    <col min="1" max="2" width="1.453125" style="27" customWidth="1"/>
    <col min="3" max="3" width="1.453125" style="61" customWidth="1"/>
    <col min="4" max="4" width="1.453125" style="88" customWidth="1"/>
    <col min="5" max="5" width="44.453125" style="46" bestFit="1" customWidth="1"/>
    <col min="6" max="6" width="20.54296875" style="46" bestFit="1" customWidth="1"/>
    <col min="7" max="8" width="13.1796875" style="46" bestFit="1" customWidth="1"/>
    <col min="9" max="9" width="3.453125" style="46" customWidth="1"/>
    <col min="10" max="10" width="12.36328125" style="46" bestFit="1" customWidth="1"/>
    <col min="11" max="11" width="12.08984375" style="46" bestFit="1" customWidth="1"/>
    <col min="12" max="12" width="11.90625" style="46" bestFit="1" customWidth="1"/>
    <col min="13" max="13" width="12.36328125" style="46" bestFit="1" customWidth="1"/>
    <col min="14" max="14" width="12.1796875" style="46" bestFit="1" customWidth="1"/>
    <col min="15" max="15" width="11.9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90625" style="46" bestFit="1" customWidth="1"/>
    <col min="22" max="22" width="12.36328125" style="46" bestFit="1" customWidth="1"/>
    <col min="23" max="23" width="12.08984375" style="46" bestFit="1" customWidth="1"/>
    <col min="24" max="24" width="11.90625" style="46" bestFit="1" customWidth="1"/>
    <col min="25" max="25" width="12.36328125" style="46" bestFit="1" customWidth="1"/>
    <col min="26" max="26" width="12.1796875" style="46" bestFit="1" customWidth="1"/>
    <col min="27" max="27" width="11.9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90625" style="46" bestFit="1" customWidth="1"/>
    <col min="34" max="34" width="12.36328125" style="46" bestFit="1" customWidth="1"/>
    <col min="35" max="35" width="12.08984375" style="46" bestFit="1" customWidth="1"/>
    <col min="36" max="36" width="11.90625" style="46" bestFit="1" customWidth="1"/>
    <col min="37" max="37" width="12.36328125" style="46" bestFit="1" customWidth="1"/>
    <col min="38" max="38" width="12.1796875" style="46" bestFit="1" customWidth="1"/>
    <col min="39" max="39" width="11.9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90625" style="46" bestFit="1" customWidth="1"/>
    <col min="46" max="46" width="12.36328125" style="46" bestFit="1" customWidth="1"/>
    <col min="47" max="47" width="12.08984375" style="46" bestFit="1" customWidth="1"/>
    <col min="48" max="48" width="11.90625" style="46" bestFit="1" customWidth="1"/>
    <col min="49" max="49" width="12.36328125" style="46" bestFit="1" customWidth="1"/>
    <col min="50" max="50" width="12.1796875" style="46" bestFit="1" customWidth="1"/>
    <col min="51" max="51" width="11.9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90625" style="46" bestFit="1" customWidth="1"/>
    <col min="58" max="58" width="12.36328125" style="46" bestFit="1" customWidth="1"/>
    <col min="59" max="59" width="12.08984375" style="46" bestFit="1" customWidth="1"/>
    <col min="60" max="60" width="11.90625" style="46" bestFit="1" customWidth="1"/>
    <col min="61" max="61" width="12.453125" style="46" bestFit="1" customWidth="1"/>
    <col min="62" max="62" width="12.1796875" style="46" bestFit="1" customWidth="1"/>
    <col min="63" max="63" width="11.9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9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Corporation tax</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262</v>
      </c>
    </row>
    <row r="9" spans="1:69" outlineLevel="1">
      <c r="A9" s="18"/>
      <c r="B9" s="18"/>
      <c r="C9" s="30"/>
      <c r="D9" s="31"/>
      <c r="E9" s="4" t="str">
        <f xml:space="preserve">  'Income Statement'!E$11</f>
        <v>EBITDA</v>
      </c>
      <c r="F9" s="4">
        <f xml:space="preserve">  'Income Statement'!F$11</f>
        <v>0</v>
      </c>
      <c r="G9" s="4" t="str">
        <f xml:space="preserve">  'Income Statement'!G$11</f>
        <v>GBP</v>
      </c>
      <c r="H9" s="4">
        <f ca="1" xml:space="preserve">  'Income Statement'!H$11</f>
        <v>28620159.418846376</v>
      </c>
      <c r="I9" s="4">
        <f xml:space="preserve">  'Income Statement'!I$11</f>
        <v>0</v>
      </c>
      <c r="J9" s="4">
        <f ca="1" xml:space="preserve">  'Income Statement'!J$11</f>
        <v>-52200</v>
      </c>
      <c r="K9" s="4">
        <f ca="1" xml:space="preserve">  'Income Statement'!K$11</f>
        <v>-52636.589175802554</v>
      </c>
      <c r="L9" s="4">
        <f ca="1" xml:space="preserve">  'Income Statement'!L$11</f>
        <v>-53084.285064132237</v>
      </c>
      <c r="M9" s="4">
        <f ca="1" xml:space="preserve">  'Income Statement'!M$11</f>
        <v>-54668.637306707271</v>
      </c>
      <c r="N9" s="4">
        <f ca="1" xml:space="preserve">  'Income Statement'!N$11</f>
        <v>-55188.572264172042</v>
      </c>
      <c r="O9" s="4">
        <f ca="1" xml:space="preserve">  'Income Statement'!O$11</f>
        <v>-55721.734228684698</v>
      </c>
      <c r="P9" s="4">
        <f ca="1" xml:space="preserve">  'Income Statement'!P$11</f>
        <v>-57426.271839152228</v>
      </c>
      <c r="Q9" s="4">
        <f ca="1" xml:space="preserve">  'Income Statement'!Q$11</f>
        <v>-7667.6029039260175</v>
      </c>
      <c r="R9" s="4">
        <f ca="1" xml:space="preserve">  'Income Statement'!R$11</f>
        <v>685.26147343144112</v>
      </c>
      <c r="S9" s="4">
        <f ca="1" xml:space="preserve">  'Income Statement'!S$11</f>
        <v>-523.64198731275246</v>
      </c>
      <c r="T9" s="4">
        <f ca="1" xml:space="preserve">  'Income Statement'!T$11</f>
        <v>-1191.8252074160118</v>
      </c>
      <c r="U9" s="4">
        <f ca="1" xml:space="preserve">  'Income Statement'!U$11</f>
        <v>-1967.5502345588538</v>
      </c>
      <c r="V9" s="4">
        <f ca="1" xml:space="preserve">  'Income Statement'!V$11</f>
        <v>-3900.0000000000073</v>
      </c>
      <c r="W9" s="4">
        <f ca="1" xml:space="preserve">  'Income Statement'!W$11</f>
        <v>48295.803598249338</v>
      </c>
      <c r="X9" s="4">
        <f ca="1" xml:space="preserve">  'Income Statement'!X$11</f>
        <v>54318.655724401855</v>
      </c>
      <c r="Y9" s="4">
        <f ca="1" xml:space="preserve">  'Income Statement'!Y$11</f>
        <v>52130.342023079189</v>
      </c>
      <c r="Z9" s="4">
        <f ca="1" xml:space="preserve">  'Income Statement'!Z$11</f>
        <v>51091.200149207209</v>
      </c>
      <c r="AA9" s="4">
        <f ca="1" xml:space="preserve">  'Income Statement'!AA$11</f>
        <v>50025.707182999344</v>
      </c>
      <c r="AB9" s="4">
        <f ca="1" xml:space="preserve">  'Income Statement'!AB$11</f>
        <v>47627.892080873979</v>
      </c>
      <c r="AC9" s="4">
        <f ca="1" xml:space="preserve">  'Income Statement'!AC$11</f>
        <v>106431.72764110792</v>
      </c>
      <c r="AD9" s="4">
        <f ca="1" xml:space="preserve">  'Income Statement'!AD$11</f>
        <v>105109.9483861528</v>
      </c>
      <c r="AE9" s="4">
        <f ca="1" xml:space="preserve">  'Income Statement'!AE$11</f>
        <v>102454.41677211077</v>
      </c>
      <c r="AF9" s="4">
        <f ca="1" xml:space="preserve">  'Income Statement'!AF$11</f>
        <v>101126.37000084046</v>
      </c>
      <c r="AG9" s="4">
        <f ca="1" xml:space="preserve">  'Income Statement'!AG$11</f>
        <v>159571.34926451044</v>
      </c>
      <c r="AH9" s="4">
        <f ca="1" xml:space="preserve">  'Income Statement'!AH$11</f>
        <v>144247.04487445287</v>
      </c>
      <c r="AI9" s="4">
        <f ca="1" xml:space="preserve">  'Income Statement'!AI$11</f>
        <v>147744.470542653</v>
      </c>
      <c r="AJ9" s="4">
        <f ca="1" xml:space="preserve">  'Income Statement'!AJ$11</f>
        <v>151542.15027489996</v>
      </c>
      <c r="AK9" s="4">
        <f ca="1" xml:space="preserve">  'Income Statement'!AK$11</f>
        <v>214146.52299310511</v>
      </c>
      <c r="AL9" s="4">
        <f ca="1" xml:space="preserve">  'Income Statement'!AL$11</f>
        <v>218311.94589381106</v>
      </c>
      <c r="AM9" s="4">
        <f ca="1" xml:space="preserve">  'Income Statement'!AM$11</f>
        <v>222834.95039658749</v>
      </c>
      <c r="AN9" s="4">
        <f ca="1" xml:space="preserve">  'Income Statement'!AN$11</f>
        <v>286157.26818366215</v>
      </c>
      <c r="AO9" s="4">
        <f ca="1" xml:space="preserve">  'Income Statement'!AO$11</f>
        <v>291236.02915218205</v>
      </c>
      <c r="AP9" s="4">
        <f ca="1" xml:space="preserve">  'Income Statement'!AP$11</f>
        <v>356468.62593682233</v>
      </c>
      <c r="AQ9" s="4">
        <f ca="1" xml:space="preserve">  'Income Statement'!AQ$11</f>
        <v>360646.03551622567</v>
      </c>
      <c r="AR9" s="4">
        <f ca="1" xml:space="preserve">  'Income Statement'!AR$11</f>
        <v>366965.62281422492</v>
      </c>
      <c r="AS9" s="4">
        <f ca="1" xml:space="preserve">  'Income Statement'!AS$11</f>
        <v>433201.61885766347</v>
      </c>
      <c r="AT9" s="4">
        <f ca="1" xml:space="preserve">  'Income Statement'!AT$11</f>
        <v>438595.99869625905</v>
      </c>
      <c r="AU9" s="4">
        <f ca="1" xml:space="preserve">  'Income Statement'!AU$11</f>
        <v>445567.60088937799</v>
      </c>
      <c r="AV9" s="4">
        <f ca="1" xml:space="preserve">  'Income Statement'!AV$11</f>
        <v>513174.52487996756</v>
      </c>
      <c r="AW9" s="4">
        <f ca="1" xml:space="preserve">  'Income Statement'!AW$11</f>
        <v>519584.78337262332</v>
      </c>
      <c r="AX9" s="4">
        <f ca="1" xml:space="preserve">  'Income Statement'!AX$11</f>
        <v>587926.54464323306</v>
      </c>
      <c r="AY9" s="4">
        <f ca="1" xml:space="preserve">  'Income Statement'!AY$11</f>
        <v>596982.97222091816</v>
      </c>
      <c r="AZ9" s="4">
        <f ca="1" xml:space="preserve">  'Income Statement'!AZ$11</f>
        <v>664856.64108147239</v>
      </c>
      <c r="BA9" s="4">
        <f ca="1" xml:space="preserve">  'Income Statement'!BA$11</f>
        <v>735023.36496116361</v>
      </c>
      <c r="BB9" s="4">
        <f ca="1" xml:space="preserve">  'Income Statement'!BB$11</f>
        <v>745482.82597049908</v>
      </c>
      <c r="BC9" s="4">
        <f ca="1" xml:space="preserve">  'Income Statement'!BC$11</f>
        <v>815106.45812503842</v>
      </c>
      <c r="BD9" s="4">
        <f ca="1" xml:space="preserve">  'Income Statement'!BD$11</f>
        <v>887775.88325719081</v>
      </c>
      <c r="BE9" s="4">
        <f ca="1" xml:space="preserve">  'Income Statement'!BE$11</f>
        <v>900250.51462405594</v>
      </c>
      <c r="BF9" s="4">
        <f ca="1" xml:space="preserve">  'Income Statement'!BF$11</f>
        <v>966881.76384714292</v>
      </c>
      <c r="BG9" s="4">
        <f ca="1" xml:space="preserve">  'Income Statement'!BG$11</f>
        <v>1045959.279288227</v>
      </c>
      <c r="BH9" s="4">
        <f ca="1" xml:space="preserve">  'Income Statement'!BH$11</f>
        <v>1126556.4899215132</v>
      </c>
      <c r="BI9" s="4">
        <f ca="1" xml:space="preserve">  'Income Statement'!BI$11</f>
        <v>1206373.9328553556</v>
      </c>
      <c r="BJ9" s="4">
        <f ca="1" xml:space="preserve">  'Income Statement'!BJ$11</f>
        <v>1289090.1972053763</v>
      </c>
      <c r="BK9" s="4">
        <f ca="1" xml:space="preserve">  'Income Statement'!BK$11</f>
        <v>1373616.0283552604</v>
      </c>
      <c r="BL9" s="4">
        <f ca="1" xml:space="preserve">  'Income Statement'!BL$11</f>
        <v>1457479.832938516</v>
      </c>
      <c r="BM9" s="4">
        <f ca="1" xml:space="preserve">  'Income Statement'!BM$11</f>
        <v>1545015.3091092939</v>
      </c>
      <c r="BN9" s="4">
        <f ca="1" xml:space="preserve">  'Income Statement'!BN$11</f>
        <v>1633831.8905769372</v>
      </c>
      <c r="BO9" s="4">
        <f ca="1" xml:space="preserve">  'Income Statement'!BO$11</f>
        <v>1722562.3210078047</v>
      </c>
      <c r="BP9" s="4">
        <f ca="1" xml:space="preserve">  'Income Statement'!BP$11</f>
        <v>1816143.9959894854</v>
      </c>
      <c r="BQ9" s="4">
        <f ca="1" xml:space="preserve">  'Income Statement'!BQ$11</f>
        <v>1910126.0155082804</v>
      </c>
    </row>
    <row r="10" spans="1:69" outlineLevel="1">
      <c r="E10" s="46" t="s">
        <v>262</v>
      </c>
      <c r="G10" s="46" t="s">
        <v>252</v>
      </c>
      <c r="H10" s="2">
        <f ca="1" xml:space="preserve"> SUM( J10:BQ10 )</f>
        <v>28620159.418846376</v>
      </c>
      <c r="J10" s="2">
        <f t="shared" ref="J10:BQ10" ca="1" si="0" xml:space="preserve">  J9</f>
        <v>-52200</v>
      </c>
      <c r="K10" s="2">
        <f t="shared" ca="1" si="0"/>
        <v>-52636.589175802554</v>
      </c>
      <c r="L10" s="2">
        <f t="shared" ca="1" si="0"/>
        <v>-53084.285064132237</v>
      </c>
      <c r="M10" s="2">
        <f t="shared" ca="1" si="0"/>
        <v>-54668.637306707271</v>
      </c>
      <c r="N10" s="2">
        <f t="shared" ca="1" si="0"/>
        <v>-55188.572264172042</v>
      </c>
      <c r="O10" s="2">
        <f t="shared" ca="1" si="0"/>
        <v>-55721.734228684698</v>
      </c>
      <c r="P10" s="2">
        <f t="shared" ca="1" si="0"/>
        <v>-57426.271839152228</v>
      </c>
      <c r="Q10" s="2">
        <f t="shared" ca="1" si="0"/>
        <v>-7667.6029039260175</v>
      </c>
      <c r="R10" s="2">
        <f t="shared" ca="1" si="0"/>
        <v>685.26147343144112</v>
      </c>
      <c r="S10" s="2">
        <f t="shared" ca="1" si="0"/>
        <v>-523.64198731275246</v>
      </c>
      <c r="T10" s="2">
        <f t="shared" ca="1" si="0"/>
        <v>-1191.8252074160118</v>
      </c>
      <c r="U10" s="2">
        <f t="shared" ca="1" si="0"/>
        <v>-1967.5502345588538</v>
      </c>
      <c r="V10" s="2">
        <f t="shared" ca="1" si="0"/>
        <v>-3900.0000000000073</v>
      </c>
      <c r="W10" s="2">
        <f t="shared" ca="1" si="0"/>
        <v>48295.803598249338</v>
      </c>
      <c r="X10" s="2">
        <f t="shared" ca="1" si="0"/>
        <v>54318.655724401855</v>
      </c>
      <c r="Y10" s="2">
        <f t="shared" ca="1" si="0"/>
        <v>52130.342023079189</v>
      </c>
      <c r="Z10" s="2">
        <f t="shared" ca="1" si="0"/>
        <v>51091.200149207209</v>
      </c>
      <c r="AA10" s="2">
        <f t="shared" ca="1" si="0"/>
        <v>50025.707182999344</v>
      </c>
      <c r="AB10" s="2">
        <f t="shared" ca="1" si="0"/>
        <v>47627.892080873979</v>
      </c>
      <c r="AC10" s="2">
        <f t="shared" ca="1" si="0"/>
        <v>106431.72764110792</v>
      </c>
      <c r="AD10" s="2">
        <f t="shared" ca="1" si="0"/>
        <v>105109.9483861528</v>
      </c>
      <c r="AE10" s="2">
        <f t="shared" ca="1" si="0"/>
        <v>102454.41677211077</v>
      </c>
      <c r="AF10" s="2">
        <f t="shared" ca="1" si="0"/>
        <v>101126.37000084046</v>
      </c>
      <c r="AG10" s="2">
        <f t="shared" ca="1" si="0"/>
        <v>159571.34926451044</v>
      </c>
      <c r="AH10" s="2">
        <f t="shared" ca="1" si="0"/>
        <v>144247.04487445287</v>
      </c>
      <c r="AI10" s="2">
        <f t="shared" ca="1" si="0"/>
        <v>147744.470542653</v>
      </c>
      <c r="AJ10" s="2">
        <f t="shared" ca="1" si="0"/>
        <v>151542.15027489996</v>
      </c>
      <c r="AK10" s="2">
        <f t="shared" ca="1" si="0"/>
        <v>214146.52299310511</v>
      </c>
      <c r="AL10" s="2">
        <f t="shared" ca="1" si="0"/>
        <v>218311.94589381106</v>
      </c>
      <c r="AM10" s="2">
        <f t="shared" ca="1" si="0"/>
        <v>222834.95039658749</v>
      </c>
      <c r="AN10" s="2">
        <f t="shared" ca="1" si="0"/>
        <v>286157.26818366215</v>
      </c>
      <c r="AO10" s="2">
        <f t="shared" ca="1" si="0"/>
        <v>291236.02915218205</v>
      </c>
      <c r="AP10" s="2">
        <f t="shared" ca="1" si="0"/>
        <v>356468.62593682233</v>
      </c>
      <c r="AQ10" s="2">
        <f t="shared" ca="1" si="0"/>
        <v>360646.03551622567</v>
      </c>
      <c r="AR10" s="2">
        <f t="shared" ca="1" si="0"/>
        <v>366965.62281422492</v>
      </c>
      <c r="AS10" s="2">
        <f t="shared" ca="1" si="0"/>
        <v>433201.61885766347</v>
      </c>
      <c r="AT10" s="2">
        <f t="shared" ca="1" si="0"/>
        <v>438595.99869625905</v>
      </c>
      <c r="AU10" s="2">
        <f t="shared" ca="1" si="0"/>
        <v>445567.60088937799</v>
      </c>
      <c r="AV10" s="2">
        <f t="shared" ca="1" si="0"/>
        <v>513174.52487996756</v>
      </c>
      <c r="AW10" s="2">
        <f t="shared" ca="1" si="0"/>
        <v>519584.78337262332</v>
      </c>
      <c r="AX10" s="2">
        <f t="shared" ca="1" si="0"/>
        <v>587926.54464323306</v>
      </c>
      <c r="AY10" s="2">
        <f t="shared" ca="1" si="0"/>
        <v>596982.97222091816</v>
      </c>
      <c r="AZ10" s="2">
        <f t="shared" ca="1" si="0"/>
        <v>664856.64108147239</v>
      </c>
      <c r="BA10" s="2">
        <f t="shared" ca="1" si="0"/>
        <v>735023.36496116361</v>
      </c>
      <c r="BB10" s="2">
        <f t="shared" ca="1" si="0"/>
        <v>745482.82597049908</v>
      </c>
      <c r="BC10" s="2">
        <f t="shared" ca="1" si="0"/>
        <v>815106.45812503842</v>
      </c>
      <c r="BD10" s="2">
        <f t="shared" ca="1" si="0"/>
        <v>887775.88325719081</v>
      </c>
      <c r="BE10" s="2">
        <f t="shared" ca="1" si="0"/>
        <v>900250.51462405594</v>
      </c>
      <c r="BF10" s="2">
        <f t="shared" ca="1" si="0"/>
        <v>966881.76384714292</v>
      </c>
      <c r="BG10" s="2">
        <f t="shared" ca="1" si="0"/>
        <v>1045959.279288227</v>
      </c>
      <c r="BH10" s="2">
        <f t="shared" ca="1" si="0"/>
        <v>1126556.4899215132</v>
      </c>
      <c r="BI10" s="2">
        <f t="shared" ca="1" si="0"/>
        <v>1206373.9328553556</v>
      </c>
      <c r="BJ10" s="2">
        <f t="shared" ca="1" si="0"/>
        <v>1289090.1972053763</v>
      </c>
      <c r="BK10" s="2">
        <f t="shared" ca="1" si="0"/>
        <v>1373616.0283552604</v>
      </c>
      <c r="BL10" s="2">
        <f t="shared" ca="1" si="0"/>
        <v>1457479.832938516</v>
      </c>
      <c r="BM10" s="2">
        <f t="shared" ca="1" si="0"/>
        <v>1545015.3091092939</v>
      </c>
      <c r="BN10" s="2">
        <f t="shared" ca="1" si="0"/>
        <v>1633831.8905769372</v>
      </c>
      <c r="BO10" s="2">
        <f t="shared" ca="1" si="0"/>
        <v>1722562.3210078047</v>
      </c>
      <c r="BP10" s="2">
        <f t="shared" ca="1" si="0"/>
        <v>1816143.9959894854</v>
      </c>
      <c r="BQ10" s="2">
        <f t="shared" ca="1" si="0"/>
        <v>1910126.0155082804</v>
      </c>
    </row>
    <row r="13" spans="1:69">
      <c r="B13" s="27" t="s">
        <v>17</v>
      </c>
    </row>
    <row r="14" spans="1:69" outlineLevel="1">
      <c r="E14" s="2" t="str">
        <f t="shared" ref="E14:BQ14" si="1" xml:space="preserve">  E$10</f>
        <v>Taxable income / (Tax losses arising)</v>
      </c>
      <c r="F14" s="2">
        <f t="shared" si="1"/>
        <v>0</v>
      </c>
      <c r="G14" s="2" t="str">
        <f t="shared" si="1"/>
        <v>GBP</v>
      </c>
      <c r="H14" s="2">
        <f t="shared" ca="1" si="1"/>
        <v>28620159.418846376</v>
      </c>
      <c r="I14" s="2">
        <f t="shared" si="1"/>
        <v>0</v>
      </c>
      <c r="J14" s="2">
        <f t="shared" ca="1" si="1"/>
        <v>-52200</v>
      </c>
      <c r="K14" s="2">
        <f t="shared" ca="1" si="1"/>
        <v>-52636.589175802554</v>
      </c>
      <c r="L14" s="2">
        <f t="shared" ca="1" si="1"/>
        <v>-53084.285064132237</v>
      </c>
      <c r="M14" s="2">
        <f t="shared" ca="1" si="1"/>
        <v>-54668.637306707271</v>
      </c>
      <c r="N14" s="2">
        <f t="shared" ca="1" si="1"/>
        <v>-55188.572264172042</v>
      </c>
      <c r="O14" s="2">
        <f t="shared" ca="1" si="1"/>
        <v>-55721.734228684698</v>
      </c>
      <c r="P14" s="2">
        <f t="shared" ca="1" si="1"/>
        <v>-57426.271839152228</v>
      </c>
      <c r="Q14" s="2">
        <f t="shared" ca="1" si="1"/>
        <v>-7667.6029039260175</v>
      </c>
      <c r="R14" s="2">
        <f t="shared" ca="1" si="1"/>
        <v>685.26147343144112</v>
      </c>
      <c r="S14" s="2">
        <f t="shared" ca="1" si="1"/>
        <v>-523.64198731275246</v>
      </c>
      <c r="T14" s="2">
        <f t="shared" ca="1" si="1"/>
        <v>-1191.8252074160118</v>
      </c>
      <c r="U14" s="2">
        <f t="shared" ca="1" si="1"/>
        <v>-1967.5502345588538</v>
      </c>
      <c r="V14" s="2">
        <f t="shared" ca="1" si="1"/>
        <v>-3900.0000000000073</v>
      </c>
      <c r="W14" s="2">
        <f t="shared" ca="1" si="1"/>
        <v>48295.803598249338</v>
      </c>
      <c r="X14" s="2">
        <f t="shared" ca="1" si="1"/>
        <v>54318.655724401855</v>
      </c>
      <c r="Y14" s="2">
        <f t="shared" ca="1" si="1"/>
        <v>52130.342023079189</v>
      </c>
      <c r="Z14" s="2">
        <f t="shared" ca="1" si="1"/>
        <v>51091.200149207209</v>
      </c>
      <c r="AA14" s="2">
        <f t="shared" ca="1" si="1"/>
        <v>50025.707182999344</v>
      </c>
      <c r="AB14" s="2">
        <f t="shared" ca="1" si="1"/>
        <v>47627.892080873979</v>
      </c>
      <c r="AC14" s="2">
        <f t="shared" ca="1" si="1"/>
        <v>106431.72764110792</v>
      </c>
      <c r="AD14" s="2">
        <f t="shared" ca="1" si="1"/>
        <v>105109.9483861528</v>
      </c>
      <c r="AE14" s="2">
        <f t="shared" ca="1" si="1"/>
        <v>102454.41677211077</v>
      </c>
      <c r="AF14" s="2">
        <f t="shared" ca="1" si="1"/>
        <v>101126.37000084046</v>
      </c>
      <c r="AG14" s="2">
        <f t="shared" ca="1" si="1"/>
        <v>159571.34926451044</v>
      </c>
      <c r="AH14" s="2">
        <f t="shared" ca="1" si="1"/>
        <v>144247.04487445287</v>
      </c>
      <c r="AI14" s="2">
        <f t="shared" ca="1" si="1"/>
        <v>147744.470542653</v>
      </c>
      <c r="AJ14" s="2">
        <f t="shared" ca="1" si="1"/>
        <v>151542.15027489996</v>
      </c>
      <c r="AK14" s="2">
        <f t="shared" ca="1" si="1"/>
        <v>214146.52299310511</v>
      </c>
      <c r="AL14" s="2">
        <f t="shared" ca="1" si="1"/>
        <v>218311.94589381106</v>
      </c>
      <c r="AM14" s="2">
        <f t="shared" ca="1" si="1"/>
        <v>222834.95039658749</v>
      </c>
      <c r="AN14" s="2">
        <f t="shared" ca="1" si="1"/>
        <v>286157.26818366215</v>
      </c>
      <c r="AO14" s="2">
        <f t="shared" ca="1" si="1"/>
        <v>291236.02915218205</v>
      </c>
      <c r="AP14" s="2">
        <f t="shared" ca="1" si="1"/>
        <v>356468.62593682233</v>
      </c>
      <c r="AQ14" s="2">
        <f t="shared" ca="1" si="1"/>
        <v>360646.03551622567</v>
      </c>
      <c r="AR14" s="2">
        <f t="shared" ca="1" si="1"/>
        <v>366965.62281422492</v>
      </c>
      <c r="AS14" s="2">
        <f t="shared" ca="1" si="1"/>
        <v>433201.61885766347</v>
      </c>
      <c r="AT14" s="2">
        <f t="shared" ca="1" si="1"/>
        <v>438595.99869625905</v>
      </c>
      <c r="AU14" s="2">
        <f t="shared" ca="1" si="1"/>
        <v>445567.60088937799</v>
      </c>
      <c r="AV14" s="2">
        <f t="shared" ca="1" si="1"/>
        <v>513174.52487996756</v>
      </c>
      <c r="AW14" s="2">
        <f t="shared" ca="1" si="1"/>
        <v>519584.78337262332</v>
      </c>
      <c r="AX14" s="2">
        <f t="shared" ca="1" si="1"/>
        <v>587926.54464323306</v>
      </c>
      <c r="AY14" s="2">
        <f t="shared" ca="1" si="1"/>
        <v>596982.97222091816</v>
      </c>
      <c r="AZ14" s="2">
        <f t="shared" ca="1" si="1"/>
        <v>664856.64108147239</v>
      </c>
      <c r="BA14" s="2">
        <f t="shared" ca="1" si="1"/>
        <v>735023.36496116361</v>
      </c>
      <c r="BB14" s="2">
        <f t="shared" ca="1" si="1"/>
        <v>745482.82597049908</v>
      </c>
      <c r="BC14" s="2">
        <f t="shared" ca="1" si="1"/>
        <v>815106.45812503842</v>
      </c>
      <c r="BD14" s="2">
        <f t="shared" ca="1" si="1"/>
        <v>887775.88325719081</v>
      </c>
      <c r="BE14" s="2">
        <f t="shared" ca="1" si="1"/>
        <v>900250.51462405594</v>
      </c>
      <c r="BF14" s="2">
        <f t="shared" ca="1" si="1"/>
        <v>966881.76384714292</v>
      </c>
      <c r="BG14" s="2">
        <f t="shared" ca="1" si="1"/>
        <v>1045959.279288227</v>
      </c>
      <c r="BH14" s="2">
        <f t="shared" ca="1" si="1"/>
        <v>1126556.4899215132</v>
      </c>
      <c r="BI14" s="2">
        <f t="shared" ca="1" si="1"/>
        <v>1206373.9328553556</v>
      </c>
      <c r="BJ14" s="2">
        <f t="shared" ca="1" si="1"/>
        <v>1289090.1972053763</v>
      </c>
      <c r="BK14" s="2">
        <f t="shared" ca="1" si="1"/>
        <v>1373616.0283552604</v>
      </c>
      <c r="BL14" s="2">
        <f t="shared" ca="1" si="1"/>
        <v>1457479.832938516</v>
      </c>
      <c r="BM14" s="2">
        <f t="shared" ca="1" si="1"/>
        <v>1545015.3091092939</v>
      </c>
      <c r="BN14" s="2">
        <f t="shared" ca="1" si="1"/>
        <v>1633831.8905769372</v>
      </c>
      <c r="BO14" s="2">
        <f t="shared" ca="1" si="1"/>
        <v>1722562.3210078047</v>
      </c>
      <c r="BP14" s="2">
        <f t="shared" ca="1" si="1"/>
        <v>1816143.9959894854</v>
      </c>
      <c r="BQ14" s="2">
        <f t="shared" ca="1" si="1"/>
        <v>1910126.0155082804</v>
      </c>
    </row>
    <row r="15" spans="1:69" outlineLevel="1">
      <c r="E15" s="46" t="s">
        <v>17</v>
      </c>
      <c r="G15" s="46" t="s">
        <v>252</v>
      </c>
      <c r="H15" s="2">
        <f ca="1" xml:space="preserve"> SUM( J15:BQ15 )</f>
        <v>29016336.129058242</v>
      </c>
      <c r="J15" s="2">
        <f t="shared" ref="J15:BQ15" ca="1" si="2" xml:space="preserve">  MAX( J14, 0 )</f>
        <v>0</v>
      </c>
      <c r="K15" s="2">
        <f t="shared" ca="1" si="2"/>
        <v>0</v>
      </c>
      <c r="L15" s="2">
        <f t="shared" ca="1" si="2"/>
        <v>0</v>
      </c>
      <c r="M15" s="2">
        <f t="shared" ca="1" si="2"/>
        <v>0</v>
      </c>
      <c r="N15" s="2">
        <f t="shared" ca="1" si="2"/>
        <v>0</v>
      </c>
      <c r="O15" s="2">
        <f t="shared" ca="1" si="2"/>
        <v>0</v>
      </c>
      <c r="P15" s="2">
        <f t="shared" ca="1" si="2"/>
        <v>0</v>
      </c>
      <c r="Q15" s="2">
        <f t="shared" ca="1" si="2"/>
        <v>0</v>
      </c>
      <c r="R15" s="2">
        <f t="shared" ca="1" si="2"/>
        <v>685.26147343144112</v>
      </c>
      <c r="S15" s="2">
        <f t="shared" ca="1" si="2"/>
        <v>0</v>
      </c>
      <c r="T15" s="2">
        <f t="shared" ca="1" si="2"/>
        <v>0</v>
      </c>
      <c r="U15" s="2">
        <f t="shared" ca="1" si="2"/>
        <v>0</v>
      </c>
      <c r="V15" s="2">
        <f t="shared" ca="1" si="2"/>
        <v>0</v>
      </c>
      <c r="W15" s="2">
        <f t="shared" ca="1" si="2"/>
        <v>48295.803598249338</v>
      </c>
      <c r="X15" s="2">
        <f t="shared" ca="1" si="2"/>
        <v>54318.655724401855</v>
      </c>
      <c r="Y15" s="2">
        <f t="shared" ca="1" si="2"/>
        <v>52130.342023079189</v>
      </c>
      <c r="Z15" s="2">
        <f t="shared" ca="1" si="2"/>
        <v>51091.200149207209</v>
      </c>
      <c r="AA15" s="2">
        <f t="shared" ca="1" si="2"/>
        <v>50025.707182999344</v>
      </c>
      <c r="AB15" s="2">
        <f t="shared" ca="1" si="2"/>
        <v>47627.892080873979</v>
      </c>
      <c r="AC15" s="2">
        <f t="shared" ca="1" si="2"/>
        <v>106431.72764110792</v>
      </c>
      <c r="AD15" s="2">
        <f t="shared" ca="1" si="2"/>
        <v>105109.9483861528</v>
      </c>
      <c r="AE15" s="2">
        <f t="shared" ca="1" si="2"/>
        <v>102454.41677211077</v>
      </c>
      <c r="AF15" s="2">
        <f t="shared" ca="1" si="2"/>
        <v>101126.37000084046</v>
      </c>
      <c r="AG15" s="2">
        <f t="shared" ca="1" si="2"/>
        <v>159571.34926451044</v>
      </c>
      <c r="AH15" s="2">
        <f t="shared" ca="1" si="2"/>
        <v>144247.04487445287</v>
      </c>
      <c r="AI15" s="2">
        <f t="shared" ca="1" si="2"/>
        <v>147744.470542653</v>
      </c>
      <c r="AJ15" s="2">
        <f t="shared" ca="1" si="2"/>
        <v>151542.15027489996</v>
      </c>
      <c r="AK15" s="2">
        <f t="shared" ca="1" si="2"/>
        <v>214146.52299310511</v>
      </c>
      <c r="AL15" s="2">
        <f t="shared" ca="1" si="2"/>
        <v>218311.94589381106</v>
      </c>
      <c r="AM15" s="2">
        <f t="shared" ca="1" si="2"/>
        <v>222834.95039658749</v>
      </c>
      <c r="AN15" s="2">
        <f t="shared" ca="1" si="2"/>
        <v>286157.26818366215</v>
      </c>
      <c r="AO15" s="2">
        <f t="shared" ca="1" si="2"/>
        <v>291236.02915218205</v>
      </c>
      <c r="AP15" s="2">
        <f t="shared" ca="1" si="2"/>
        <v>356468.62593682233</v>
      </c>
      <c r="AQ15" s="2">
        <f t="shared" ca="1" si="2"/>
        <v>360646.03551622567</v>
      </c>
      <c r="AR15" s="2">
        <f t="shared" ca="1" si="2"/>
        <v>366965.62281422492</v>
      </c>
      <c r="AS15" s="2">
        <f t="shared" ca="1" si="2"/>
        <v>433201.61885766347</v>
      </c>
      <c r="AT15" s="2">
        <f t="shared" ca="1" si="2"/>
        <v>438595.99869625905</v>
      </c>
      <c r="AU15" s="2">
        <f t="shared" ca="1" si="2"/>
        <v>445567.60088937799</v>
      </c>
      <c r="AV15" s="2">
        <f t="shared" ca="1" si="2"/>
        <v>513174.52487996756</v>
      </c>
      <c r="AW15" s="2">
        <f t="shared" ca="1" si="2"/>
        <v>519584.78337262332</v>
      </c>
      <c r="AX15" s="2">
        <f t="shared" ca="1" si="2"/>
        <v>587926.54464323306</v>
      </c>
      <c r="AY15" s="2">
        <f t="shared" ca="1" si="2"/>
        <v>596982.97222091816</v>
      </c>
      <c r="AZ15" s="2">
        <f t="shared" ca="1" si="2"/>
        <v>664856.64108147239</v>
      </c>
      <c r="BA15" s="2">
        <f t="shared" ca="1" si="2"/>
        <v>735023.36496116361</v>
      </c>
      <c r="BB15" s="2">
        <f t="shared" ca="1" si="2"/>
        <v>745482.82597049908</v>
      </c>
      <c r="BC15" s="2">
        <f t="shared" ca="1" si="2"/>
        <v>815106.45812503842</v>
      </c>
      <c r="BD15" s="2">
        <f t="shared" ca="1" si="2"/>
        <v>887775.88325719081</v>
      </c>
      <c r="BE15" s="2">
        <f t="shared" ca="1" si="2"/>
        <v>900250.51462405594</v>
      </c>
      <c r="BF15" s="2">
        <f t="shared" ca="1" si="2"/>
        <v>966881.76384714292</v>
      </c>
      <c r="BG15" s="2">
        <f t="shared" ca="1" si="2"/>
        <v>1045959.279288227</v>
      </c>
      <c r="BH15" s="2">
        <f t="shared" ca="1" si="2"/>
        <v>1126556.4899215132</v>
      </c>
      <c r="BI15" s="2">
        <f t="shared" ca="1" si="2"/>
        <v>1206373.9328553556</v>
      </c>
      <c r="BJ15" s="2">
        <f t="shared" ca="1" si="2"/>
        <v>1289090.1972053763</v>
      </c>
      <c r="BK15" s="2">
        <f t="shared" ca="1" si="2"/>
        <v>1373616.0283552604</v>
      </c>
      <c r="BL15" s="2">
        <f t="shared" ca="1" si="2"/>
        <v>1457479.832938516</v>
      </c>
      <c r="BM15" s="2">
        <f t="shared" ca="1" si="2"/>
        <v>1545015.3091092939</v>
      </c>
      <c r="BN15" s="2">
        <f t="shared" ca="1" si="2"/>
        <v>1633831.8905769372</v>
      </c>
      <c r="BO15" s="2">
        <f t="shared" ca="1" si="2"/>
        <v>1722562.3210078047</v>
      </c>
      <c r="BP15" s="2">
        <f t="shared" ca="1" si="2"/>
        <v>1816143.9959894854</v>
      </c>
      <c r="BQ15" s="2">
        <f t="shared" ca="1" si="2"/>
        <v>1910126.0155082804</v>
      </c>
    </row>
    <row r="18" spans="1:69">
      <c r="A18" s="27" t="s">
        <v>318</v>
      </c>
    </row>
    <row r="19" spans="1:69" outlineLevel="1">
      <c r="B19" s="27" t="s">
        <v>242</v>
      </c>
    </row>
    <row r="20" spans="1:69" outlineLevel="2">
      <c r="E20" s="2" t="str">
        <f t="shared" ref="E20:BQ20" si="3" xml:space="preserve">  E$10</f>
        <v>Taxable income / (Tax losses arising)</v>
      </c>
      <c r="F20" s="2">
        <f t="shared" si="3"/>
        <v>0</v>
      </c>
      <c r="G20" s="2" t="str">
        <f t="shared" si="3"/>
        <v>GBP</v>
      </c>
      <c r="H20" s="2">
        <f t="shared" ca="1" si="3"/>
        <v>28620159.418846376</v>
      </c>
      <c r="I20" s="2">
        <f t="shared" si="3"/>
        <v>0</v>
      </c>
      <c r="J20" s="2">
        <f t="shared" ca="1" si="3"/>
        <v>-52200</v>
      </c>
      <c r="K20" s="2">
        <f t="shared" ca="1" si="3"/>
        <v>-52636.589175802554</v>
      </c>
      <c r="L20" s="2">
        <f t="shared" ca="1" si="3"/>
        <v>-53084.285064132237</v>
      </c>
      <c r="M20" s="2">
        <f t="shared" ca="1" si="3"/>
        <v>-54668.637306707271</v>
      </c>
      <c r="N20" s="2">
        <f t="shared" ca="1" si="3"/>
        <v>-55188.572264172042</v>
      </c>
      <c r="O20" s="2">
        <f t="shared" ca="1" si="3"/>
        <v>-55721.734228684698</v>
      </c>
      <c r="P20" s="2">
        <f t="shared" ca="1" si="3"/>
        <v>-57426.271839152228</v>
      </c>
      <c r="Q20" s="2">
        <f t="shared" ca="1" si="3"/>
        <v>-7667.6029039260175</v>
      </c>
      <c r="R20" s="2">
        <f t="shared" ca="1" si="3"/>
        <v>685.26147343144112</v>
      </c>
      <c r="S20" s="2">
        <f t="shared" ca="1" si="3"/>
        <v>-523.64198731275246</v>
      </c>
      <c r="T20" s="2">
        <f t="shared" ca="1" si="3"/>
        <v>-1191.8252074160118</v>
      </c>
      <c r="U20" s="2">
        <f t="shared" ca="1" si="3"/>
        <v>-1967.5502345588538</v>
      </c>
      <c r="V20" s="2">
        <f t="shared" ca="1" si="3"/>
        <v>-3900.0000000000073</v>
      </c>
      <c r="W20" s="2">
        <f t="shared" ca="1" si="3"/>
        <v>48295.803598249338</v>
      </c>
      <c r="X20" s="2">
        <f t="shared" ca="1" si="3"/>
        <v>54318.655724401855</v>
      </c>
      <c r="Y20" s="2">
        <f t="shared" ca="1" si="3"/>
        <v>52130.342023079189</v>
      </c>
      <c r="Z20" s="2">
        <f t="shared" ca="1" si="3"/>
        <v>51091.200149207209</v>
      </c>
      <c r="AA20" s="2">
        <f t="shared" ca="1" si="3"/>
        <v>50025.707182999344</v>
      </c>
      <c r="AB20" s="2">
        <f t="shared" ca="1" si="3"/>
        <v>47627.892080873979</v>
      </c>
      <c r="AC20" s="2">
        <f t="shared" ca="1" si="3"/>
        <v>106431.72764110792</v>
      </c>
      <c r="AD20" s="2">
        <f t="shared" ca="1" si="3"/>
        <v>105109.9483861528</v>
      </c>
      <c r="AE20" s="2">
        <f t="shared" ca="1" si="3"/>
        <v>102454.41677211077</v>
      </c>
      <c r="AF20" s="2">
        <f t="shared" ca="1" si="3"/>
        <v>101126.37000084046</v>
      </c>
      <c r="AG20" s="2">
        <f t="shared" ca="1" si="3"/>
        <v>159571.34926451044</v>
      </c>
      <c r="AH20" s="2">
        <f t="shared" ca="1" si="3"/>
        <v>144247.04487445287</v>
      </c>
      <c r="AI20" s="2">
        <f t="shared" ca="1" si="3"/>
        <v>147744.470542653</v>
      </c>
      <c r="AJ20" s="2">
        <f t="shared" ca="1" si="3"/>
        <v>151542.15027489996</v>
      </c>
      <c r="AK20" s="2">
        <f t="shared" ca="1" si="3"/>
        <v>214146.52299310511</v>
      </c>
      <c r="AL20" s="2">
        <f t="shared" ca="1" si="3"/>
        <v>218311.94589381106</v>
      </c>
      <c r="AM20" s="2">
        <f t="shared" ca="1" si="3"/>
        <v>222834.95039658749</v>
      </c>
      <c r="AN20" s="2">
        <f t="shared" ca="1" si="3"/>
        <v>286157.26818366215</v>
      </c>
      <c r="AO20" s="2">
        <f t="shared" ca="1" si="3"/>
        <v>291236.02915218205</v>
      </c>
      <c r="AP20" s="2">
        <f t="shared" ca="1" si="3"/>
        <v>356468.62593682233</v>
      </c>
      <c r="AQ20" s="2">
        <f t="shared" ca="1" si="3"/>
        <v>360646.03551622567</v>
      </c>
      <c r="AR20" s="2">
        <f t="shared" ca="1" si="3"/>
        <v>366965.62281422492</v>
      </c>
      <c r="AS20" s="2">
        <f t="shared" ca="1" si="3"/>
        <v>433201.61885766347</v>
      </c>
      <c r="AT20" s="2">
        <f t="shared" ca="1" si="3"/>
        <v>438595.99869625905</v>
      </c>
      <c r="AU20" s="2">
        <f t="shared" ca="1" si="3"/>
        <v>445567.60088937799</v>
      </c>
      <c r="AV20" s="2">
        <f t="shared" ca="1" si="3"/>
        <v>513174.52487996756</v>
      </c>
      <c r="AW20" s="2">
        <f t="shared" ca="1" si="3"/>
        <v>519584.78337262332</v>
      </c>
      <c r="AX20" s="2">
        <f t="shared" ca="1" si="3"/>
        <v>587926.54464323306</v>
      </c>
      <c r="AY20" s="2">
        <f t="shared" ca="1" si="3"/>
        <v>596982.97222091816</v>
      </c>
      <c r="AZ20" s="2">
        <f t="shared" ca="1" si="3"/>
        <v>664856.64108147239</v>
      </c>
      <c r="BA20" s="2">
        <f t="shared" ca="1" si="3"/>
        <v>735023.36496116361</v>
      </c>
      <c r="BB20" s="2">
        <f t="shared" ca="1" si="3"/>
        <v>745482.82597049908</v>
      </c>
      <c r="BC20" s="2">
        <f t="shared" ca="1" si="3"/>
        <v>815106.45812503842</v>
      </c>
      <c r="BD20" s="2">
        <f t="shared" ca="1" si="3"/>
        <v>887775.88325719081</v>
      </c>
      <c r="BE20" s="2">
        <f t="shared" ca="1" si="3"/>
        <v>900250.51462405594</v>
      </c>
      <c r="BF20" s="2">
        <f t="shared" ca="1" si="3"/>
        <v>966881.76384714292</v>
      </c>
      <c r="BG20" s="2">
        <f t="shared" ca="1" si="3"/>
        <v>1045959.279288227</v>
      </c>
      <c r="BH20" s="2">
        <f t="shared" ca="1" si="3"/>
        <v>1126556.4899215132</v>
      </c>
      <c r="BI20" s="2">
        <f t="shared" ca="1" si="3"/>
        <v>1206373.9328553556</v>
      </c>
      <c r="BJ20" s="2">
        <f t="shared" ca="1" si="3"/>
        <v>1289090.1972053763</v>
      </c>
      <c r="BK20" s="2">
        <f t="shared" ca="1" si="3"/>
        <v>1373616.0283552604</v>
      </c>
      <c r="BL20" s="2">
        <f t="shared" ca="1" si="3"/>
        <v>1457479.832938516</v>
      </c>
      <c r="BM20" s="2">
        <f t="shared" ca="1" si="3"/>
        <v>1545015.3091092939</v>
      </c>
      <c r="BN20" s="2">
        <f t="shared" ca="1" si="3"/>
        <v>1633831.8905769372</v>
      </c>
      <c r="BO20" s="2">
        <f t="shared" ca="1" si="3"/>
        <v>1722562.3210078047</v>
      </c>
      <c r="BP20" s="2">
        <f t="shared" ca="1" si="3"/>
        <v>1816143.9959894854</v>
      </c>
      <c r="BQ20" s="2">
        <f t="shared" ca="1" si="3"/>
        <v>1910126.0155082804</v>
      </c>
    </row>
    <row r="21" spans="1:69" outlineLevel="2">
      <c r="E21" s="46" t="s">
        <v>242</v>
      </c>
      <c r="G21" s="46" t="s">
        <v>252</v>
      </c>
      <c r="H21" s="2">
        <f ca="1" xml:space="preserve"> SUM( J21:BQ21 )</f>
        <v>396176.71021186467</v>
      </c>
      <c r="J21" s="2">
        <f t="shared" ref="J21:BQ21" ca="1" si="4" xml:space="preserve">  0 - 1 * MIN( J20, 0 )</f>
        <v>52200</v>
      </c>
      <c r="K21" s="2">
        <f t="shared" ca="1" si="4"/>
        <v>52636.589175802554</v>
      </c>
      <c r="L21" s="2">
        <f t="shared" ca="1" si="4"/>
        <v>53084.285064132237</v>
      </c>
      <c r="M21" s="2">
        <f t="shared" ca="1" si="4"/>
        <v>54668.637306707271</v>
      </c>
      <c r="N21" s="2">
        <f t="shared" ca="1" si="4"/>
        <v>55188.572264172042</v>
      </c>
      <c r="O21" s="2">
        <f t="shared" ca="1" si="4"/>
        <v>55721.734228684698</v>
      </c>
      <c r="P21" s="2">
        <f t="shared" ca="1" si="4"/>
        <v>57426.271839152228</v>
      </c>
      <c r="Q21" s="2">
        <f t="shared" ca="1" si="4"/>
        <v>7667.6029039260175</v>
      </c>
      <c r="R21" s="2">
        <f t="shared" ca="1" si="4"/>
        <v>0</v>
      </c>
      <c r="S21" s="2">
        <f t="shared" ca="1" si="4"/>
        <v>523.64198731275246</v>
      </c>
      <c r="T21" s="2">
        <f t="shared" ca="1" si="4"/>
        <v>1191.8252074160118</v>
      </c>
      <c r="U21" s="2">
        <f t="shared" ca="1" si="4"/>
        <v>1967.5502345588538</v>
      </c>
      <c r="V21" s="2">
        <f t="shared" ca="1" si="4"/>
        <v>3900.0000000000073</v>
      </c>
      <c r="W21" s="2">
        <f t="shared" ca="1" si="4"/>
        <v>0</v>
      </c>
      <c r="X21" s="2">
        <f t="shared" ca="1" si="4"/>
        <v>0</v>
      </c>
      <c r="Y21" s="2">
        <f t="shared" ca="1" si="4"/>
        <v>0</v>
      </c>
      <c r="Z21" s="2">
        <f t="shared" ca="1" si="4"/>
        <v>0</v>
      </c>
      <c r="AA21" s="2">
        <f t="shared" ca="1" si="4"/>
        <v>0</v>
      </c>
      <c r="AB21" s="2">
        <f t="shared" ca="1" si="4"/>
        <v>0</v>
      </c>
      <c r="AC21" s="2">
        <f t="shared" ca="1" si="4"/>
        <v>0</v>
      </c>
      <c r="AD21" s="2">
        <f t="shared" ca="1" si="4"/>
        <v>0</v>
      </c>
      <c r="AE21" s="2">
        <f t="shared" ca="1" si="4"/>
        <v>0</v>
      </c>
      <c r="AF21" s="2">
        <f t="shared" ca="1" si="4"/>
        <v>0</v>
      </c>
      <c r="AG21" s="2">
        <f t="shared" ca="1" si="4"/>
        <v>0</v>
      </c>
      <c r="AH21" s="2">
        <f t="shared" ca="1" si="4"/>
        <v>0</v>
      </c>
      <c r="AI21" s="2">
        <f t="shared" ca="1" si="4"/>
        <v>0</v>
      </c>
      <c r="AJ21" s="2">
        <f t="shared" ca="1" si="4"/>
        <v>0</v>
      </c>
      <c r="AK21" s="2">
        <f t="shared" ca="1" si="4"/>
        <v>0</v>
      </c>
      <c r="AL21" s="2">
        <f t="shared" ca="1" si="4"/>
        <v>0</v>
      </c>
      <c r="AM21" s="2">
        <f t="shared" ca="1" si="4"/>
        <v>0</v>
      </c>
      <c r="AN21" s="2">
        <f t="shared" ca="1" si="4"/>
        <v>0</v>
      </c>
      <c r="AO21" s="2">
        <f t="shared" ca="1" si="4"/>
        <v>0</v>
      </c>
      <c r="AP21" s="2">
        <f t="shared" ca="1" si="4"/>
        <v>0</v>
      </c>
      <c r="AQ21" s="2">
        <f t="shared" ca="1" si="4"/>
        <v>0</v>
      </c>
      <c r="AR21" s="2">
        <f t="shared" ca="1" si="4"/>
        <v>0</v>
      </c>
      <c r="AS21" s="2">
        <f t="shared" ca="1" si="4"/>
        <v>0</v>
      </c>
      <c r="AT21" s="2">
        <f t="shared" ca="1" si="4"/>
        <v>0</v>
      </c>
      <c r="AU21" s="2">
        <f t="shared" ca="1" si="4"/>
        <v>0</v>
      </c>
      <c r="AV21" s="2">
        <f t="shared" ca="1" si="4"/>
        <v>0</v>
      </c>
      <c r="AW21" s="2">
        <f t="shared" ca="1" si="4"/>
        <v>0</v>
      </c>
      <c r="AX21" s="2">
        <f t="shared" ca="1" si="4"/>
        <v>0</v>
      </c>
      <c r="AY21" s="2">
        <f t="shared" ca="1" si="4"/>
        <v>0</v>
      </c>
      <c r="AZ21" s="2">
        <f t="shared" ca="1" si="4"/>
        <v>0</v>
      </c>
      <c r="BA21" s="2">
        <f t="shared" ca="1" si="4"/>
        <v>0</v>
      </c>
      <c r="BB21" s="2">
        <f t="shared" ca="1" si="4"/>
        <v>0</v>
      </c>
      <c r="BC21" s="2">
        <f t="shared" ca="1" si="4"/>
        <v>0</v>
      </c>
      <c r="BD21" s="2">
        <f t="shared" ca="1" si="4"/>
        <v>0</v>
      </c>
      <c r="BE21" s="2">
        <f t="shared" ca="1" si="4"/>
        <v>0</v>
      </c>
      <c r="BF21" s="2">
        <f t="shared" ca="1" si="4"/>
        <v>0</v>
      </c>
      <c r="BG21" s="2">
        <f t="shared" ca="1" si="4"/>
        <v>0</v>
      </c>
      <c r="BH21" s="2">
        <f t="shared" ca="1" si="4"/>
        <v>0</v>
      </c>
      <c r="BI21" s="2">
        <f t="shared" ca="1" si="4"/>
        <v>0</v>
      </c>
      <c r="BJ21" s="2">
        <f t="shared" ca="1" si="4"/>
        <v>0</v>
      </c>
      <c r="BK21" s="2">
        <f t="shared" ca="1" si="4"/>
        <v>0</v>
      </c>
      <c r="BL21" s="2">
        <f t="shared" ca="1" si="4"/>
        <v>0</v>
      </c>
      <c r="BM21" s="2">
        <f t="shared" ca="1" si="4"/>
        <v>0</v>
      </c>
      <c r="BN21" s="2">
        <f t="shared" ca="1" si="4"/>
        <v>0</v>
      </c>
      <c r="BO21" s="2">
        <f t="shared" ca="1" si="4"/>
        <v>0</v>
      </c>
      <c r="BP21" s="2">
        <f t="shared" ca="1" si="4"/>
        <v>0</v>
      </c>
      <c r="BQ21" s="2">
        <f t="shared" ca="1" si="4"/>
        <v>0</v>
      </c>
    </row>
    <row r="22" spans="1:69" outlineLevel="1"/>
    <row r="23" spans="1:69" outlineLevel="1"/>
    <row r="24" spans="1:69" outlineLevel="1">
      <c r="B24" s="27" t="s">
        <v>319</v>
      </c>
    </row>
    <row r="25" spans="1:69" outlineLevel="2">
      <c r="E25" s="2" t="str">
        <f t="shared" ref="E25:BQ25" si="5" xml:space="preserve">  E$15</f>
        <v>Taxable income</v>
      </c>
      <c r="F25" s="2">
        <f t="shared" si="5"/>
        <v>0</v>
      </c>
      <c r="G25" s="2" t="str">
        <f t="shared" si="5"/>
        <v>GBP</v>
      </c>
      <c r="H25" s="2">
        <f t="shared" ca="1" si="5"/>
        <v>29016336.129058242</v>
      </c>
      <c r="I25" s="2">
        <f t="shared" si="5"/>
        <v>0</v>
      </c>
      <c r="J25" s="2">
        <f t="shared" ca="1" si="5"/>
        <v>0</v>
      </c>
      <c r="K25" s="2">
        <f t="shared" ca="1" si="5"/>
        <v>0</v>
      </c>
      <c r="L25" s="2">
        <f t="shared" ca="1" si="5"/>
        <v>0</v>
      </c>
      <c r="M25" s="2">
        <f t="shared" ca="1" si="5"/>
        <v>0</v>
      </c>
      <c r="N25" s="2">
        <f t="shared" ca="1" si="5"/>
        <v>0</v>
      </c>
      <c r="O25" s="2">
        <f t="shared" ca="1" si="5"/>
        <v>0</v>
      </c>
      <c r="P25" s="2">
        <f t="shared" ca="1" si="5"/>
        <v>0</v>
      </c>
      <c r="Q25" s="2">
        <f t="shared" ca="1" si="5"/>
        <v>0</v>
      </c>
      <c r="R25" s="2">
        <f t="shared" ca="1" si="5"/>
        <v>685.26147343144112</v>
      </c>
      <c r="S25" s="2">
        <f t="shared" ca="1" si="5"/>
        <v>0</v>
      </c>
      <c r="T25" s="2">
        <f t="shared" ca="1" si="5"/>
        <v>0</v>
      </c>
      <c r="U25" s="2">
        <f t="shared" ca="1" si="5"/>
        <v>0</v>
      </c>
      <c r="V25" s="2">
        <f t="shared" ca="1" si="5"/>
        <v>0</v>
      </c>
      <c r="W25" s="2">
        <f t="shared" ca="1" si="5"/>
        <v>48295.803598249338</v>
      </c>
      <c r="X25" s="2">
        <f t="shared" ca="1" si="5"/>
        <v>54318.655724401855</v>
      </c>
      <c r="Y25" s="2">
        <f t="shared" ca="1" si="5"/>
        <v>52130.342023079189</v>
      </c>
      <c r="Z25" s="2">
        <f t="shared" ca="1" si="5"/>
        <v>51091.200149207209</v>
      </c>
      <c r="AA25" s="2">
        <f t="shared" ca="1" si="5"/>
        <v>50025.707182999344</v>
      </c>
      <c r="AB25" s="2">
        <f t="shared" ca="1" si="5"/>
        <v>47627.892080873979</v>
      </c>
      <c r="AC25" s="2">
        <f t="shared" ca="1" si="5"/>
        <v>106431.72764110792</v>
      </c>
      <c r="AD25" s="2">
        <f t="shared" ca="1" si="5"/>
        <v>105109.9483861528</v>
      </c>
      <c r="AE25" s="2">
        <f t="shared" ca="1" si="5"/>
        <v>102454.41677211077</v>
      </c>
      <c r="AF25" s="2">
        <f t="shared" ca="1" si="5"/>
        <v>101126.37000084046</v>
      </c>
      <c r="AG25" s="2">
        <f t="shared" ca="1" si="5"/>
        <v>159571.34926451044</v>
      </c>
      <c r="AH25" s="2">
        <f t="shared" ca="1" si="5"/>
        <v>144247.04487445287</v>
      </c>
      <c r="AI25" s="2">
        <f t="shared" ca="1" si="5"/>
        <v>147744.470542653</v>
      </c>
      <c r="AJ25" s="2">
        <f t="shared" ca="1" si="5"/>
        <v>151542.15027489996</v>
      </c>
      <c r="AK25" s="2">
        <f t="shared" ca="1" si="5"/>
        <v>214146.52299310511</v>
      </c>
      <c r="AL25" s="2">
        <f t="shared" ca="1" si="5"/>
        <v>218311.94589381106</v>
      </c>
      <c r="AM25" s="2">
        <f t="shared" ca="1" si="5"/>
        <v>222834.95039658749</v>
      </c>
      <c r="AN25" s="2">
        <f t="shared" ca="1" si="5"/>
        <v>286157.26818366215</v>
      </c>
      <c r="AO25" s="2">
        <f t="shared" ca="1" si="5"/>
        <v>291236.02915218205</v>
      </c>
      <c r="AP25" s="2">
        <f t="shared" ca="1" si="5"/>
        <v>356468.62593682233</v>
      </c>
      <c r="AQ25" s="2">
        <f t="shared" ca="1" si="5"/>
        <v>360646.03551622567</v>
      </c>
      <c r="AR25" s="2">
        <f t="shared" ca="1" si="5"/>
        <v>366965.62281422492</v>
      </c>
      <c r="AS25" s="2">
        <f t="shared" ca="1" si="5"/>
        <v>433201.61885766347</v>
      </c>
      <c r="AT25" s="2">
        <f t="shared" ca="1" si="5"/>
        <v>438595.99869625905</v>
      </c>
      <c r="AU25" s="2">
        <f t="shared" ca="1" si="5"/>
        <v>445567.60088937799</v>
      </c>
      <c r="AV25" s="2">
        <f t="shared" ca="1" si="5"/>
        <v>513174.52487996756</v>
      </c>
      <c r="AW25" s="2">
        <f t="shared" ca="1" si="5"/>
        <v>519584.78337262332</v>
      </c>
      <c r="AX25" s="2">
        <f t="shared" ca="1" si="5"/>
        <v>587926.54464323306</v>
      </c>
      <c r="AY25" s="2">
        <f t="shared" ca="1" si="5"/>
        <v>596982.97222091816</v>
      </c>
      <c r="AZ25" s="2">
        <f t="shared" ca="1" si="5"/>
        <v>664856.64108147239</v>
      </c>
      <c r="BA25" s="2">
        <f t="shared" ca="1" si="5"/>
        <v>735023.36496116361</v>
      </c>
      <c r="BB25" s="2">
        <f t="shared" ca="1" si="5"/>
        <v>745482.82597049908</v>
      </c>
      <c r="BC25" s="2">
        <f t="shared" ca="1" si="5"/>
        <v>815106.45812503842</v>
      </c>
      <c r="BD25" s="2">
        <f t="shared" ca="1" si="5"/>
        <v>887775.88325719081</v>
      </c>
      <c r="BE25" s="2">
        <f t="shared" ca="1" si="5"/>
        <v>900250.51462405594</v>
      </c>
      <c r="BF25" s="2">
        <f t="shared" ca="1" si="5"/>
        <v>966881.76384714292</v>
      </c>
      <c r="BG25" s="2">
        <f t="shared" ca="1" si="5"/>
        <v>1045959.279288227</v>
      </c>
      <c r="BH25" s="2">
        <f t="shared" ca="1" si="5"/>
        <v>1126556.4899215132</v>
      </c>
      <c r="BI25" s="2">
        <f t="shared" ca="1" si="5"/>
        <v>1206373.9328553556</v>
      </c>
      <c r="BJ25" s="2">
        <f t="shared" ca="1" si="5"/>
        <v>1289090.1972053763</v>
      </c>
      <c r="BK25" s="2">
        <f t="shared" ca="1" si="5"/>
        <v>1373616.0283552604</v>
      </c>
      <c r="BL25" s="2">
        <f t="shared" ca="1" si="5"/>
        <v>1457479.832938516</v>
      </c>
      <c r="BM25" s="2">
        <f t="shared" ca="1" si="5"/>
        <v>1545015.3091092939</v>
      </c>
      <c r="BN25" s="2">
        <f t="shared" ca="1" si="5"/>
        <v>1633831.8905769372</v>
      </c>
      <c r="BO25" s="2">
        <f t="shared" ca="1" si="5"/>
        <v>1722562.3210078047</v>
      </c>
      <c r="BP25" s="2">
        <f t="shared" ca="1" si="5"/>
        <v>1816143.9959894854</v>
      </c>
      <c r="BQ25" s="2">
        <f t="shared" ca="1" si="5"/>
        <v>1910126.0155082804</v>
      </c>
    </row>
    <row r="26" spans="1:69" outlineLevel="2">
      <c r="E26" s="2" t="str">
        <f t="shared" ref="E26:BQ26" si="6" xml:space="preserve">  E$33</f>
        <v>Tax losses carried forward balance BEG</v>
      </c>
      <c r="F26" s="2">
        <f t="shared" si="6"/>
        <v>0</v>
      </c>
      <c r="G26" s="2" t="str">
        <f t="shared" si="6"/>
        <v>GBP</v>
      </c>
      <c r="H26" s="2">
        <f t="shared" si="6"/>
        <v>0</v>
      </c>
      <c r="I26" s="2">
        <f t="shared" si="6"/>
        <v>0</v>
      </c>
      <c r="J26" s="2">
        <f t="shared" si="6"/>
        <v>0</v>
      </c>
      <c r="K26" s="2">
        <f t="shared" si="6"/>
        <v>0</v>
      </c>
      <c r="L26" s="2">
        <f t="shared" ca="1" si="6"/>
        <v>52636.589175802554</v>
      </c>
      <c r="M26" s="2">
        <f t="shared" ca="1" si="6"/>
        <v>105720.87423993478</v>
      </c>
      <c r="N26" s="2">
        <f t="shared" ca="1" si="6"/>
        <v>160389.51154664205</v>
      </c>
      <c r="O26" s="2">
        <f t="shared" ca="1" si="6"/>
        <v>215578.0838108141</v>
      </c>
      <c r="P26" s="2">
        <f t="shared" ca="1" si="6"/>
        <v>271299.81803949882</v>
      </c>
      <c r="Q26" s="2">
        <f t="shared" ca="1" si="6"/>
        <v>328726.08987865102</v>
      </c>
      <c r="R26" s="2">
        <f t="shared" ca="1" si="6"/>
        <v>336393.69278257701</v>
      </c>
      <c r="S26" s="2">
        <f t="shared" ca="1" si="6"/>
        <v>335708.43130914558</v>
      </c>
      <c r="T26" s="2">
        <f t="shared" ca="1" si="6"/>
        <v>336232.07329645834</v>
      </c>
      <c r="U26" s="2">
        <f t="shared" ca="1" si="6"/>
        <v>337423.89850387437</v>
      </c>
      <c r="V26" s="2">
        <f t="shared" ca="1" si="6"/>
        <v>339391.44873843325</v>
      </c>
      <c r="W26" s="2">
        <f t="shared" ca="1" si="6"/>
        <v>343291.44873843325</v>
      </c>
      <c r="X26" s="2">
        <f t="shared" ca="1" si="6"/>
        <v>294995.64514018391</v>
      </c>
      <c r="Y26" s="2">
        <f t="shared" ca="1" si="6"/>
        <v>240676.98941578207</v>
      </c>
      <c r="Z26" s="2">
        <f t="shared" ca="1" si="6"/>
        <v>188546.64739270287</v>
      </c>
      <c r="AA26" s="2">
        <f t="shared" ca="1" si="6"/>
        <v>137455.44724349567</v>
      </c>
      <c r="AB26" s="2">
        <f t="shared" ca="1" si="6"/>
        <v>87429.740060496319</v>
      </c>
      <c r="AC26" s="2">
        <f t="shared" ca="1" si="6"/>
        <v>39801.84797962234</v>
      </c>
      <c r="AD26" s="2">
        <f t="shared" ca="1" si="6"/>
        <v>0</v>
      </c>
      <c r="AE26" s="2">
        <f t="shared" ca="1" si="6"/>
        <v>0</v>
      </c>
      <c r="AF26" s="2">
        <f t="shared" ca="1" si="6"/>
        <v>0</v>
      </c>
      <c r="AG26" s="2">
        <f t="shared" ca="1" si="6"/>
        <v>0</v>
      </c>
      <c r="AH26" s="2">
        <f t="shared" ca="1" si="6"/>
        <v>0</v>
      </c>
      <c r="AI26" s="2">
        <f t="shared" ca="1" si="6"/>
        <v>0</v>
      </c>
      <c r="AJ26" s="2">
        <f t="shared" ca="1" si="6"/>
        <v>0</v>
      </c>
      <c r="AK26" s="2">
        <f t="shared" ca="1" si="6"/>
        <v>0</v>
      </c>
      <c r="AL26" s="2">
        <f t="shared" ca="1" si="6"/>
        <v>0</v>
      </c>
      <c r="AM26" s="2">
        <f t="shared" ca="1" si="6"/>
        <v>0</v>
      </c>
      <c r="AN26" s="2">
        <f t="shared" ca="1" si="6"/>
        <v>0</v>
      </c>
      <c r="AO26" s="2">
        <f t="shared" ca="1" si="6"/>
        <v>0</v>
      </c>
      <c r="AP26" s="2">
        <f t="shared" ca="1" si="6"/>
        <v>0</v>
      </c>
      <c r="AQ26" s="2">
        <f t="shared" ca="1" si="6"/>
        <v>0</v>
      </c>
      <c r="AR26" s="2">
        <f t="shared" ca="1" si="6"/>
        <v>0</v>
      </c>
      <c r="AS26" s="2">
        <f t="shared" ca="1" si="6"/>
        <v>0</v>
      </c>
      <c r="AT26" s="2">
        <f t="shared" ca="1" si="6"/>
        <v>0</v>
      </c>
      <c r="AU26" s="2">
        <f t="shared" ca="1" si="6"/>
        <v>0</v>
      </c>
      <c r="AV26" s="2">
        <f t="shared" ca="1" si="6"/>
        <v>0</v>
      </c>
      <c r="AW26" s="2">
        <f t="shared" ca="1" si="6"/>
        <v>0</v>
      </c>
      <c r="AX26" s="2">
        <f t="shared" ca="1" si="6"/>
        <v>0</v>
      </c>
      <c r="AY26" s="2">
        <f t="shared" ca="1" si="6"/>
        <v>0</v>
      </c>
      <c r="AZ26" s="2">
        <f t="shared" ca="1" si="6"/>
        <v>0</v>
      </c>
      <c r="BA26" s="2">
        <f t="shared" ca="1" si="6"/>
        <v>0</v>
      </c>
      <c r="BB26" s="2">
        <f t="shared" ca="1" si="6"/>
        <v>0</v>
      </c>
      <c r="BC26" s="2">
        <f t="shared" ca="1" si="6"/>
        <v>0</v>
      </c>
      <c r="BD26" s="2">
        <f t="shared" ca="1" si="6"/>
        <v>0</v>
      </c>
      <c r="BE26" s="2">
        <f t="shared" ca="1" si="6"/>
        <v>0</v>
      </c>
      <c r="BF26" s="2">
        <f t="shared" ca="1" si="6"/>
        <v>0</v>
      </c>
      <c r="BG26" s="2">
        <f t="shared" ca="1" si="6"/>
        <v>0</v>
      </c>
      <c r="BH26" s="2">
        <f t="shared" ca="1" si="6"/>
        <v>0</v>
      </c>
      <c r="BI26" s="2">
        <f t="shared" ca="1" si="6"/>
        <v>0</v>
      </c>
      <c r="BJ26" s="2">
        <f t="shared" ca="1" si="6"/>
        <v>0</v>
      </c>
      <c r="BK26" s="2">
        <f t="shared" ca="1" si="6"/>
        <v>0</v>
      </c>
      <c r="BL26" s="2">
        <f t="shared" ca="1" si="6"/>
        <v>0</v>
      </c>
      <c r="BM26" s="2">
        <f t="shared" ca="1" si="6"/>
        <v>0</v>
      </c>
      <c r="BN26" s="2">
        <f t="shared" ca="1" si="6"/>
        <v>0</v>
      </c>
      <c r="BO26" s="2">
        <f t="shared" ca="1" si="6"/>
        <v>0</v>
      </c>
      <c r="BP26" s="2">
        <f t="shared" ca="1" si="6"/>
        <v>0</v>
      </c>
      <c r="BQ26" s="2">
        <f t="shared" ca="1" si="6"/>
        <v>0</v>
      </c>
    </row>
    <row r="27" spans="1:69" outlineLevel="2">
      <c r="E27" s="46" t="s">
        <v>319</v>
      </c>
      <c r="G27" s="46" t="s">
        <v>252</v>
      </c>
      <c r="H27" s="2">
        <f ca="1" xml:space="preserve"> SUM( J27:BQ27 )</f>
        <v>343976.71021186467</v>
      </c>
      <c r="J27" s="2">
        <f t="shared" ref="J27:BQ27" ca="1" si="7" xml:space="preserve">  MIN( J25, J26 )</f>
        <v>0</v>
      </c>
      <c r="K27" s="2">
        <f t="shared" ca="1" si="7"/>
        <v>0</v>
      </c>
      <c r="L27" s="2">
        <f t="shared" ca="1" si="7"/>
        <v>0</v>
      </c>
      <c r="M27" s="2">
        <f t="shared" ca="1" si="7"/>
        <v>0</v>
      </c>
      <c r="N27" s="2">
        <f t="shared" ca="1" si="7"/>
        <v>0</v>
      </c>
      <c r="O27" s="2">
        <f t="shared" ca="1" si="7"/>
        <v>0</v>
      </c>
      <c r="P27" s="2">
        <f t="shared" ca="1" si="7"/>
        <v>0</v>
      </c>
      <c r="Q27" s="2">
        <f t="shared" ca="1" si="7"/>
        <v>0</v>
      </c>
      <c r="R27" s="2">
        <f t="shared" ca="1" si="7"/>
        <v>685.26147343144112</v>
      </c>
      <c r="S27" s="2">
        <f t="shared" ca="1" si="7"/>
        <v>0</v>
      </c>
      <c r="T27" s="2">
        <f t="shared" ca="1" si="7"/>
        <v>0</v>
      </c>
      <c r="U27" s="2">
        <f t="shared" ca="1" si="7"/>
        <v>0</v>
      </c>
      <c r="V27" s="2">
        <f t="shared" ca="1" si="7"/>
        <v>0</v>
      </c>
      <c r="W27" s="2">
        <f t="shared" ca="1" si="7"/>
        <v>48295.803598249338</v>
      </c>
      <c r="X27" s="2">
        <f t="shared" ca="1" si="7"/>
        <v>54318.655724401855</v>
      </c>
      <c r="Y27" s="2">
        <f t="shared" ca="1" si="7"/>
        <v>52130.342023079189</v>
      </c>
      <c r="Z27" s="2">
        <f t="shared" ca="1" si="7"/>
        <v>51091.200149207209</v>
      </c>
      <c r="AA27" s="2">
        <f t="shared" ca="1" si="7"/>
        <v>50025.707182999344</v>
      </c>
      <c r="AB27" s="2">
        <f t="shared" ca="1" si="7"/>
        <v>47627.892080873979</v>
      </c>
      <c r="AC27" s="2">
        <f t="shared" ca="1" si="7"/>
        <v>39801.84797962234</v>
      </c>
      <c r="AD27" s="2">
        <f t="shared" ca="1" si="7"/>
        <v>0</v>
      </c>
      <c r="AE27" s="2">
        <f t="shared" ca="1" si="7"/>
        <v>0</v>
      </c>
      <c r="AF27" s="2">
        <f t="shared" ca="1" si="7"/>
        <v>0</v>
      </c>
      <c r="AG27" s="2">
        <f t="shared" ca="1" si="7"/>
        <v>0</v>
      </c>
      <c r="AH27" s="2">
        <f t="shared" ca="1" si="7"/>
        <v>0</v>
      </c>
      <c r="AI27" s="2">
        <f t="shared" ca="1" si="7"/>
        <v>0</v>
      </c>
      <c r="AJ27" s="2">
        <f t="shared" ca="1" si="7"/>
        <v>0</v>
      </c>
      <c r="AK27" s="2">
        <f t="shared" ca="1" si="7"/>
        <v>0</v>
      </c>
      <c r="AL27" s="2">
        <f t="shared" ca="1" si="7"/>
        <v>0</v>
      </c>
      <c r="AM27" s="2">
        <f t="shared" ca="1" si="7"/>
        <v>0</v>
      </c>
      <c r="AN27" s="2">
        <f t="shared" ca="1" si="7"/>
        <v>0</v>
      </c>
      <c r="AO27" s="2">
        <f t="shared" ca="1" si="7"/>
        <v>0</v>
      </c>
      <c r="AP27" s="2">
        <f t="shared" ca="1" si="7"/>
        <v>0</v>
      </c>
      <c r="AQ27" s="2">
        <f t="shared" ca="1" si="7"/>
        <v>0</v>
      </c>
      <c r="AR27" s="2">
        <f t="shared" ca="1" si="7"/>
        <v>0</v>
      </c>
      <c r="AS27" s="2">
        <f t="shared" ca="1" si="7"/>
        <v>0</v>
      </c>
      <c r="AT27" s="2">
        <f t="shared" ca="1" si="7"/>
        <v>0</v>
      </c>
      <c r="AU27" s="2">
        <f t="shared" ca="1" si="7"/>
        <v>0</v>
      </c>
      <c r="AV27" s="2">
        <f t="shared" ca="1" si="7"/>
        <v>0</v>
      </c>
      <c r="AW27" s="2">
        <f t="shared" ca="1" si="7"/>
        <v>0</v>
      </c>
      <c r="AX27" s="2">
        <f t="shared" ca="1" si="7"/>
        <v>0</v>
      </c>
      <c r="AY27" s="2">
        <f t="shared" ca="1" si="7"/>
        <v>0</v>
      </c>
      <c r="AZ27" s="2">
        <f t="shared" ca="1" si="7"/>
        <v>0</v>
      </c>
      <c r="BA27" s="2">
        <f t="shared" ca="1" si="7"/>
        <v>0</v>
      </c>
      <c r="BB27" s="2">
        <f t="shared" ca="1" si="7"/>
        <v>0</v>
      </c>
      <c r="BC27" s="2">
        <f t="shared" ca="1" si="7"/>
        <v>0</v>
      </c>
      <c r="BD27" s="2">
        <f t="shared" ca="1" si="7"/>
        <v>0</v>
      </c>
      <c r="BE27" s="2">
        <f t="shared" ca="1" si="7"/>
        <v>0</v>
      </c>
      <c r="BF27" s="2">
        <f t="shared" ca="1" si="7"/>
        <v>0</v>
      </c>
      <c r="BG27" s="2">
        <f t="shared" ca="1" si="7"/>
        <v>0</v>
      </c>
      <c r="BH27" s="2">
        <f t="shared" ca="1" si="7"/>
        <v>0</v>
      </c>
      <c r="BI27" s="2">
        <f t="shared" ca="1" si="7"/>
        <v>0</v>
      </c>
      <c r="BJ27" s="2">
        <f t="shared" ca="1" si="7"/>
        <v>0</v>
      </c>
      <c r="BK27" s="2">
        <f t="shared" ca="1" si="7"/>
        <v>0</v>
      </c>
      <c r="BL27" s="2">
        <f t="shared" ca="1" si="7"/>
        <v>0</v>
      </c>
      <c r="BM27" s="2">
        <f t="shared" ca="1" si="7"/>
        <v>0</v>
      </c>
      <c r="BN27" s="2">
        <f t="shared" ca="1" si="7"/>
        <v>0</v>
      </c>
      <c r="BO27" s="2">
        <f t="shared" ca="1" si="7"/>
        <v>0</v>
      </c>
      <c r="BP27" s="2">
        <f t="shared" ca="1" si="7"/>
        <v>0</v>
      </c>
      <c r="BQ27" s="2">
        <f t="shared" ca="1" si="7"/>
        <v>0</v>
      </c>
    </row>
    <row r="28" spans="1:69" outlineLevel="1"/>
    <row r="29" spans="1:69" outlineLevel="1"/>
    <row r="30" spans="1:69" outlineLevel="1">
      <c r="B30" s="27" t="s">
        <v>83</v>
      </c>
    </row>
    <row r="31" spans="1:69" s="85" customFormat="1" outlineLevel="1">
      <c r="A31" s="59"/>
      <c r="B31" s="59"/>
      <c r="C31" s="86"/>
      <c r="D31" s="84"/>
      <c r="E31" s="40" t="str">
        <f xml:space="preserve">  InpC!E$89</f>
        <v>Tax losses carried forward - initial balance</v>
      </c>
      <c r="F31" s="40">
        <f xml:space="preserve">  InpC!F$89</f>
        <v>0</v>
      </c>
      <c r="G31" s="40" t="str">
        <f xml:space="preserve">  InpC!G$89</f>
        <v>GBP</v>
      </c>
      <c r="M31" s="87"/>
    </row>
    <row r="32" spans="1:69" outlineLevel="1">
      <c r="A32" s="18"/>
      <c r="B32" s="18"/>
      <c r="C32" s="30"/>
      <c r="D32" s="31"/>
      <c r="E32" s="10" t="str">
        <f xml:space="preserve">  Time!E$28</f>
        <v>Period number</v>
      </c>
      <c r="F32" s="10">
        <f xml:space="preserve">  Time!F$28</f>
        <v>0</v>
      </c>
      <c r="G32" s="10" t="str">
        <f xml:space="preserve">  Time!G$28</f>
        <v>Counter</v>
      </c>
      <c r="H32" s="10">
        <f xml:space="preserve">  Time!H$28</f>
        <v>0</v>
      </c>
      <c r="I32" s="10">
        <f xml:space="preserve">  Time!I$28</f>
        <v>0</v>
      </c>
      <c r="J32" s="10">
        <f xml:space="preserve">  Time!J$28</f>
        <v>1</v>
      </c>
      <c r="K32" s="10">
        <f xml:space="preserve">  Time!K$28</f>
        <v>2</v>
      </c>
      <c r="L32" s="10">
        <f xml:space="preserve">  Time!L$28</f>
        <v>3</v>
      </c>
      <c r="M32" s="10">
        <f xml:space="preserve">  Time!M$28</f>
        <v>4</v>
      </c>
      <c r="N32" s="10">
        <f xml:space="preserve">  Time!N$28</f>
        <v>5</v>
      </c>
      <c r="O32" s="10">
        <f xml:space="preserve">  Time!O$28</f>
        <v>6</v>
      </c>
      <c r="P32" s="10">
        <f xml:space="preserve">  Time!P$28</f>
        <v>7</v>
      </c>
      <c r="Q32" s="10">
        <f xml:space="preserve">  Time!Q$28</f>
        <v>8</v>
      </c>
      <c r="R32" s="10">
        <f xml:space="preserve">  Time!R$28</f>
        <v>9</v>
      </c>
      <c r="S32" s="10">
        <f xml:space="preserve">  Time!S$28</f>
        <v>10</v>
      </c>
      <c r="T32" s="10">
        <f xml:space="preserve">  Time!T$28</f>
        <v>11</v>
      </c>
      <c r="U32" s="10">
        <f xml:space="preserve">  Time!U$28</f>
        <v>12</v>
      </c>
      <c r="V32" s="10">
        <f xml:space="preserve">  Time!V$28</f>
        <v>13</v>
      </c>
      <c r="W32" s="10">
        <f xml:space="preserve">  Time!W$28</f>
        <v>14</v>
      </c>
      <c r="X32" s="10">
        <f xml:space="preserve">  Time!X$28</f>
        <v>15</v>
      </c>
      <c r="Y32" s="10">
        <f xml:space="preserve">  Time!Y$28</f>
        <v>16</v>
      </c>
      <c r="Z32" s="10">
        <f xml:space="preserve">  Time!Z$28</f>
        <v>17</v>
      </c>
      <c r="AA32" s="10">
        <f xml:space="preserve">  Time!AA$28</f>
        <v>18</v>
      </c>
      <c r="AB32" s="10">
        <f xml:space="preserve">  Time!AB$28</f>
        <v>19</v>
      </c>
      <c r="AC32" s="10">
        <f xml:space="preserve">  Time!AC$28</f>
        <v>20</v>
      </c>
      <c r="AD32" s="10">
        <f xml:space="preserve">  Time!AD$28</f>
        <v>21</v>
      </c>
      <c r="AE32" s="10">
        <f xml:space="preserve">  Time!AE$28</f>
        <v>22</v>
      </c>
      <c r="AF32" s="10">
        <f xml:space="preserve">  Time!AF$28</f>
        <v>23</v>
      </c>
      <c r="AG32" s="10">
        <f xml:space="preserve">  Time!AG$28</f>
        <v>24</v>
      </c>
      <c r="AH32" s="10">
        <f xml:space="preserve">  Time!AH$28</f>
        <v>25</v>
      </c>
      <c r="AI32" s="10">
        <f xml:space="preserve">  Time!AI$28</f>
        <v>26</v>
      </c>
      <c r="AJ32" s="10">
        <f xml:space="preserve">  Time!AJ$28</f>
        <v>27</v>
      </c>
      <c r="AK32" s="10">
        <f xml:space="preserve">  Time!AK$28</f>
        <v>28</v>
      </c>
      <c r="AL32" s="10">
        <f xml:space="preserve">  Time!AL$28</f>
        <v>29</v>
      </c>
      <c r="AM32" s="10">
        <f xml:space="preserve">  Time!AM$28</f>
        <v>30</v>
      </c>
      <c r="AN32" s="10">
        <f xml:space="preserve">  Time!AN$28</f>
        <v>31</v>
      </c>
      <c r="AO32" s="10">
        <f xml:space="preserve">  Time!AO$28</f>
        <v>32</v>
      </c>
      <c r="AP32" s="10">
        <f xml:space="preserve">  Time!AP$28</f>
        <v>33</v>
      </c>
      <c r="AQ32" s="10">
        <f xml:space="preserve">  Time!AQ$28</f>
        <v>34</v>
      </c>
      <c r="AR32" s="10">
        <f xml:space="preserve">  Time!AR$28</f>
        <v>35</v>
      </c>
      <c r="AS32" s="10">
        <f xml:space="preserve">  Time!AS$28</f>
        <v>36</v>
      </c>
      <c r="AT32" s="10">
        <f xml:space="preserve">  Time!AT$28</f>
        <v>37</v>
      </c>
      <c r="AU32" s="10">
        <f xml:space="preserve">  Time!AU$28</f>
        <v>38</v>
      </c>
      <c r="AV32" s="10">
        <f xml:space="preserve">  Time!AV$28</f>
        <v>39</v>
      </c>
      <c r="AW32" s="10">
        <f xml:space="preserve">  Time!AW$28</f>
        <v>40</v>
      </c>
      <c r="AX32" s="10">
        <f xml:space="preserve">  Time!AX$28</f>
        <v>41</v>
      </c>
      <c r="AY32" s="10">
        <f xml:space="preserve">  Time!AY$28</f>
        <v>42</v>
      </c>
      <c r="AZ32" s="10">
        <f xml:space="preserve">  Time!AZ$28</f>
        <v>43</v>
      </c>
      <c r="BA32" s="10">
        <f xml:space="preserve">  Time!BA$28</f>
        <v>44</v>
      </c>
      <c r="BB32" s="10">
        <f xml:space="preserve">  Time!BB$28</f>
        <v>45</v>
      </c>
      <c r="BC32" s="10">
        <f xml:space="preserve">  Time!BC$28</f>
        <v>46</v>
      </c>
      <c r="BD32" s="10">
        <f xml:space="preserve">  Time!BD$28</f>
        <v>47</v>
      </c>
      <c r="BE32" s="10">
        <f xml:space="preserve">  Time!BE$28</f>
        <v>48</v>
      </c>
      <c r="BF32" s="10">
        <f xml:space="preserve">  Time!BF$28</f>
        <v>49</v>
      </c>
      <c r="BG32" s="10">
        <f xml:space="preserve">  Time!BG$28</f>
        <v>50</v>
      </c>
      <c r="BH32" s="10">
        <f xml:space="preserve">  Time!BH$28</f>
        <v>51</v>
      </c>
      <c r="BI32" s="10">
        <f xml:space="preserve">  Time!BI$28</f>
        <v>52</v>
      </c>
      <c r="BJ32" s="10">
        <f xml:space="preserve">  Time!BJ$28</f>
        <v>53</v>
      </c>
      <c r="BK32" s="10">
        <f xml:space="preserve">  Time!BK$28</f>
        <v>54</v>
      </c>
      <c r="BL32" s="10">
        <f xml:space="preserve">  Time!BL$28</f>
        <v>55</v>
      </c>
      <c r="BM32" s="10">
        <f xml:space="preserve">  Time!BM$28</f>
        <v>56</v>
      </c>
      <c r="BN32" s="10">
        <f xml:space="preserve">  Time!BN$28</f>
        <v>57</v>
      </c>
      <c r="BO32" s="10">
        <f xml:space="preserve">  Time!BO$28</f>
        <v>58</v>
      </c>
      <c r="BP32" s="10">
        <f xml:space="preserve">  Time!BP$28</f>
        <v>59</v>
      </c>
      <c r="BQ32" s="10">
        <f xml:space="preserve">  Time!BQ$28</f>
        <v>60</v>
      </c>
    </row>
    <row r="33" spans="1:69" outlineLevel="1">
      <c r="E33" s="46" t="s">
        <v>343</v>
      </c>
      <c r="G33" s="46" t="s">
        <v>252</v>
      </c>
      <c r="J33" s="2">
        <f t="shared" ref="J33:BQ33" si="8" xml:space="preserve">  I36</f>
        <v>0</v>
      </c>
      <c r="K33" s="2">
        <f t="shared" si="8"/>
        <v>0</v>
      </c>
      <c r="L33" s="2">
        <f t="shared" ca="1" si="8"/>
        <v>52636.589175802554</v>
      </c>
      <c r="M33" s="2">
        <f t="shared" ca="1" si="8"/>
        <v>105720.87423993478</v>
      </c>
      <c r="N33" s="2">
        <f t="shared" ca="1" si="8"/>
        <v>160389.51154664205</v>
      </c>
      <c r="O33" s="2">
        <f t="shared" ca="1" si="8"/>
        <v>215578.0838108141</v>
      </c>
      <c r="P33" s="2">
        <f t="shared" ca="1" si="8"/>
        <v>271299.81803949882</v>
      </c>
      <c r="Q33" s="2">
        <f t="shared" ca="1" si="8"/>
        <v>328726.08987865102</v>
      </c>
      <c r="R33" s="2">
        <f t="shared" ca="1" si="8"/>
        <v>336393.69278257701</v>
      </c>
      <c r="S33" s="2">
        <f t="shared" ca="1" si="8"/>
        <v>335708.43130914558</v>
      </c>
      <c r="T33" s="2">
        <f t="shared" ca="1" si="8"/>
        <v>336232.07329645834</v>
      </c>
      <c r="U33" s="2">
        <f t="shared" ca="1" si="8"/>
        <v>337423.89850387437</v>
      </c>
      <c r="V33" s="2">
        <f t="shared" ca="1" si="8"/>
        <v>339391.44873843325</v>
      </c>
      <c r="W33" s="2">
        <f t="shared" ca="1" si="8"/>
        <v>343291.44873843325</v>
      </c>
      <c r="X33" s="2">
        <f t="shared" ca="1" si="8"/>
        <v>294995.64514018391</v>
      </c>
      <c r="Y33" s="2">
        <f t="shared" ca="1" si="8"/>
        <v>240676.98941578207</v>
      </c>
      <c r="Z33" s="2">
        <f t="shared" ca="1" si="8"/>
        <v>188546.64739270287</v>
      </c>
      <c r="AA33" s="2">
        <f t="shared" ca="1" si="8"/>
        <v>137455.44724349567</v>
      </c>
      <c r="AB33" s="2">
        <f t="shared" ca="1" si="8"/>
        <v>87429.740060496319</v>
      </c>
      <c r="AC33" s="2">
        <f t="shared" ca="1" si="8"/>
        <v>39801.84797962234</v>
      </c>
      <c r="AD33" s="2">
        <f t="shared" ca="1" si="8"/>
        <v>0</v>
      </c>
      <c r="AE33" s="2">
        <f t="shared" ca="1" si="8"/>
        <v>0</v>
      </c>
      <c r="AF33" s="2">
        <f t="shared" ca="1" si="8"/>
        <v>0</v>
      </c>
      <c r="AG33" s="2">
        <f t="shared" ca="1" si="8"/>
        <v>0</v>
      </c>
      <c r="AH33" s="2">
        <f t="shared" ca="1" si="8"/>
        <v>0</v>
      </c>
      <c r="AI33" s="2">
        <f t="shared" ca="1" si="8"/>
        <v>0</v>
      </c>
      <c r="AJ33" s="2">
        <f t="shared" ca="1" si="8"/>
        <v>0</v>
      </c>
      <c r="AK33" s="2">
        <f t="shared" ca="1" si="8"/>
        <v>0</v>
      </c>
      <c r="AL33" s="2">
        <f t="shared" ca="1" si="8"/>
        <v>0</v>
      </c>
      <c r="AM33" s="2">
        <f t="shared" ca="1" si="8"/>
        <v>0</v>
      </c>
      <c r="AN33" s="2">
        <f t="shared" ca="1" si="8"/>
        <v>0</v>
      </c>
      <c r="AO33" s="2">
        <f t="shared" ca="1" si="8"/>
        <v>0</v>
      </c>
      <c r="AP33" s="2">
        <f t="shared" ca="1" si="8"/>
        <v>0</v>
      </c>
      <c r="AQ33" s="2">
        <f t="shared" ca="1" si="8"/>
        <v>0</v>
      </c>
      <c r="AR33" s="2">
        <f t="shared" ca="1" si="8"/>
        <v>0</v>
      </c>
      <c r="AS33" s="2">
        <f t="shared" ca="1" si="8"/>
        <v>0</v>
      </c>
      <c r="AT33" s="2">
        <f t="shared" ca="1" si="8"/>
        <v>0</v>
      </c>
      <c r="AU33" s="2">
        <f t="shared" ca="1" si="8"/>
        <v>0</v>
      </c>
      <c r="AV33" s="2">
        <f t="shared" ca="1" si="8"/>
        <v>0</v>
      </c>
      <c r="AW33" s="2">
        <f t="shared" ca="1" si="8"/>
        <v>0</v>
      </c>
      <c r="AX33" s="2">
        <f t="shared" ca="1" si="8"/>
        <v>0</v>
      </c>
      <c r="AY33" s="2">
        <f t="shared" ca="1" si="8"/>
        <v>0</v>
      </c>
      <c r="AZ33" s="2">
        <f t="shared" ca="1" si="8"/>
        <v>0</v>
      </c>
      <c r="BA33" s="2">
        <f t="shared" ca="1" si="8"/>
        <v>0</v>
      </c>
      <c r="BB33" s="2">
        <f t="shared" ca="1" si="8"/>
        <v>0</v>
      </c>
      <c r="BC33" s="2">
        <f t="shared" ca="1" si="8"/>
        <v>0</v>
      </c>
      <c r="BD33" s="2">
        <f t="shared" ca="1" si="8"/>
        <v>0</v>
      </c>
      <c r="BE33" s="2">
        <f t="shared" ca="1" si="8"/>
        <v>0</v>
      </c>
      <c r="BF33" s="2">
        <f t="shared" ca="1" si="8"/>
        <v>0</v>
      </c>
      <c r="BG33" s="2">
        <f t="shared" ca="1" si="8"/>
        <v>0</v>
      </c>
      <c r="BH33" s="2">
        <f t="shared" ca="1" si="8"/>
        <v>0</v>
      </c>
      <c r="BI33" s="2">
        <f t="shared" ca="1" si="8"/>
        <v>0</v>
      </c>
      <c r="BJ33" s="2">
        <f t="shared" ca="1" si="8"/>
        <v>0</v>
      </c>
      <c r="BK33" s="2">
        <f t="shared" ca="1" si="8"/>
        <v>0</v>
      </c>
      <c r="BL33" s="2">
        <f t="shared" ca="1" si="8"/>
        <v>0</v>
      </c>
      <c r="BM33" s="2">
        <f t="shared" ca="1" si="8"/>
        <v>0</v>
      </c>
      <c r="BN33" s="2">
        <f t="shared" ca="1" si="8"/>
        <v>0</v>
      </c>
      <c r="BO33" s="2">
        <f t="shared" ca="1" si="8"/>
        <v>0</v>
      </c>
      <c r="BP33" s="2">
        <f t="shared" ca="1" si="8"/>
        <v>0</v>
      </c>
      <c r="BQ33" s="2">
        <f t="shared" ca="1" si="8"/>
        <v>0</v>
      </c>
    </row>
    <row r="34" spans="1:69" outlineLevel="1">
      <c r="D34" s="88" t="s">
        <v>216</v>
      </c>
      <c r="E34" s="2" t="str">
        <f t="shared" ref="E34:BQ34" si="9" xml:space="preserve">  E$21</f>
        <v>Tax losses arising</v>
      </c>
      <c r="F34" s="2">
        <f t="shared" si="9"/>
        <v>0</v>
      </c>
      <c r="G34" s="2" t="str">
        <f t="shared" si="9"/>
        <v>GBP</v>
      </c>
      <c r="H34" s="2">
        <f t="shared" ca="1" si="9"/>
        <v>396176.71021186467</v>
      </c>
      <c r="I34" s="2">
        <f t="shared" si="9"/>
        <v>0</v>
      </c>
      <c r="J34" s="2">
        <f t="shared" ca="1" si="9"/>
        <v>52200</v>
      </c>
      <c r="K34" s="2">
        <f t="shared" ca="1" si="9"/>
        <v>52636.589175802554</v>
      </c>
      <c r="L34" s="2">
        <f t="shared" ca="1" si="9"/>
        <v>53084.285064132237</v>
      </c>
      <c r="M34" s="2">
        <f t="shared" ca="1" si="9"/>
        <v>54668.637306707271</v>
      </c>
      <c r="N34" s="2">
        <f t="shared" ca="1" si="9"/>
        <v>55188.572264172042</v>
      </c>
      <c r="O34" s="2">
        <f t="shared" ca="1" si="9"/>
        <v>55721.734228684698</v>
      </c>
      <c r="P34" s="2">
        <f t="shared" ca="1" si="9"/>
        <v>57426.271839152228</v>
      </c>
      <c r="Q34" s="2">
        <f t="shared" ca="1" si="9"/>
        <v>7667.6029039260175</v>
      </c>
      <c r="R34" s="2">
        <f t="shared" ca="1" si="9"/>
        <v>0</v>
      </c>
      <c r="S34" s="2">
        <f t="shared" ca="1" si="9"/>
        <v>523.64198731275246</v>
      </c>
      <c r="T34" s="2">
        <f t="shared" ca="1" si="9"/>
        <v>1191.8252074160118</v>
      </c>
      <c r="U34" s="2">
        <f t="shared" ca="1" si="9"/>
        <v>1967.5502345588538</v>
      </c>
      <c r="V34" s="2">
        <f t="shared" ca="1" si="9"/>
        <v>3900.0000000000073</v>
      </c>
      <c r="W34" s="2">
        <f t="shared" ca="1" si="9"/>
        <v>0</v>
      </c>
      <c r="X34" s="2">
        <f t="shared" ca="1" si="9"/>
        <v>0</v>
      </c>
      <c r="Y34" s="2">
        <f t="shared" ca="1" si="9"/>
        <v>0</v>
      </c>
      <c r="Z34" s="2">
        <f t="shared" ca="1" si="9"/>
        <v>0</v>
      </c>
      <c r="AA34" s="2">
        <f t="shared" ca="1" si="9"/>
        <v>0</v>
      </c>
      <c r="AB34" s="2">
        <f t="shared" ca="1" si="9"/>
        <v>0</v>
      </c>
      <c r="AC34" s="2">
        <f t="shared" ca="1" si="9"/>
        <v>0</v>
      </c>
      <c r="AD34" s="2">
        <f t="shared" ca="1" si="9"/>
        <v>0</v>
      </c>
      <c r="AE34" s="2">
        <f t="shared" ca="1" si="9"/>
        <v>0</v>
      </c>
      <c r="AF34" s="2">
        <f t="shared" ca="1" si="9"/>
        <v>0</v>
      </c>
      <c r="AG34" s="2">
        <f t="shared" ca="1" si="9"/>
        <v>0</v>
      </c>
      <c r="AH34" s="2">
        <f t="shared" ca="1" si="9"/>
        <v>0</v>
      </c>
      <c r="AI34" s="2">
        <f t="shared" ca="1" si="9"/>
        <v>0</v>
      </c>
      <c r="AJ34" s="2">
        <f t="shared" ca="1" si="9"/>
        <v>0</v>
      </c>
      <c r="AK34" s="2">
        <f t="shared" ca="1" si="9"/>
        <v>0</v>
      </c>
      <c r="AL34" s="2">
        <f t="shared" ca="1" si="9"/>
        <v>0</v>
      </c>
      <c r="AM34" s="2">
        <f t="shared" ca="1" si="9"/>
        <v>0</v>
      </c>
      <c r="AN34" s="2">
        <f t="shared" ca="1" si="9"/>
        <v>0</v>
      </c>
      <c r="AO34" s="2">
        <f t="shared" ca="1" si="9"/>
        <v>0</v>
      </c>
      <c r="AP34" s="2">
        <f t="shared" ca="1" si="9"/>
        <v>0</v>
      </c>
      <c r="AQ34" s="2">
        <f t="shared" ca="1" si="9"/>
        <v>0</v>
      </c>
      <c r="AR34" s="2">
        <f t="shared" ca="1" si="9"/>
        <v>0</v>
      </c>
      <c r="AS34" s="2">
        <f t="shared" ca="1" si="9"/>
        <v>0</v>
      </c>
      <c r="AT34" s="2">
        <f t="shared" ca="1" si="9"/>
        <v>0</v>
      </c>
      <c r="AU34" s="2">
        <f t="shared" ca="1" si="9"/>
        <v>0</v>
      </c>
      <c r="AV34" s="2">
        <f t="shared" ca="1" si="9"/>
        <v>0</v>
      </c>
      <c r="AW34" s="2">
        <f t="shared" ca="1" si="9"/>
        <v>0</v>
      </c>
      <c r="AX34" s="2">
        <f t="shared" ca="1" si="9"/>
        <v>0</v>
      </c>
      <c r="AY34" s="2">
        <f t="shared" ca="1" si="9"/>
        <v>0</v>
      </c>
      <c r="AZ34" s="2">
        <f t="shared" ca="1" si="9"/>
        <v>0</v>
      </c>
      <c r="BA34" s="2">
        <f t="shared" ca="1" si="9"/>
        <v>0</v>
      </c>
      <c r="BB34" s="2">
        <f t="shared" ca="1" si="9"/>
        <v>0</v>
      </c>
      <c r="BC34" s="2">
        <f t="shared" ca="1" si="9"/>
        <v>0</v>
      </c>
      <c r="BD34" s="2">
        <f t="shared" ca="1" si="9"/>
        <v>0</v>
      </c>
      <c r="BE34" s="2">
        <f t="shared" ca="1" si="9"/>
        <v>0</v>
      </c>
      <c r="BF34" s="2">
        <f t="shared" ca="1" si="9"/>
        <v>0</v>
      </c>
      <c r="BG34" s="2">
        <f t="shared" ca="1" si="9"/>
        <v>0</v>
      </c>
      <c r="BH34" s="2">
        <f t="shared" ca="1" si="9"/>
        <v>0</v>
      </c>
      <c r="BI34" s="2">
        <f t="shared" ca="1" si="9"/>
        <v>0</v>
      </c>
      <c r="BJ34" s="2">
        <f t="shared" ca="1" si="9"/>
        <v>0</v>
      </c>
      <c r="BK34" s="2">
        <f t="shared" ca="1" si="9"/>
        <v>0</v>
      </c>
      <c r="BL34" s="2">
        <f t="shared" ca="1" si="9"/>
        <v>0</v>
      </c>
      <c r="BM34" s="2">
        <f t="shared" ca="1" si="9"/>
        <v>0</v>
      </c>
      <c r="BN34" s="2">
        <f t="shared" ca="1" si="9"/>
        <v>0</v>
      </c>
      <c r="BO34" s="2">
        <f t="shared" ca="1" si="9"/>
        <v>0</v>
      </c>
      <c r="BP34" s="2">
        <f t="shared" ca="1" si="9"/>
        <v>0</v>
      </c>
      <c r="BQ34" s="2">
        <f t="shared" ca="1" si="9"/>
        <v>0</v>
      </c>
    </row>
    <row r="35" spans="1:69" outlineLevel="1">
      <c r="D35" s="88" t="s">
        <v>293</v>
      </c>
      <c r="E35" s="2" t="str">
        <f t="shared" ref="E35:BQ35" si="10" xml:space="preserve">  E$27</f>
        <v>Tax losses utilised</v>
      </c>
      <c r="F35" s="2">
        <f t="shared" si="10"/>
        <v>0</v>
      </c>
      <c r="G35" s="2" t="str">
        <f t="shared" si="10"/>
        <v>GBP</v>
      </c>
      <c r="H35" s="2">
        <f t="shared" ca="1" si="10"/>
        <v>343976.71021186467</v>
      </c>
      <c r="I35" s="2">
        <f t="shared" si="10"/>
        <v>0</v>
      </c>
      <c r="J35" s="2">
        <f t="shared" ca="1" si="10"/>
        <v>0</v>
      </c>
      <c r="K35" s="2">
        <f t="shared" ca="1" si="10"/>
        <v>0</v>
      </c>
      <c r="L35" s="2">
        <f t="shared" ca="1" si="10"/>
        <v>0</v>
      </c>
      <c r="M35" s="2">
        <f t="shared" ca="1" si="10"/>
        <v>0</v>
      </c>
      <c r="N35" s="2">
        <f t="shared" ca="1" si="10"/>
        <v>0</v>
      </c>
      <c r="O35" s="2">
        <f t="shared" ca="1" si="10"/>
        <v>0</v>
      </c>
      <c r="P35" s="2">
        <f t="shared" ca="1" si="10"/>
        <v>0</v>
      </c>
      <c r="Q35" s="2">
        <f t="shared" ca="1" si="10"/>
        <v>0</v>
      </c>
      <c r="R35" s="2">
        <f t="shared" ca="1" si="10"/>
        <v>685.26147343144112</v>
      </c>
      <c r="S35" s="2">
        <f t="shared" ca="1" si="10"/>
        <v>0</v>
      </c>
      <c r="T35" s="2">
        <f t="shared" ca="1" si="10"/>
        <v>0</v>
      </c>
      <c r="U35" s="2">
        <f t="shared" ca="1" si="10"/>
        <v>0</v>
      </c>
      <c r="V35" s="2">
        <f t="shared" ca="1" si="10"/>
        <v>0</v>
      </c>
      <c r="W35" s="2">
        <f t="shared" ca="1" si="10"/>
        <v>48295.803598249338</v>
      </c>
      <c r="X35" s="2">
        <f t="shared" ca="1" si="10"/>
        <v>54318.655724401855</v>
      </c>
      <c r="Y35" s="2">
        <f t="shared" ca="1" si="10"/>
        <v>52130.342023079189</v>
      </c>
      <c r="Z35" s="2">
        <f t="shared" ca="1" si="10"/>
        <v>51091.200149207209</v>
      </c>
      <c r="AA35" s="2">
        <f t="shared" ca="1" si="10"/>
        <v>50025.707182999344</v>
      </c>
      <c r="AB35" s="2">
        <f t="shared" ca="1" si="10"/>
        <v>47627.892080873979</v>
      </c>
      <c r="AC35" s="2">
        <f t="shared" ca="1" si="10"/>
        <v>39801.84797962234</v>
      </c>
      <c r="AD35" s="2">
        <f t="shared" ca="1" si="10"/>
        <v>0</v>
      </c>
      <c r="AE35" s="2">
        <f t="shared" ca="1" si="10"/>
        <v>0</v>
      </c>
      <c r="AF35" s="2">
        <f t="shared" ca="1" si="10"/>
        <v>0</v>
      </c>
      <c r="AG35" s="2">
        <f t="shared" ca="1" si="10"/>
        <v>0</v>
      </c>
      <c r="AH35" s="2">
        <f t="shared" ca="1" si="10"/>
        <v>0</v>
      </c>
      <c r="AI35" s="2">
        <f t="shared" ca="1" si="10"/>
        <v>0</v>
      </c>
      <c r="AJ35" s="2">
        <f t="shared" ca="1" si="10"/>
        <v>0</v>
      </c>
      <c r="AK35" s="2">
        <f t="shared" ca="1" si="10"/>
        <v>0</v>
      </c>
      <c r="AL35" s="2">
        <f t="shared" ca="1" si="10"/>
        <v>0</v>
      </c>
      <c r="AM35" s="2">
        <f t="shared" ca="1" si="10"/>
        <v>0</v>
      </c>
      <c r="AN35" s="2">
        <f t="shared" ca="1" si="10"/>
        <v>0</v>
      </c>
      <c r="AO35" s="2">
        <f t="shared" ca="1" si="10"/>
        <v>0</v>
      </c>
      <c r="AP35" s="2">
        <f t="shared" ca="1" si="10"/>
        <v>0</v>
      </c>
      <c r="AQ35" s="2">
        <f t="shared" ca="1" si="10"/>
        <v>0</v>
      </c>
      <c r="AR35" s="2">
        <f t="shared" ca="1" si="10"/>
        <v>0</v>
      </c>
      <c r="AS35" s="2">
        <f t="shared" ca="1" si="10"/>
        <v>0</v>
      </c>
      <c r="AT35" s="2">
        <f t="shared" ca="1" si="10"/>
        <v>0</v>
      </c>
      <c r="AU35" s="2">
        <f t="shared" ca="1" si="10"/>
        <v>0</v>
      </c>
      <c r="AV35" s="2">
        <f t="shared" ca="1" si="10"/>
        <v>0</v>
      </c>
      <c r="AW35" s="2">
        <f t="shared" ca="1" si="10"/>
        <v>0</v>
      </c>
      <c r="AX35" s="2">
        <f t="shared" ca="1" si="10"/>
        <v>0</v>
      </c>
      <c r="AY35" s="2">
        <f t="shared" ca="1" si="10"/>
        <v>0</v>
      </c>
      <c r="AZ35" s="2">
        <f t="shared" ca="1" si="10"/>
        <v>0</v>
      </c>
      <c r="BA35" s="2">
        <f t="shared" ca="1" si="10"/>
        <v>0</v>
      </c>
      <c r="BB35" s="2">
        <f t="shared" ca="1" si="10"/>
        <v>0</v>
      </c>
      <c r="BC35" s="2">
        <f t="shared" ca="1" si="10"/>
        <v>0</v>
      </c>
      <c r="BD35" s="2">
        <f t="shared" ca="1" si="10"/>
        <v>0</v>
      </c>
      <c r="BE35" s="2">
        <f t="shared" ca="1" si="10"/>
        <v>0</v>
      </c>
      <c r="BF35" s="2">
        <f t="shared" ca="1" si="10"/>
        <v>0</v>
      </c>
      <c r="BG35" s="2">
        <f t="shared" ca="1" si="10"/>
        <v>0</v>
      </c>
      <c r="BH35" s="2">
        <f t="shared" ca="1" si="10"/>
        <v>0</v>
      </c>
      <c r="BI35" s="2">
        <f t="shared" ca="1" si="10"/>
        <v>0</v>
      </c>
      <c r="BJ35" s="2">
        <f t="shared" ca="1" si="10"/>
        <v>0</v>
      </c>
      <c r="BK35" s="2">
        <f t="shared" ca="1" si="10"/>
        <v>0</v>
      </c>
      <c r="BL35" s="2">
        <f t="shared" ca="1" si="10"/>
        <v>0</v>
      </c>
      <c r="BM35" s="2">
        <f t="shared" ca="1" si="10"/>
        <v>0</v>
      </c>
      <c r="BN35" s="2">
        <f t="shared" ca="1" si="10"/>
        <v>0</v>
      </c>
      <c r="BO35" s="2">
        <f t="shared" ca="1" si="10"/>
        <v>0</v>
      </c>
      <c r="BP35" s="2">
        <f t="shared" ca="1" si="10"/>
        <v>0</v>
      </c>
      <c r="BQ35" s="2">
        <f t="shared" ca="1" si="10"/>
        <v>0</v>
      </c>
    </row>
    <row r="36" spans="1:69" s="83" customFormat="1" outlineLevel="1">
      <c r="A36" s="169"/>
      <c r="B36" s="169"/>
      <c r="C36" s="214"/>
      <c r="D36" s="287"/>
      <c r="E36" s="83" t="s">
        <v>83</v>
      </c>
      <c r="G36" s="83" t="s">
        <v>252</v>
      </c>
      <c r="I36" s="37">
        <f t="shared" ref="I36:BQ36" si="11" xml:space="preserve">  IF( I32 = 1, $F31, I33 + I34 - I35 )</f>
        <v>0</v>
      </c>
      <c r="J36" s="37">
        <f t="shared" si="11"/>
        <v>0</v>
      </c>
      <c r="K36" s="37">
        <f t="shared" ca="1" si="11"/>
        <v>52636.589175802554</v>
      </c>
      <c r="L36" s="37">
        <f t="shared" ca="1" si="11"/>
        <v>105720.87423993478</v>
      </c>
      <c r="M36" s="37">
        <f t="shared" ca="1" si="11"/>
        <v>160389.51154664205</v>
      </c>
      <c r="N36" s="37">
        <f t="shared" ca="1" si="11"/>
        <v>215578.0838108141</v>
      </c>
      <c r="O36" s="37">
        <f t="shared" ca="1" si="11"/>
        <v>271299.81803949882</v>
      </c>
      <c r="P36" s="37">
        <f t="shared" ca="1" si="11"/>
        <v>328726.08987865102</v>
      </c>
      <c r="Q36" s="37">
        <f t="shared" ca="1" si="11"/>
        <v>336393.69278257701</v>
      </c>
      <c r="R36" s="37">
        <f t="shared" ca="1" si="11"/>
        <v>335708.43130914558</v>
      </c>
      <c r="S36" s="37">
        <f t="shared" ca="1" si="11"/>
        <v>336232.07329645834</v>
      </c>
      <c r="T36" s="37">
        <f t="shared" ca="1" si="11"/>
        <v>337423.89850387437</v>
      </c>
      <c r="U36" s="37">
        <f t="shared" ca="1" si="11"/>
        <v>339391.44873843325</v>
      </c>
      <c r="V36" s="37">
        <f t="shared" ca="1" si="11"/>
        <v>343291.44873843325</v>
      </c>
      <c r="W36" s="37">
        <f t="shared" ca="1" si="11"/>
        <v>294995.64514018391</v>
      </c>
      <c r="X36" s="37">
        <f t="shared" ca="1" si="11"/>
        <v>240676.98941578207</v>
      </c>
      <c r="Y36" s="37">
        <f t="shared" ca="1" si="11"/>
        <v>188546.64739270287</v>
      </c>
      <c r="Z36" s="37">
        <f t="shared" ca="1" si="11"/>
        <v>137455.44724349567</v>
      </c>
      <c r="AA36" s="37">
        <f t="shared" ca="1" si="11"/>
        <v>87429.740060496319</v>
      </c>
      <c r="AB36" s="37">
        <f t="shared" ca="1" si="11"/>
        <v>39801.84797962234</v>
      </c>
      <c r="AC36" s="37">
        <f t="shared" ca="1" si="11"/>
        <v>0</v>
      </c>
      <c r="AD36" s="37">
        <f t="shared" ca="1" si="11"/>
        <v>0</v>
      </c>
      <c r="AE36" s="37">
        <f t="shared" ca="1" si="11"/>
        <v>0</v>
      </c>
      <c r="AF36" s="37">
        <f t="shared" ca="1" si="11"/>
        <v>0</v>
      </c>
      <c r="AG36" s="37">
        <f t="shared" ca="1" si="11"/>
        <v>0</v>
      </c>
      <c r="AH36" s="37">
        <f t="shared" ca="1" si="11"/>
        <v>0</v>
      </c>
      <c r="AI36" s="37">
        <f t="shared" ca="1" si="11"/>
        <v>0</v>
      </c>
      <c r="AJ36" s="37">
        <f t="shared" ca="1" si="11"/>
        <v>0</v>
      </c>
      <c r="AK36" s="37">
        <f t="shared" ca="1" si="11"/>
        <v>0</v>
      </c>
      <c r="AL36" s="37">
        <f t="shared" ca="1" si="11"/>
        <v>0</v>
      </c>
      <c r="AM36" s="37">
        <f t="shared" ca="1" si="11"/>
        <v>0</v>
      </c>
      <c r="AN36" s="37">
        <f t="shared" ca="1" si="11"/>
        <v>0</v>
      </c>
      <c r="AO36" s="37">
        <f t="shared" ca="1" si="11"/>
        <v>0</v>
      </c>
      <c r="AP36" s="37">
        <f t="shared" ca="1" si="11"/>
        <v>0</v>
      </c>
      <c r="AQ36" s="37">
        <f t="shared" ca="1" si="11"/>
        <v>0</v>
      </c>
      <c r="AR36" s="37">
        <f t="shared" ca="1" si="11"/>
        <v>0</v>
      </c>
      <c r="AS36" s="37">
        <f t="shared" ca="1" si="11"/>
        <v>0</v>
      </c>
      <c r="AT36" s="37">
        <f t="shared" ca="1" si="11"/>
        <v>0</v>
      </c>
      <c r="AU36" s="37">
        <f t="shared" ca="1" si="11"/>
        <v>0</v>
      </c>
      <c r="AV36" s="37">
        <f t="shared" ca="1" si="11"/>
        <v>0</v>
      </c>
      <c r="AW36" s="37">
        <f t="shared" ca="1" si="11"/>
        <v>0</v>
      </c>
      <c r="AX36" s="37">
        <f t="shared" ca="1" si="11"/>
        <v>0</v>
      </c>
      <c r="AY36" s="37">
        <f t="shared" ca="1" si="11"/>
        <v>0</v>
      </c>
      <c r="AZ36" s="37">
        <f t="shared" ca="1" si="11"/>
        <v>0</v>
      </c>
      <c r="BA36" s="37">
        <f t="shared" ca="1" si="11"/>
        <v>0</v>
      </c>
      <c r="BB36" s="37">
        <f t="shared" ca="1" si="11"/>
        <v>0</v>
      </c>
      <c r="BC36" s="37">
        <f t="shared" ca="1" si="11"/>
        <v>0</v>
      </c>
      <c r="BD36" s="37">
        <f t="shared" ca="1" si="11"/>
        <v>0</v>
      </c>
      <c r="BE36" s="37">
        <f t="shared" ca="1" si="11"/>
        <v>0</v>
      </c>
      <c r="BF36" s="37">
        <f t="shared" ca="1" si="11"/>
        <v>0</v>
      </c>
      <c r="BG36" s="37">
        <f t="shared" ca="1" si="11"/>
        <v>0</v>
      </c>
      <c r="BH36" s="37">
        <f t="shared" ca="1" si="11"/>
        <v>0</v>
      </c>
      <c r="BI36" s="37">
        <f t="shared" ca="1" si="11"/>
        <v>0</v>
      </c>
      <c r="BJ36" s="37">
        <f t="shared" ca="1" si="11"/>
        <v>0</v>
      </c>
      <c r="BK36" s="37">
        <f t="shared" ca="1" si="11"/>
        <v>0</v>
      </c>
      <c r="BL36" s="37">
        <f t="shared" ca="1" si="11"/>
        <v>0</v>
      </c>
      <c r="BM36" s="37">
        <f t="shared" ca="1" si="11"/>
        <v>0</v>
      </c>
      <c r="BN36" s="37">
        <f t="shared" ca="1" si="11"/>
        <v>0</v>
      </c>
      <c r="BO36" s="37">
        <f t="shared" ca="1" si="11"/>
        <v>0</v>
      </c>
      <c r="BP36" s="37">
        <f t="shared" ca="1" si="11"/>
        <v>0</v>
      </c>
      <c r="BQ36" s="37">
        <f t="shared" ca="1" si="11"/>
        <v>0</v>
      </c>
    </row>
    <row r="38" spans="1:69">
      <c r="B38" s="27" t="s">
        <v>136</v>
      </c>
    </row>
    <row r="39" spans="1:69" outlineLevel="1">
      <c r="E39" s="2" t="str">
        <f t="shared" ref="E39:BQ39" si="12" xml:space="preserve">  E$15</f>
        <v>Taxable income</v>
      </c>
      <c r="F39" s="2">
        <f t="shared" si="12"/>
        <v>0</v>
      </c>
      <c r="G39" s="2" t="str">
        <f t="shared" si="12"/>
        <v>GBP</v>
      </c>
      <c r="H39" s="2">
        <f t="shared" ca="1" si="12"/>
        <v>29016336.129058242</v>
      </c>
      <c r="I39" s="2">
        <f t="shared" si="12"/>
        <v>0</v>
      </c>
      <c r="J39" s="2">
        <f t="shared" ca="1" si="12"/>
        <v>0</v>
      </c>
      <c r="K39" s="2">
        <f t="shared" ca="1" si="12"/>
        <v>0</v>
      </c>
      <c r="L39" s="2">
        <f t="shared" ca="1" si="12"/>
        <v>0</v>
      </c>
      <c r="M39" s="2">
        <f t="shared" ca="1" si="12"/>
        <v>0</v>
      </c>
      <c r="N39" s="2">
        <f t="shared" ca="1" si="12"/>
        <v>0</v>
      </c>
      <c r="O39" s="2">
        <f t="shared" ca="1" si="12"/>
        <v>0</v>
      </c>
      <c r="P39" s="2">
        <f t="shared" ca="1" si="12"/>
        <v>0</v>
      </c>
      <c r="Q39" s="2">
        <f t="shared" ca="1" si="12"/>
        <v>0</v>
      </c>
      <c r="R39" s="2">
        <f t="shared" ca="1" si="12"/>
        <v>685.26147343144112</v>
      </c>
      <c r="S39" s="2">
        <f t="shared" ca="1" si="12"/>
        <v>0</v>
      </c>
      <c r="T39" s="2">
        <f t="shared" ca="1" si="12"/>
        <v>0</v>
      </c>
      <c r="U39" s="2">
        <f t="shared" ca="1" si="12"/>
        <v>0</v>
      </c>
      <c r="V39" s="2">
        <f t="shared" ca="1" si="12"/>
        <v>0</v>
      </c>
      <c r="W39" s="2">
        <f t="shared" ca="1" si="12"/>
        <v>48295.803598249338</v>
      </c>
      <c r="X39" s="2">
        <f t="shared" ca="1" si="12"/>
        <v>54318.655724401855</v>
      </c>
      <c r="Y39" s="2">
        <f t="shared" ca="1" si="12"/>
        <v>52130.342023079189</v>
      </c>
      <c r="Z39" s="2">
        <f t="shared" ca="1" si="12"/>
        <v>51091.200149207209</v>
      </c>
      <c r="AA39" s="2">
        <f t="shared" ca="1" si="12"/>
        <v>50025.707182999344</v>
      </c>
      <c r="AB39" s="2">
        <f t="shared" ca="1" si="12"/>
        <v>47627.892080873979</v>
      </c>
      <c r="AC39" s="2">
        <f t="shared" ca="1" si="12"/>
        <v>106431.72764110792</v>
      </c>
      <c r="AD39" s="2">
        <f t="shared" ca="1" si="12"/>
        <v>105109.9483861528</v>
      </c>
      <c r="AE39" s="2">
        <f t="shared" ca="1" si="12"/>
        <v>102454.41677211077</v>
      </c>
      <c r="AF39" s="2">
        <f t="shared" ca="1" si="12"/>
        <v>101126.37000084046</v>
      </c>
      <c r="AG39" s="2">
        <f t="shared" ca="1" si="12"/>
        <v>159571.34926451044</v>
      </c>
      <c r="AH39" s="2">
        <f t="shared" ca="1" si="12"/>
        <v>144247.04487445287</v>
      </c>
      <c r="AI39" s="2">
        <f t="shared" ca="1" si="12"/>
        <v>147744.470542653</v>
      </c>
      <c r="AJ39" s="2">
        <f t="shared" ca="1" si="12"/>
        <v>151542.15027489996</v>
      </c>
      <c r="AK39" s="2">
        <f t="shared" ca="1" si="12"/>
        <v>214146.52299310511</v>
      </c>
      <c r="AL39" s="2">
        <f t="shared" ca="1" si="12"/>
        <v>218311.94589381106</v>
      </c>
      <c r="AM39" s="2">
        <f t="shared" ca="1" si="12"/>
        <v>222834.95039658749</v>
      </c>
      <c r="AN39" s="2">
        <f t="shared" ca="1" si="12"/>
        <v>286157.26818366215</v>
      </c>
      <c r="AO39" s="2">
        <f t="shared" ca="1" si="12"/>
        <v>291236.02915218205</v>
      </c>
      <c r="AP39" s="2">
        <f t="shared" ca="1" si="12"/>
        <v>356468.62593682233</v>
      </c>
      <c r="AQ39" s="2">
        <f t="shared" ca="1" si="12"/>
        <v>360646.03551622567</v>
      </c>
      <c r="AR39" s="2">
        <f t="shared" ca="1" si="12"/>
        <v>366965.62281422492</v>
      </c>
      <c r="AS39" s="2">
        <f t="shared" ca="1" si="12"/>
        <v>433201.61885766347</v>
      </c>
      <c r="AT39" s="2">
        <f t="shared" ca="1" si="12"/>
        <v>438595.99869625905</v>
      </c>
      <c r="AU39" s="2">
        <f t="shared" ca="1" si="12"/>
        <v>445567.60088937799</v>
      </c>
      <c r="AV39" s="2">
        <f t="shared" ca="1" si="12"/>
        <v>513174.52487996756</v>
      </c>
      <c r="AW39" s="2">
        <f t="shared" ca="1" si="12"/>
        <v>519584.78337262332</v>
      </c>
      <c r="AX39" s="2">
        <f t="shared" ca="1" si="12"/>
        <v>587926.54464323306</v>
      </c>
      <c r="AY39" s="2">
        <f t="shared" ca="1" si="12"/>
        <v>596982.97222091816</v>
      </c>
      <c r="AZ39" s="2">
        <f t="shared" ca="1" si="12"/>
        <v>664856.64108147239</v>
      </c>
      <c r="BA39" s="2">
        <f t="shared" ca="1" si="12"/>
        <v>735023.36496116361</v>
      </c>
      <c r="BB39" s="2">
        <f t="shared" ca="1" si="12"/>
        <v>745482.82597049908</v>
      </c>
      <c r="BC39" s="2">
        <f t="shared" ca="1" si="12"/>
        <v>815106.45812503842</v>
      </c>
      <c r="BD39" s="2">
        <f t="shared" ca="1" si="12"/>
        <v>887775.88325719081</v>
      </c>
      <c r="BE39" s="2">
        <f t="shared" ca="1" si="12"/>
        <v>900250.51462405594</v>
      </c>
      <c r="BF39" s="2">
        <f t="shared" ca="1" si="12"/>
        <v>966881.76384714292</v>
      </c>
      <c r="BG39" s="2">
        <f t="shared" ca="1" si="12"/>
        <v>1045959.279288227</v>
      </c>
      <c r="BH39" s="2">
        <f t="shared" ca="1" si="12"/>
        <v>1126556.4899215132</v>
      </c>
      <c r="BI39" s="2">
        <f t="shared" ca="1" si="12"/>
        <v>1206373.9328553556</v>
      </c>
      <c r="BJ39" s="2">
        <f t="shared" ca="1" si="12"/>
        <v>1289090.1972053763</v>
      </c>
      <c r="BK39" s="2">
        <f t="shared" ca="1" si="12"/>
        <v>1373616.0283552604</v>
      </c>
      <c r="BL39" s="2">
        <f t="shared" ca="1" si="12"/>
        <v>1457479.832938516</v>
      </c>
      <c r="BM39" s="2">
        <f t="shared" ca="1" si="12"/>
        <v>1545015.3091092939</v>
      </c>
      <c r="BN39" s="2">
        <f t="shared" ca="1" si="12"/>
        <v>1633831.8905769372</v>
      </c>
      <c r="BO39" s="2">
        <f t="shared" ca="1" si="12"/>
        <v>1722562.3210078047</v>
      </c>
      <c r="BP39" s="2">
        <f t="shared" ca="1" si="12"/>
        <v>1816143.9959894854</v>
      </c>
      <c r="BQ39" s="2">
        <f t="shared" ca="1" si="12"/>
        <v>1910126.0155082804</v>
      </c>
    </row>
    <row r="40" spans="1:69" outlineLevel="1">
      <c r="E40" s="2" t="str">
        <f t="shared" ref="E40:BQ40" si="13" xml:space="preserve">  E$27</f>
        <v>Tax losses utilised</v>
      </c>
      <c r="F40" s="2">
        <f t="shared" si="13"/>
        <v>0</v>
      </c>
      <c r="G40" s="2" t="str">
        <f t="shared" si="13"/>
        <v>GBP</v>
      </c>
      <c r="H40" s="2">
        <f t="shared" ca="1" si="13"/>
        <v>343976.71021186467</v>
      </c>
      <c r="I40" s="2">
        <f t="shared" si="13"/>
        <v>0</v>
      </c>
      <c r="J40" s="2">
        <f t="shared" ca="1" si="13"/>
        <v>0</v>
      </c>
      <c r="K40" s="2">
        <f t="shared" ca="1" si="13"/>
        <v>0</v>
      </c>
      <c r="L40" s="2">
        <f t="shared" ca="1" si="13"/>
        <v>0</v>
      </c>
      <c r="M40" s="2">
        <f t="shared" ca="1" si="13"/>
        <v>0</v>
      </c>
      <c r="N40" s="2">
        <f t="shared" ca="1" si="13"/>
        <v>0</v>
      </c>
      <c r="O40" s="2">
        <f t="shared" ca="1" si="13"/>
        <v>0</v>
      </c>
      <c r="P40" s="2">
        <f t="shared" ca="1" si="13"/>
        <v>0</v>
      </c>
      <c r="Q40" s="2">
        <f t="shared" ca="1" si="13"/>
        <v>0</v>
      </c>
      <c r="R40" s="2">
        <f t="shared" ca="1" si="13"/>
        <v>685.26147343144112</v>
      </c>
      <c r="S40" s="2">
        <f t="shared" ca="1" si="13"/>
        <v>0</v>
      </c>
      <c r="T40" s="2">
        <f t="shared" ca="1" si="13"/>
        <v>0</v>
      </c>
      <c r="U40" s="2">
        <f t="shared" ca="1" si="13"/>
        <v>0</v>
      </c>
      <c r="V40" s="2">
        <f t="shared" ca="1" si="13"/>
        <v>0</v>
      </c>
      <c r="W40" s="2">
        <f t="shared" ca="1" si="13"/>
        <v>48295.803598249338</v>
      </c>
      <c r="X40" s="2">
        <f t="shared" ca="1" si="13"/>
        <v>54318.655724401855</v>
      </c>
      <c r="Y40" s="2">
        <f t="shared" ca="1" si="13"/>
        <v>52130.342023079189</v>
      </c>
      <c r="Z40" s="2">
        <f t="shared" ca="1" si="13"/>
        <v>51091.200149207209</v>
      </c>
      <c r="AA40" s="2">
        <f t="shared" ca="1" si="13"/>
        <v>50025.707182999344</v>
      </c>
      <c r="AB40" s="2">
        <f t="shared" ca="1" si="13"/>
        <v>47627.892080873979</v>
      </c>
      <c r="AC40" s="2">
        <f t="shared" ca="1" si="13"/>
        <v>39801.84797962234</v>
      </c>
      <c r="AD40" s="2">
        <f t="shared" ca="1" si="13"/>
        <v>0</v>
      </c>
      <c r="AE40" s="2">
        <f t="shared" ca="1" si="13"/>
        <v>0</v>
      </c>
      <c r="AF40" s="2">
        <f t="shared" ca="1" si="13"/>
        <v>0</v>
      </c>
      <c r="AG40" s="2">
        <f t="shared" ca="1" si="13"/>
        <v>0</v>
      </c>
      <c r="AH40" s="2">
        <f t="shared" ca="1" si="13"/>
        <v>0</v>
      </c>
      <c r="AI40" s="2">
        <f t="shared" ca="1" si="13"/>
        <v>0</v>
      </c>
      <c r="AJ40" s="2">
        <f t="shared" ca="1" si="13"/>
        <v>0</v>
      </c>
      <c r="AK40" s="2">
        <f t="shared" ca="1" si="13"/>
        <v>0</v>
      </c>
      <c r="AL40" s="2">
        <f t="shared" ca="1" si="13"/>
        <v>0</v>
      </c>
      <c r="AM40" s="2">
        <f t="shared" ca="1" si="13"/>
        <v>0</v>
      </c>
      <c r="AN40" s="2">
        <f t="shared" ca="1" si="13"/>
        <v>0</v>
      </c>
      <c r="AO40" s="2">
        <f t="shared" ca="1" si="13"/>
        <v>0</v>
      </c>
      <c r="AP40" s="2">
        <f t="shared" ca="1" si="13"/>
        <v>0</v>
      </c>
      <c r="AQ40" s="2">
        <f t="shared" ca="1" si="13"/>
        <v>0</v>
      </c>
      <c r="AR40" s="2">
        <f t="shared" ca="1" si="13"/>
        <v>0</v>
      </c>
      <c r="AS40" s="2">
        <f t="shared" ca="1" si="13"/>
        <v>0</v>
      </c>
      <c r="AT40" s="2">
        <f t="shared" ca="1" si="13"/>
        <v>0</v>
      </c>
      <c r="AU40" s="2">
        <f t="shared" ca="1" si="13"/>
        <v>0</v>
      </c>
      <c r="AV40" s="2">
        <f t="shared" ca="1" si="13"/>
        <v>0</v>
      </c>
      <c r="AW40" s="2">
        <f t="shared" ca="1" si="13"/>
        <v>0</v>
      </c>
      <c r="AX40" s="2">
        <f t="shared" ca="1" si="13"/>
        <v>0</v>
      </c>
      <c r="AY40" s="2">
        <f t="shared" ca="1" si="13"/>
        <v>0</v>
      </c>
      <c r="AZ40" s="2">
        <f t="shared" ca="1" si="13"/>
        <v>0</v>
      </c>
      <c r="BA40" s="2">
        <f t="shared" ca="1" si="13"/>
        <v>0</v>
      </c>
      <c r="BB40" s="2">
        <f t="shared" ca="1" si="13"/>
        <v>0</v>
      </c>
      <c r="BC40" s="2">
        <f t="shared" ca="1" si="13"/>
        <v>0</v>
      </c>
      <c r="BD40" s="2">
        <f t="shared" ca="1" si="13"/>
        <v>0</v>
      </c>
      <c r="BE40" s="2">
        <f t="shared" ca="1" si="13"/>
        <v>0</v>
      </c>
      <c r="BF40" s="2">
        <f t="shared" ca="1" si="13"/>
        <v>0</v>
      </c>
      <c r="BG40" s="2">
        <f t="shared" ca="1" si="13"/>
        <v>0</v>
      </c>
      <c r="BH40" s="2">
        <f t="shared" ca="1" si="13"/>
        <v>0</v>
      </c>
      <c r="BI40" s="2">
        <f t="shared" ca="1" si="13"/>
        <v>0</v>
      </c>
      <c r="BJ40" s="2">
        <f t="shared" ca="1" si="13"/>
        <v>0</v>
      </c>
      <c r="BK40" s="2">
        <f t="shared" ca="1" si="13"/>
        <v>0</v>
      </c>
      <c r="BL40" s="2">
        <f t="shared" ca="1" si="13"/>
        <v>0</v>
      </c>
      <c r="BM40" s="2">
        <f t="shared" ca="1" si="13"/>
        <v>0</v>
      </c>
      <c r="BN40" s="2">
        <f t="shared" ca="1" si="13"/>
        <v>0</v>
      </c>
      <c r="BO40" s="2">
        <f t="shared" ca="1" si="13"/>
        <v>0</v>
      </c>
      <c r="BP40" s="2">
        <f t="shared" ca="1" si="13"/>
        <v>0</v>
      </c>
      <c r="BQ40" s="2">
        <f t="shared" ca="1" si="13"/>
        <v>0</v>
      </c>
    </row>
    <row r="41" spans="1:69" outlineLevel="1">
      <c r="E41" s="46" t="s">
        <v>136</v>
      </c>
      <c r="G41" s="46" t="s">
        <v>252</v>
      </c>
      <c r="H41" s="2">
        <f ca="1" xml:space="preserve"> SUM( J41:BQ41 )</f>
        <v>28672359.418846376</v>
      </c>
      <c r="J41" s="2">
        <f t="shared" ref="J41:BQ41" ca="1" si="14" xml:space="preserve">  J39 - J40</f>
        <v>0</v>
      </c>
      <c r="K41" s="2">
        <f t="shared" ca="1" si="14"/>
        <v>0</v>
      </c>
      <c r="L41" s="2">
        <f t="shared" ca="1" si="14"/>
        <v>0</v>
      </c>
      <c r="M41" s="2">
        <f t="shared" ca="1" si="14"/>
        <v>0</v>
      </c>
      <c r="N41" s="2">
        <f t="shared" ca="1" si="14"/>
        <v>0</v>
      </c>
      <c r="O41" s="2">
        <f t="shared" ca="1" si="14"/>
        <v>0</v>
      </c>
      <c r="P41" s="2">
        <f t="shared" ca="1" si="14"/>
        <v>0</v>
      </c>
      <c r="Q41" s="2">
        <f t="shared" ca="1" si="14"/>
        <v>0</v>
      </c>
      <c r="R41" s="2">
        <f t="shared" ca="1" si="14"/>
        <v>0</v>
      </c>
      <c r="S41" s="2">
        <f t="shared" ca="1" si="14"/>
        <v>0</v>
      </c>
      <c r="T41" s="2">
        <f t="shared" ca="1" si="14"/>
        <v>0</v>
      </c>
      <c r="U41" s="2">
        <f t="shared" ca="1" si="14"/>
        <v>0</v>
      </c>
      <c r="V41" s="2">
        <f t="shared" ca="1" si="14"/>
        <v>0</v>
      </c>
      <c r="W41" s="2">
        <f t="shared" ca="1" si="14"/>
        <v>0</v>
      </c>
      <c r="X41" s="2">
        <f t="shared" ca="1" si="14"/>
        <v>0</v>
      </c>
      <c r="Y41" s="2">
        <f t="shared" ca="1" si="14"/>
        <v>0</v>
      </c>
      <c r="Z41" s="2">
        <f t="shared" ca="1" si="14"/>
        <v>0</v>
      </c>
      <c r="AA41" s="2">
        <f t="shared" ca="1" si="14"/>
        <v>0</v>
      </c>
      <c r="AB41" s="2">
        <f t="shared" ca="1" si="14"/>
        <v>0</v>
      </c>
      <c r="AC41" s="2">
        <f t="shared" ca="1" si="14"/>
        <v>66629.879661485582</v>
      </c>
      <c r="AD41" s="2">
        <f t="shared" ca="1" si="14"/>
        <v>105109.9483861528</v>
      </c>
      <c r="AE41" s="2">
        <f t="shared" ca="1" si="14"/>
        <v>102454.41677211077</v>
      </c>
      <c r="AF41" s="2">
        <f t="shared" ca="1" si="14"/>
        <v>101126.37000084046</v>
      </c>
      <c r="AG41" s="2">
        <f t="shared" ca="1" si="14"/>
        <v>159571.34926451044</v>
      </c>
      <c r="AH41" s="2">
        <f t="shared" ca="1" si="14"/>
        <v>144247.04487445287</v>
      </c>
      <c r="AI41" s="2">
        <f t="shared" ca="1" si="14"/>
        <v>147744.470542653</v>
      </c>
      <c r="AJ41" s="2">
        <f t="shared" ca="1" si="14"/>
        <v>151542.15027489996</v>
      </c>
      <c r="AK41" s="2">
        <f t="shared" ca="1" si="14"/>
        <v>214146.52299310511</v>
      </c>
      <c r="AL41" s="2">
        <f t="shared" ca="1" si="14"/>
        <v>218311.94589381106</v>
      </c>
      <c r="AM41" s="2">
        <f t="shared" ca="1" si="14"/>
        <v>222834.95039658749</v>
      </c>
      <c r="AN41" s="2">
        <f t="shared" ca="1" si="14"/>
        <v>286157.26818366215</v>
      </c>
      <c r="AO41" s="2">
        <f t="shared" ca="1" si="14"/>
        <v>291236.02915218205</v>
      </c>
      <c r="AP41" s="2">
        <f t="shared" ca="1" si="14"/>
        <v>356468.62593682233</v>
      </c>
      <c r="AQ41" s="2">
        <f t="shared" ca="1" si="14"/>
        <v>360646.03551622567</v>
      </c>
      <c r="AR41" s="2">
        <f t="shared" ca="1" si="14"/>
        <v>366965.62281422492</v>
      </c>
      <c r="AS41" s="2">
        <f t="shared" ca="1" si="14"/>
        <v>433201.61885766347</v>
      </c>
      <c r="AT41" s="2">
        <f t="shared" ca="1" si="14"/>
        <v>438595.99869625905</v>
      </c>
      <c r="AU41" s="2">
        <f t="shared" ca="1" si="14"/>
        <v>445567.60088937799</v>
      </c>
      <c r="AV41" s="2">
        <f t="shared" ca="1" si="14"/>
        <v>513174.52487996756</v>
      </c>
      <c r="AW41" s="2">
        <f t="shared" ca="1" si="14"/>
        <v>519584.78337262332</v>
      </c>
      <c r="AX41" s="2">
        <f t="shared" ca="1" si="14"/>
        <v>587926.54464323306</v>
      </c>
      <c r="AY41" s="2">
        <f t="shared" ca="1" si="14"/>
        <v>596982.97222091816</v>
      </c>
      <c r="AZ41" s="2">
        <f t="shared" ca="1" si="14"/>
        <v>664856.64108147239</v>
      </c>
      <c r="BA41" s="2">
        <f t="shared" ca="1" si="14"/>
        <v>735023.36496116361</v>
      </c>
      <c r="BB41" s="2">
        <f t="shared" ca="1" si="14"/>
        <v>745482.82597049908</v>
      </c>
      <c r="BC41" s="2">
        <f t="shared" ca="1" si="14"/>
        <v>815106.45812503842</v>
      </c>
      <c r="BD41" s="2">
        <f t="shared" ca="1" si="14"/>
        <v>887775.88325719081</v>
      </c>
      <c r="BE41" s="2">
        <f t="shared" ca="1" si="14"/>
        <v>900250.51462405594</v>
      </c>
      <c r="BF41" s="2">
        <f t="shared" ca="1" si="14"/>
        <v>966881.76384714292</v>
      </c>
      <c r="BG41" s="2">
        <f t="shared" ca="1" si="14"/>
        <v>1045959.279288227</v>
      </c>
      <c r="BH41" s="2">
        <f t="shared" ca="1" si="14"/>
        <v>1126556.4899215132</v>
      </c>
      <c r="BI41" s="2">
        <f t="shared" ca="1" si="14"/>
        <v>1206373.9328553556</v>
      </c>
      <c r="BJ41" s="2">
        <f t="shared" ca="1" si="14"/>
        <v>1289090.1972053763</v>
      </c>
      <c r="BK41" s="2">
        <f t="shared" ca="1" si="14"/>
        <v>1373616.0283552604</v>
      </c>
      <c r="BL41" s="2">
        <f t="shared" ca="1" si="14"/>
        <v>1457479.832938516</v>
      </c>
      <c r="BM41" s="2">
        <f t="shared" ca="1" si="14"/>
        <v>1545015.3091092939</v>
      </c>
      <c r="BN41" s="2">
        <f t="shared" ca="1" si="14"/>
        <v>1633831.8905769372</v>
      </c>
      <c r="BO41" s="2">
        <f t="shared" ca="1" si="14"/>
        <v>1722562.3210078047</v>
      </c>
      <c r="BP41" s="2">
        <f t="shared" ca="1" si="14"/>
        <v>1816143.9959894854</v>
      </c>
      <c r="BQ41" s="2">
        <f t="shared" ca="1" si="14"/>
        <v>1910126.0155082804</v>
      </c>
    </row>
    <row r="44" spans="1:69">
      <c r="B44" s="27" t="s">
        <v>263</v>
      </c>
    </row>
    <row r="45" spans="1:69" outlineLevel="1">
      <c r="A45" s="18"/>
      <c r="B45" s="18"/>
      <c r="C45" s="30"/>
      <c r="D45" s="31"/>
      <c r="E45" s="44" t="str">
        <f xml:space="preserve">  InpC!E$88</f>
        <v>Corporation tax rate</v>
      </c>
      <c r="F45" s="44">
        <f xml:space="preserve">  InpC!F$88</f>
        <v>0.2</v>
      </c>
      <c r="G45" s="44" t="str">
        <f xml:space="preserve">  InpC!G$88</f>
        <v>%</v>
      </c>
      <c r="M45" s="58"/>
    </row>
    <row r="46" spans="1:69" outlineLevel="1">
      <c r="E46" s="2" t="str">
        <f t="shared" ref="E46:BQ46" si="15" xml:space="preserve">  E$41</f>
        <v>Taxable income net of tax losses utilised</v>
      </c>
      <c r="F46" s="2">
        <f t="shared" si="15"/>
        <v>0</v>
      </c>
      <c r="G46" s="2" t="str">
        <f t="shared" si="15"/>
        <v>GBP</v>
      </c>
      <c r="H46" s="2">
        <f t="shared" ca="1" si="15"/>
        <v>28672359.418846376</v>
      </c>
      <c r="I46" s="2">
        <f t="shared" si="15"/>
        <v>0</v>
      </c>
      <c r="J46" s="2">
        <f t="shared" ca="1" si="15"/>
        <v>0</v>
      </c>
      <c r="K46" s="2">
        <f t="shared" ca="1" si="15"/>
        <v>0</v>
      </c>
      <c r="L46" s="2">
        <f t="shared" ca="1" si="15"/>
        <v>0</v>
      </c>
      <c r="M46" s="2">
        <f t="shared" ca="1" si="15"/>
        <v>0</v>
      </c>
      <c r="N46" s="2">
        <f t="shared" ca="1" si="15"/>
        <v>0</v>
      </c>
      <c r="O46" s="2">
        <f t="shared" ca="1" si="15"/>
        <v>0</v>
      </c>
      <c r="P46" s="2">
        <f t="shared" ca="1" si="15"/>
        <v>0</v>
      </c>
      <c r="Q46" s="2">
        <f t="shared" ca="1" si="15"/>
        <v>0</v>
      </c>
      <c r="R46" s="2">
        <f t="shared" ca="1" si="15"/>
        <v>0</v>
      </c>
      <c r="S46" s="2">
        <f t="shared" ca="1" si="15"/>
        <v>0</v>
      </c>
      <c r="T46" s="2">
        <f t="shared" ca="1" si="15"/>
        <v>0</v>
      </c>
      <c r="U46" s="2">
        <f t="shared" ca="1" si="15"/>
        <v>0</v>
      </c>
      <c r="V46" s="2">
        <f t="shared" ca="1" si="15"/>
        <v>0</v>
      </c>
      <c r="W46" s="2">
        <f t="shared" ca="1" si="15"/>
        <v>0</v>
      </c>
      <c r="X46" s="2">
        <f t="shared" ca="1" si="15"/>
        <v>0</v>
      </c>
      <c r="Y46" s="2">
        <f t="shared" ca="1" si="15"/>
        <v>0</v>
      </c>
      <c r="Z46" s="2">
        <f t="shared" ca="1" si="15"/>
        <v>0</v>
      </c>
      <c r="AA46" s="2">
        <f t="shared" ca="1" si="15"/>
        <v>0</v>
      </c>
      <c r="AB46" s="2">
        <f t="shared" ca="1" si="15"/>
        <v>0</v>
      </c>
      <c r="AC46" s="2">
        <f t="shared" ca="1" si="15"/>
        <v>66629.879661485582</v>
      </c>
      <c r="AD46" s="2">
        <f t="shared" ca="1" si="15"/>
        <v>105109.9483861528</v>
      </c>
      <c r="AE46" s="2">
        <f t="shared" ca="1" si="15"/>
        <v>102454.41677211077</v>
      </c>
      <c r="AF46" s="2">
        <f t="shared" ca="1" si="15"/>
        <v>101126.37000084046</v>
      </c>
      <c r="AG46" s="2">
        <f t="shared" ca="1" si="15"/>
        <v>159571.34926451044</v>
      </c>
      <c r="AH46" s="2">
        <f t="shared" ca="1" si="15"/>
        <v>144247.04487445287</v>
      </c>
      <c r="AI46" s="2">
        <f t="shared" ca="1" si="15"/>
        <v>147744.470542653</v>
      </c>
      <c r="AJ46" s="2">
        <f t="shared" ca="1" si="15"/>
        <v>151542.15027489996</v>
      </c>
      <c r="AK46" s="2">
        <f t="shared" ca="1" si="15"/>
        <v>214146.52299310511</v>
      </c>
      <c r="AL46" s="2">
        <f t="shared" ca="1" si="15"/>
        <v>218311.94589381106</v>
      </c>
      <c r="AM46" s="2">
        <f t="shared" ca="1" si="15"/>
        <v>222834.95039658749</v>
      </c>
      <c r="AN46" s="2">
        <f t="shared" ca="1" si="15"/>
        <v>286157.26818366215</v>
      </c>
      <c r="AO46" s="2">
        <f t="shared" ca="1" si="15"/>
        <v>291236.02915218205</v>
      </c>
      <c r="AP46" s="2">
        <f t="shared" ca="1" si="15"/>
        <v>356468.62593682233</v>
      </c>
      <c r="AQ46" s="2">
        <f t="shared" ca="1" si="15"/>
        <v>360646.03551622567</v>
      </c>
      <c r="AR46" s="2">
        <f t="shared" ca="1" si="15"/>
        <v>366965.62281422492</v>
      </c>
      <c r="AS46" s="2">
        <f t="shared" ca="1" si="15"/>
        <v>433201.61885766347</v>
      </c>
      <c r="AT46" s="2">
        <f t="shared" ca="1" si="15"/>
        <v>438595.99869625905</v>
      </c>
      <c r="AU46" s="2">
        <f t="shared" ca="1" si="15"/>
        <v>445567.60088937799</v>
      </c>
      <c r="AV46" s="2">
        <f t="shared" ca="1" si="15"/>
        <v>513174.52487996756</v>
      </c>
      <c r="AW46" s="2">
        <f t="shared" ca="1" si="15"/>
        <v>519584.78337262332</v>
      </c>
      <c r="AX46" s="2">
        <f t="shared" ca="1" si="15"/>
        <v>587926.54464323306</v>
      </c>
      <c r="AY46" s="2">
        <f t="shared" ca="1" si="15"/>
        <v>596982.97222091816</v>
      </c>
      <c r="AZ46" s="2">
        <f t="shared" ca="1" si="15"/>
        <v>664856.64108147239</v>
      </c>
      <c r="BA46" s="2">
        <f t="shared" ca="1" si="15"/>
        <v>735023.36496116361</v>
      </c>
      <c r="BB46" s="2">
        <f t="shared" ca="1" si="15"/>
        <v>745482.82597049908</v>
      </c>
      <c r="BC46" s="2">
        <f t="shared" ca="1" si="15"/>
        <v>815106.45812503842</v>
      </c>
      <c r="BD46" s="2">
        <f t="shared" ca="1" si="15"/>
        <v>887775.88325719081</v>
      </c>
      <c r="BE46" s="2">
        <f t="shared" ca="1" si="15"/>
        <v>900250.51462405594</v>
      </c>
      <c r="BF46" s="2">
        <f t="shared" ca="1" si="15"/>
        <v>966881.76384714292</v>
      </c>
      <c r="BG46" s="2">
        <f t="shared" ca="1" si="15"/>
        <v>1045959.279288227</v>
      </c>
      <c r="BH46" s="2">
        <f t="shared" ca="1" si="15"/>
        <v>1126556.4899215132</v>
      </c>
      <c r="BI46" s="2">
        <f t="shared" ca="1" si="15"/>
        <v>1206373.9328553556</v>
      </c>
      <c r="BJ46" s="2">
        <f t="shared" ca="1" si="15"/>
        <v>1289090.1972053763</v>
      </c>
      <c r="BK46" s="2">
        <f t="shared" ca="1" si="15"/>
        <v>1373616.0283552604</v>
      </c>
      <c r="BL46" s="2">
        <f t="shared" ca="1" si="15"/>
        <v>1457479.832938516</v>
      </c>
      <c r="BM46" s="2">
        <f t="shared" ca="1" si="15"/>
        <v>1545015.3091092939</v>
      </c>
      <c r="BN46" s="2">
        <f t="shared" ca="1" si="15"/>
        <v>1633831.8905769372</v>
      </c>
      <c r="BO46" s="2">
        <f t="shared" ca="1" si="15"/>
        <v>1722562.3210078047</v>
      </c>
      <c r="BP46" s="2">
        <f t="shared" ca="1" si="15"/>
        <v>1816143.9959894854</v>
      </c>
      <c r="BQ46" s="2">
        <f t="shared" ca="1" si="15"/>
        <v>1910126.0155082804</v>
      </c>
    </row>
    <row r="47" spans="1:69" outlineLevel="1">
      <c r="E47" s="46" t="s">
        <v>65</v>
      </c>
      <c r="G47" s="46" t="s">
        <v>252</v>
      </c>
      <c r="H47" s="2">
        <f t="shared" ref="H47:H48" ca="1" si="16" xml:space="preserve"> SUM( J47:BQ47 )</f>
        <v>5734471.8837692766</v>
      </c>
      <c r="J47" s="2">
        <f t="shared" ref="J47:BQ47" ca="1" si="17" xml:space="preserve">  $F45 * J46</f>
        <v>0</v>
      </c>
      <c r="K47" s="2">
        <f t="shared" ca="1" si="17"/>
        <v>0</v>
      </c>
      <c r="L47" s="2">
        <f t="shared" ca="1" si="17"/>
        <v>0</v>
      </c>
      <c r="M47" s="2">
        <f t="shared" ca="1" si="17"/>
        <v>0</v>
      </c>
      <c r="N47" s="2">
        <f t="shared" ca="1" si="17"/>
        <v>0</v>
      </c>
      <c r="O47" s="2">
        <f t="shared" ca="1" si="17"/>
        <v>0</v>
      </c>
      <c r="P47" s="2">
        <f t="shared" ca="1" si="17"/>
        <v>0</v>
      </c>
      <c r="Q47" s="2">
        <f t="shared" ca="1" si="17"/>
        <v>0</v>
      </c>
      <c r="R47" s="2">
        <f t="shared" ca="1" si="17"/>
        <v>0</v>
      </c>
      <c r="S47" s="2">
        <f t="shared" ca="1" si="17"/>
        <v>0</v>
      </c>
      <c r="T47" s="2">
        <f t="shared" ca="1" si="17"/>
        <v>0</v>
      </c>
      <c r="U47" s="2">
        <f t="shared" ca="1" si="17"/>
        <v>0</v>
      </c>
      <c r="V47" s="2">
        <f t="shared" ca="1" si="17"/>
        <v>0</v>
      </c>
      <c r="W47" s="2">
        <f t="shared" ca="1" si="17"/>
        <v>0</v>
      </c>
      <c r="X47" s="2">
        <f t="shared" ca="1" si="17"/>
        <v>0</v>
      </c>
      <c r="Y47" s="2">
        <f t="shared" ca="1" si="17"/>
        <v>0</v>
      </c>
      <c r="Z47" s="2">
        <f t="shared" ca="1" si="17"/>
        <v>0</v>
      </c>
      <c r="AA47" s="2">
        <f t="shared" ca="1" si="17"/>
        <v>0</v>
      </c>
      <c r="AB47" s="2">
        <f t="shared" ca="1" si="17"/>
        <v>0</v>
      </c>
      <c r="AC47" s="2">
        <f t="shared" ca="1" si="17"/>
        <v>13325.975932297117</v>
      </c>
      <c r="AD47" s="2">
        <f t="shared" ca="1" si="17"/>
        <v>21021.989677230562</v>
      </c>
      <c r="AE47" s="2">
        <f t="shared" ca="1" si="17"/>
        <v>20490.883354422156</v>
      </c>
      <c r="AF47" s="2">
        <f t="shared" ca="1" si="17"/>
        <v>20225.274000168094</v>
      </c>
      <c r="AG47" s="2">
        <f t="shared" ca="1" si="17"/>
        <v>31914.269852902089</v>
      </c>
      <c r="AH47" s="2">
        <f t="shared" ca="1" si="17"/>
        <v>28849.408974890575</v>
      </c>
      <c r="AI47" s="2">
        <f t="shared" ca="1" si="17"/>
        <v>29548.8941085306</v>
      </c>
      <c r="AJ47" s="2">
        <f t="shared" ca="1" si="17"/>
        <v>30308.430054979995</v>
      </c>
      <c r="AK47" s="2">
        <f t="shared" ca="1" si="17"/>
        <v>42829.304598621027</v>
      </c>
      <c r="AL47" s="2">
        <f t="shared" ca="1" si="17"/>
        <v>43662.389178762212</v>
      </c>
      <c r="AM47" s="2">
        <f t="shared" ca="1" si="17"/>
        <v>44566.990079317504</v>
      </c>
      <c r="AN47" s="2">
        <f t="shared" ca="1" si="17"/>
        <v>57231.453636732433</v>
      </c>
      <c r="AO47" s="2">
        <f t="shared" ca="1" si="17"/>
        <v>58247.205830436411</v>
      </c>
      <c r="AP47" s="2">
        <f t="shared" ca="1" si="17"/>
        <v>71293.725187364471</v>
      </c>
      <c r="AQ47" s="2">
        <f t="shared" ca="1" si="17"/>
        <v>72129.207103245135</v>
      </c>
      <c r="AR47" s="2">
        <f t="shared" ca="1" si="17"/>
        <v>73393.124562844983</v>
      </c>
      <c r="AS47" s="2">
        <f t="shared" ca="1" si="17"/>
        <v>86640.323771532698</v>
      </c>
      <c r="AT47" s="2">
        <f t="shared" ca="1" si="17"/>
        <v>87719.19973925181</v>
      </c>
      <c r="AU47" s="2">
        <f t="shared" ca="1" si="17"/>
        <v>89113.520177875602</v>
      </c>
      <c r="AV47" s="2">
        <f t="shared" ca="1" si="17"/>
        <v>102634.90497599352</v>
      </c>
      <c r="AW47" s="2">
        <f t="shared" ca="1" si="17"/>
        <v>103916.95667452467</v>
      </c>
      <c r="AX47" s="2">
        <f t="shared" ca="1" si="17"/>
        <v>117585.30892864661</v>
      </c>
      <c r="AY47" s="2">
        <f t="shared" ca="1" si="17"/>
        <v>119396.59444418363</v>
      </c>
      <c r="AZ47" s="2">
        <f t="shared" ca="1" si="17"/>
        <v>132971.3282162945</v>
      </c>
      <c r="BA47" s="2">
        <f t="shared" ca="1" si="17"/>
        <v>147004.67299223272</v>
      </c>
      <c r="BB47" s="2">
        <f t="shared" ca="1" si="17"/>
        <v>149096.56519409982</v>
      </c>
      <c r="BC47" s="2">
        <f t="shared" ca="1" si="17"/>
        <v>163021.2916250077</v>
      </c>
      <c r="BD47" s="2">
        <f t="shared" ca="1" si="17"/>
        <v>177555.17665143817</v>
      </c>
      <c r="BE47" s="2">
        <f t="shared" ca="1" si="17"/>
        <v>180050.10292481119</v>
      </c>
      <c r="BF47" s="2">
        <f t="shared" ca="1" si="17"/>
        <v>193376.3527694286</v>
      </c>
      <c r="BG47" s="2">
        <f t="shared" ca="1" si="17"/>
        <v>209191.85585764539</v>
      </c>
      <c r="BH47" s="2">
        <f t="shared" ca="1" si="17"/>
        <v>225311.29798430266</v>
      </c>
      <c r="BI47" s="2">
        <f t="shared" ca="1" si="17"/>
        <v>241274.78657107113</v>
      </c>
      <c r="BJ47" s="2">
        <f t="shared" ca="1" si="17"/>
        <v>257818.03944107529</v>
      </c>
      <c r="BK47" s="2">
        <f t="shared" ca="1" si="17"/>
        <v>274723.2056710521</v>
      </c>
      <c r="BL47" s="2">
        <f t="shared" ca="1" si="17"/>
        <v>291495.96658770321</v>
      </c>
      <c r="BM47" s="2">
        <f t="shared" ca="1" si="17"/>
        <v>309003.06182185881</v>
      </c>
      <c r="BN47" s="2">
        <f t="shared" ca="1" si="17"/>
        <v>326766.37811538746</v>
      </c>
      <c r="BO47" s="2">
        <f t="shared" ca="1" si="17"/>
        <v>344512.46420156094</v>
      </c>
      <c r="BP47" s="2">
        <f t="shared" ca="1" si="17"/>
        <v>363228.79919789708</v>
      </c>
      <c r="BQ47" s="2">
        <f t="shared" ca="1" si="17"/>
        <v>382025.20310165611</v>
      </c>
    </row>
    <row r="48" spans="1:69" outlineLevel="1">
      <c r="A48" s="36"/>
      <c r="B48" s="36"/>
      <c r="C48" s="65"/>
      <c r="D48" s="64"/>
      <c r="E48" s="21" t="str">
        <f xml:space="preserve"> LEFT($E$47, LEN($E$47) - 3 )</f>
        <v xml:space="preserve">Corporation tax </v>
      </c>
      <c r="F48" s="21"/>
      <c r="G48" s="21" t="str">
        <f xml:space="preserve"> G$47</f>
        <v>GBP</v>
      </c>
      <c r="H48" s="3">
        <f t="shared" ca="1" si="16"/>
        <v>-5734471.8837692766</v>
      </c>
      <c r="I48" s="21"/>
      <c r="J48" s="3">
        <f t="shared" ref="J48:BQ48" ca="1" si="18" xml:space="preserve"> -1 * J47</f>
        <v>0</v>
      </c>
      <c r="K48" s="3">
        <f t="shared" ca="1" si="18"/>
        <v>0</v>
      </c>
      <c r="L48" s="3">
        <f t="shared" ca="1" si="18"/>
        <v>0</v>
      </c>
      <c r="M48" s="3">
        <f t="shared" ca="1" si="18"/>
        <v>0</v>
      </c>
      <c r="N48" s="3">
        <f t="shared" ca="1" si="18"/>
        <v>0</v>
      </c>
      <c r="O48" s="3">
        <f t="shared" ca="1" si="18"/>
        <v>0</v>
      </c>
      <c r="P48" s="3">
        <f t="shared" ca="1" si="18"/>
        <v>0</v>
      </c>
      <c r="Q48" s="3">
        <f t="shared" ca="1" si="18"/>
        <v>0</v>
      </c>
      <c r="R48" s="3">
        <f t="shared" ca="1" si="18"/>
        <v>0</v>
      </c>
      <c r="S48" s="3">
        <f t="shared" ca="1" si="18"/>
        <v>0</v>
      </c>
      <c r="T48" s="3">
        <f t="shared" ca="1" si="18"/>
        <v>0</v>
      </c>
      <c r="U48" s="3">
        <f t="shared" ca="1" si="18"/>
        <v>0</v>
      </c>
      <c r="V48" s="3">
        <f t="shared" ca="1" si="18"/>
        <v>0</v>
      </c>
      <c r="W48" s="3">
        <f t="shared" ca="1" si="18"/>
        <v>0</v>
      </c>
      <c r="X48" s="3">
        <f t="shared" ca="1" si="18"/>
        <v>0</v>
      </c>
      <c r="Y48" s="3">
        <f t="shared" ca="1" si="18"/>
        <v>0</v>
      </c>
      <c r="Z48" s="3">
        <f t="shared" ca="1" si="18"/>
        <v>0</v>
      </c>
      <c r="AA48" s="3">
        <f t="shared" ca="1" si="18"/>
        <v>0</v>
      </c>
      <c r="AB48" s="3">
        <f t="shared" ca="1" si="18"/>
        <v>0</v>
      </c>
      <c r="AC48" s="3">
        <f t="shared" ca="1" si="18"/>
        <v>-13325.975932297117</v>
      </c>
      <c r="AD48" s="3">
        <f t="shared" ca="1" si="18"/>
        <v>-21021.989677230562</v>
      </c>
      <c r="AE48" s="3">
        <f t="shared" ca="1" si="18"/>
        <v>-20490.883354422156</v>
      </c>
      <c r="AF48" s="3">
        <f t="shared" ca="1" si="18"/>
        <v>-20225.274000168094</v>
      </c>
      <c r="AG48" s="3">
        <f t="shared" ca="1" si="18"/>
        <v>-31914.269852902089</v>
      </c>
      <c r="AH48" s="3">
        <f t="shared" ca="1" si="18"/>
        <v>-28849.408974890575</v>
      </c>
      <c r="AI48" s="3">
        <f t="shared" ca="1" si="18"/>
        <v>-29548.8941085306</v>
      </c>
      <c r="AJ48" s="3">
        <f t="shared" ca="1" si="18"/>
        <v>-30308.430054979995</v>
      </c>
      <c r="AK48" s="3">
        <f t="shared" ca="1" si="18"/>
        <v>-42829.304598621027</v>
      </c>
      <c r="AL48" s="3">
        <f t="shared" ca="1" si="18"/>
        <v>-43662.389178762212</v>
      </c>
      <c r="AM48" s="3">
        <f t="shared" ca="1" si="18"/>
        <v>-44566.990079317504</v>
      </c>
      <c r="AN48" s="3">
        <f t="shared" ca="1" si="18"/>
        <v>-57231.453636732433</v>
      </c>
      <c r="AO48" s="3">
        <f t="shared" ca="1" si="18"/>
        <v>-58247.205830436411</v>
      </c>
      <c r="AP48" s="3">
        <f t="shared" ca="1" si="18"/>
        <v>-71293.725187364471</v>
      </c>
      <c r="AQ48" s="3">
        <f t="shared" ca="1" si="18"/>
        <v>-72129.207103245135</v>
      </c>
      <c r="AR48" s="3">
        <f t="shared" ca="1" si="18"/>
        <v>-73393.124562844983</v>
      </c>
      <c r="AS48" s="3">
        <f t="shared" ca="1" si="18"/>
        <v>-86640.323771532698</v>
      </c>
      <c r="AT48" s="3">
        <f t="shared" ca="1" si="18"/>
        <v>-87719.19973925181</v>
      </c>
      <c r="AU48" s="3">
        <f t="shared" ca="1" si="18"/>
        <v>-89113.520177875602</v>
      </c>
      <c r="AV48" s="3">
        <f t="shared" ca="1" si="18"/>
        <v>-102634.90497599352</v>
      </c>
      <c r="AW48" s="3">
        <f t="shared" ca="1" si="18"/>
        <v>-103916.95667452467</v>
      </c>
      <c r="AX48" s="3">
        <f t="shared" ca="1" si="18"/>
        <v>-117585.30892864661</v>
      </c>
      <c r="AY48" s="3">
        <f t="shared" ca="1" si="18"/>
        <v>-119396.59444418363</v>
      </c>
      <c r="AZ48" s="3">
        <f t="shared" ca="1" si="18"/>
        <v>-132971.3282162945</v>
      </c>
      <c r="BA48" s="3">
        <f t="shared" ca="1" si="18"/>
        <v>-147004.67299223272</v>
      </c>
      <c r="BB48" s="3">
        <f t="shared" ca="1" si="18"/>
        <v>-149096.56519409982</v>
      </c>
      <c r="BC48" s="3">
        <f t="shared" ca="1" si="18"/>
        <v>-163021.2916250077</v>
      </c>
      <c r="BD48" s="3">
        <f t="shared" ca="1" si="18"/>
        <v>-177555.17665143817</v>
      </c>
      <c r="BE48" s="3">
        <f t="shared" ca="1" si="18"/>
        <v>-180050.10292481119</v>
      </c>
      <c r="BF48" s="3">
        <f t="shared" ca="1" si="18"/>
        <v>-193376.3527694286</v>
      </c>
      <c r="BG48" s="3">
        <f t="shared" ca="1" si="18"/>
        <v>-209191.85585764539</v>
      </c>
      <c r="BH48" s="3">
        <f t="shared" ca="1" si="18"/>
        <v>-225311.29798430266</v>
      </c>
      <c r="BI48" s="3">
        <f t="shared" ca="1" si="18"/>
        <v>-241274.78657107113</v>
      </c>
      <c r="BJ48" s="3">
        <f t="shared" ca="1" si="18"/>
        <v>-257818.03944107529</v>
      </c>
      <c r="BK48" s="3">
        <f t="shared" ca="1" si="18"/>
        <v>-274723.2056710521</v>
      </c>
      <c r="BL48" s="3">
        <f t="shared" ca="1" si="18"/>
        <v>-291495.96658770321</v>
      </c>
      <c r="BM48" s="3">
        <f t="shared" ca="1" si="18"/>
        <v>-309003.06182185881</v>
      </c>
      <c r="BN48" s="3">
        <f t="shared" ca="1" si="18"/>
        <v>-326766.37811538746</v>
      </c>
      <c r="BO48" s="3">
        <f t="shared" ca="1" si="18"/>
        <v>-344512.46420156094</v>
      </c>
      <c r="BP48" s="3">
        <f t="shared" ca="1" si="18"/>
        <v>-363228.79919789708</v>
      </c>
      <c r="BQ48" s="3">
        <f t="shared" ca="1" si="18"/>
        <v>-382025.20310165611</v>
      </c>
    </row>
    <row r="51" spans="1:69">
      <c r="B51" s="27" t="s">
        <v>220</v>
      </c>
    </row>
    <row r="52" spans="1:69" outlineLevel="1">
      <c r="A52" s="18"/>
      <c r="B52" s="18"/>
      <c r="C52" s="30"/>
      <c r="D52" s="31"/>
      <c r="E52" s="4" t="str">
        <f xml:space="preserve">  InpC!E$90</f>
        <v>Month corporation tax paid</v>
      </c>
      <c r="F52" s="4">
        <f xml:space="preserve">  InpC!F$90</f>
        <v>8</v>
      </c>
      <c r="G52" s="4">
        <f xml:space="preserve">  InpC!G$90</f>
        <v>0</v>
      </c>
      <c r="M52" s="2"/>
    </row>
    <row r="53" spans="1:69" outlineLevel="1">
      <c r="A53" s="18"/>
      <c r="B53" s="18"/>
      <c r="C53" s="30"/>
      <c r="D53" s="31"/>
      <c r="E53" s="19" t="str">
        <f xml:space="preserve">  Time!E$12</f>
        <v>Model period start</v>
      </c>
      <c r="F53" s="19">
        <f xml:space="preserve">  Time!F$12</f>
        <v>0</v>
      </c>
      <c r="G53" s="19" t="str">
        <f xml:space="preserve">  Time!G$12</f>
        <v>date</v>
      </c>
      <c r="H53" s="19">
        <f xml:space="preserve">  Time!H$12</f>
        <v>0</v>
      </c>
      <c r="I53" s="19">
        <f xml:space="preserve">  Time!I$12</f>
        <v>0</v>
      </c>
      <c r="J53" s="19">
        <f xml:space="preserve">  Time!J$12</f>
        <v>45047</v>
      </c>
      <c r="K53" s="19">
        <f xml:space="preserve">  Time!K$12</f>
        <v>45078</v>
      </c>
      <c r="L53" s="19">
        <f xml:space="preserve">  Time!L$12</f>
        <v>45108</v>
      </c>
      <c r="M53" s="19">
        <f xml:space="preserve">  Time!M$12</f>
        <v>45139</v>
      </c>
      <c r="N53" s="19">
        <f xml:space="preserve">  Time!N$12</f>
        <v>45170</v>
      </c>
      <c r="O53" s="19">
        <f xml:space="preserve">  Time!O$12</f>
        <v>45200</v>
      </c>
      <c r="P53" s="19">
        <f xml:space="preserve">  Time!P$12</f>
        <v>45231</v>
      </c>
      <c r="Q53" s="19">
        <f xml:space="preserve">  Time!Q$12</f>
        <v>45261</v>
      </c>
      <c r="R53" s="19">
        <f xml:space="preserve">  Time!R$12</f>
        <v>45292</v>
      </c>
      <c r="S53" s="19">
        <f xml:space="preserve">  Time!S$12</f>
        <v>45323</v>
      </c>
      <c r="T53" s="19">
        <f xml:space="preserve">  Time!T$12</f>
        <v>45352</v>
      </c>
      <c r="U53" s="19">
        <f xml:space="preserve">  Time!U$12</f>
        <v>45383</v>
      </c>
      <c r="V53" s="19">
        <f xml:space="preserve">  Time!V$12</f>
        <v>45413</v>
      </c>
      <c r="W53" s="19">
        <f xml:space="preserve">  Time!W$12</f>
        <v>45444</v>
      </c>
      <c r="X53" s="19">
        <f xml:space="preserve">  Time!X$12</f>
        <v>45474</v>
      </c>
      <c r="Y53" s="19">
        <f xml:space="preserve">  Time!Y$12</f>
        <v>45505</v>
      </c>
      <c r="Z53" s="19">
        <f xml:space="preserve">  Time!Z$12</f>
        <v>45536</v>
      </c>
      <c r="AA53" s="19">
        <f xml:space="preserve">  Time!AA$12</f>
        <v>45566</v>
      </c>
      <c r="AB53" s="19">
        <f xml:space="preserve">  Time!AB$12</f>
        <v>45597</v>
      </c>
      <c r="AC53" s="19">
        <f xml:space="preserve">  Time!AC$12</f>
        <v>45627</v>
      </c>
      <c r="AD53" s="19">
        <f xml:space="preserve">  Time!AD$12</f>
        <v>45658</v>
      </c>
      <c r="AE53" s="19">
        <f xml:space="preserve">  Time!AE$12</f>
        <v>45689</v>
      </c>
      <c r="AF53" s="19">
        <f xml:space="preserve">  Time!AF$12</f>
        <v>45717</v>
      </c>
      <c r="AG53" s="19">
        <f xml:space="preserve">  Time!AG$12</f>
        <v>45748</v>
      </c>
      <c r="AH53" s="19">
        <f xml:space="preserve">  Time!AH$12</f>
        <v>45778</v>
      </c>
      <c r="AI53" s="19">
        <f xml:space="preserve">  Time!AI$12</f>
        <v>45809</v>
      </c>
      <c r="AJ53" s="19">
        <f xml:space="preserve">  Time!AJ$12</f>
        <v>45839</v>
      </c>
      <c r="AK53" s="19">
        <f xml:space="preserve">  Time!AK$12</f>
        <v>45870</v>
      </c>
      <c r="AL53" s="19">
        <f xml:space="preserve">  Time!AL$12</f>
        <v>45901</v>
      </c>
      <c r="AM53" s="19">
        <f xml:space="preserve">  Time!AM$12</f>
        <v>45931</v>
      </c>
      <c r="AN53" s="19">
        <f xml:space="preserve">  Time!AN$12</f>
        <v>45962</v>
      </c>
      <c r="AO53" s="19">
        <f xml:space="preserve">  Time!AO$12</f>
        <v>45992</v>
      </c>
      <c r="AP53" s="19">
        <f xml:space="preserve">  Time!AP$12</f>
        <v>46023</v>
      </c>
      <c r="AQ53" s="19">
        <f xml:space="preserve">  Time!AQ$12</f>
        <v>46054</v>
      </c>
      <c r="AR53" s="19">
        <f xml:space="preserve">  Time!AR$12</f>
        <v>46082</v>
      </c>
      <c r="AS53" s="19">
        <f xml:space="preserve">  Time!AS$12</f>
        <v>46113</v>
      </c>
      <c r="AT53" s="19">
        <f xml:space="preserve">  Time!AT$12</f>
        <v>46143</v>
      </c>
      <c r="AU53" s="19">
        <f xml:space="preserve">  Time!AU$12</f>
        <v>46174</v>
      </c>
      <c r="AV53" s="19">
        <f xml:space="preserve">  Time!AV$12</f>
        <v>46204</v>
      </c>
      <c r="AW53" s="19">
        <f xml:space="preserve">  Time!AW$12</f>
        <v>46235</v>
      </c>
      <c r="AX53" s="19">
        <f xml:space="preserve">  Time!AX$12</f>
        <v>46266</v>
      </c>
      <c r="AY53" s="19">
        <f xml:space="preserve">  Time!AY$12</f>
        <v>46296</v>
      </c>
      <c r="AZ53" s="19">
        <f xml:space="preserve">  Time!AZ$12</f>
        <v>46327</v>
      </c>
      <c r="BA53" s="19">
        <f xml:space="preserve">  Time!BA$12</f>
        <v>46357</v>
      </c>
      <c r="BB53" s="19">
        <f xml:space="preserve">  Time!BB$12</f>
        <v>46388</v>
      </c>
      <c r="BC53" s="19">
        <f xml:space="preserve">  Time!BC$12</f>
        <v>46419</v>
      </c>
      <c r="BD53" s="19">
        <f xml:space="preserve">  Time!BD$12</f>
        <v>46447</v>
      </c>
      <c r="BE53" s="19">
        <f xml:space="preserve">  Time!BE$12</f>
        <v>46478</v>
      </c>
      <c r="BF53" s="19">
        <f xml:space="preserve">  Time!BF$12</f>
        <v>46508</v>
      </c>
      <c r="BG53" s="19">
        <f xml:space="preserve">  Time!BG$12</f>
        <v>46539</v>
      </c>
      <c r="BH53" s="19">
        <f xml:space="preserve">  Time!BH$12</f>
        <v>46569</v>
      </c>
      <c r="BI53" s="19">
        <f xml:space="preserve">  Time!BI$12</f>
        <v>46600</v>
      </c>
      <c r="BJ53" s="19">
        <f xml:space="preserve">  Time!BJ$12</f>
        <v>46631</v>
      </c>
      <c r="BK53" s="19">
        <f xml:space="preserve">  Time!BK$12</f>
        <v>46661</v>
      </c>
      <c r="BL53" s="19">
        <f xml:space="preserve">  Time!BL$12</f>
        <v>46692</v>
      </c>
      <c r="BM53" s="19">
        <f xml:space="preserve">  Time!BM$12</f>
        <v>46722</v>
      </c>
      <c r="BN53" s="19">
        <f xml:space="preserve">  Time!BN$12</f>
        <v>46753</v>
      </c>
      <c r="BO53" s="19">
        <f xml:space="preserve">  Time!BO$12</f>
        <v>46784</v>
      </c>
      <c r="BP53" s="19">
        <f xml:space="preserve">  Time!BP$12</f>
        <v>46813</v>
      </c>
      <c r="BQ53" s="19">
        <f xml:space="preserve">  Time!BQ$12</f>
        <v>46844</v>
      </c>
    </row>
    <row r="54" spans="1:69" outlineLevel="1">
      <c r="E54" s="46" t="s">
        <v>220</v>
      </c>
      <c r="G54" s="46" t="s">
        <v>210</v>
      </c>
      <c r="J54" s="8">
        <f t="shared" ref="J54:BQ54" si="19" xml:space="preserve">  IF( MONTH( J53 ) &gt; $F52, DATE( YEAR( J53 ) + 1, $F52, 1 ), DATE( YEAR( J53 ), $F52, 1 ) )</f>
        <v>45139</v>
      </c>
      <c r="K54" s="8">
        <f t="shared" si="19"/>
        <v>45139</v>
      </c>
      <c r="L54" s="8">
        <f t="shared" si="19"/>
        <v>45139</v>
      </c>
      <c r="M54" s="8">
        <f t="shared" si="19"/>
        <v>45139</v>
      </c>
      <c r="N54" s="8">
        <f t="shared" si="19"/>
        <v>45505</v>
      </c>
      <c r="O54" s="8">
        <f t="shared" si="19"/>
        <v>45505</v>
      </c>
      <c r="P54" s="8">
        <f t="shared" si="19"/>
        <v>45505</v>
      </c>
      <c r="Q54" s="8">
        <f t="shared" si="19"/>
        <v>45505</v>
      </c>
      <c r="R54" s="8">
        <f t="shared" si="19"/>
        <v>45505</v>
      </c>
      <c r="S54" s="8">
        <f t="shared" si="19"/>
        <v>45505</v>
      </c>
      <c r="T54" s="8">
        <f t="shared" si="19"/>
        <v>45505</v>
      </c>
      <c r="U54" s="8">
        <f t="shared" si="19"/>
        <v>45505</v>
      </c>
      <c r="V54" s="8">
        <f t="shared" si="19"/>
        <v>45505</v>
      </c>
      <c r="W54" s="8">
        <f t="shared" si="19"/>
        <v>45505</v>
      </c>
      <c r="X54" s="8">
        <f t="shared" si="19"/>
        <v>45505</v>
      </c>
      <c r="Y54" s="8">
        <f t="shared" si="19"/>
        <v>45505</v>
      </c>
      <c r="Z54" s="8">
        <f t="shared" si="19"/>
        <v>45870</v>
      </c>
      <c r="AA54" s="8">
        <f t="shared" si="19"/>
        <v>45870</v>
      </c>
      <c r="AB54" s="8">
        <f t="shared" si="19"/>
        <v>45870</v>
      </c>
      <c r="AC54" s="8">
        <f t="shared" si="19"/>
        <v>45870</v>
      </c>
      <c r="AD54" s="8">
        <f t="shared" si="19"/>
        <v>45870</v>
      </c>
      <c r="AE54" s="8">
        <f t="shared" si="19"/>
        <v>45870</v>
      </c>
      <c r="AF54" s="8">
        <f t="shared" si="19"/>
        <v>45870</v>
      </c>
      <c r="AG54" s="8">
        <f t="shared" si="19"/>
        <v>45870</v>
      </c>
      <c r="AH54" s="8">
        <f t="shared" si="19"/>
        <v>45870</v>
      </c>
      <c r="AI54" s="8">
        <f t="shared" si="19"/>
        <v>45870</v>
      </c>
      <c r="AJ54" s="8">
        <f t="shared" si="19"/>
        <v>45870</v>
      </c>
      <c r="AK54" s="8">
        <f t="shared" si="19"/>
        <v>45870</v>
      </c>
      <c r="AL54" s="8">
        <f t="shared" si="19"/>
        <v>46235</v>
      </c>
      <c r="AM54" s="8">
        <f t="shared" si="19"/>
        <v>46235</v>
      </c>
      <c r="AN54" s="8">
        <f t="shared" si="19"/>
        <v>46235</v>
      </c>
      <c r="AO54" s="8">
        <f t="shared" si="19"/>
        <v>46235</v>
      </c>
      <c r="AP54" s="8">
        <f t="shared" si="19"/>
        <v>46235</v>
      </c>
      <c r="AQ54" s="8">
        <f t="shared" si="19"/>
        <v>46235</v>
      </c>
      <c r="AR54" s="8">
        <f t="shared" si="19"/>
        <v>46235</v>
      </c>
      <c r="AS54" s="8">
        <f t="shared" si="19"/>
        <v>46235</v>
      </c>
      <c r="AT54" s="8">
        <f t="shared" si="19"/>
        <v>46235</v>
      </c>
      <c r="AU54" s="8">
        <f t="shared" si="19"/>
        <v>46235</v>
      </c>
      <c r="AV54" s="8">
        <f t="shared" si="19"/>
        <v>46235</v>
      </c>
      <c r="AW54" s="8">
        <f t="shared" si="19"/>
        <v>46235</v>
      </c>
      <c r="AX54" s="8">
        <f t="shared" si="19"/>
        <v>46600</v>
      </c>
      <c r="AY54" s="8">
        <f t="shared" si="19"/>
        <v>46600</v>
      </c>
      <c r="AZ54" s="8">
        <f t="shared" si="19"/>
        <v>46600</v>
      </c>
      <c r="BA54" s="8">
        <f t="shared" si="19"/>
        <v>46600</v>
      </c>
      <c r="BB54" s="8">
        <f t="shared" si="19"/>
        <v>46600</v>
      </c>
      <c r="BC54" s="8">
        <f t="shared" si="19"/>
        <v>46600</v>
      </c>
      <c r="BD54" s="8">
        <f t="shared" si="19"/>
        <v>46600</v>
      </c>
      <c r="BE54" s="8">
        <f t="shared" si="19"/>
        <v>46600</v>
      </c>
      <c r="BF54" s="8">
        <f t="shared" si="19"/>
        <v>46600</v>
      </c>
      <c r="BG54" s="8">
        <f t="shared" si="19"/>
        <v>46600</v>
      </c>
      <c r="BH54" s="8">
        <f t="shared" si="19"/>
        <v>46600</v>
      </c>
      <c r="BI54" s="8">
        <f t="shared" si="19"/>
        <v>46600</v>
      </c>
      <c r="BJ54" s="8">
        <f t="shared" si="19"/>
        <v>46966</v>
      </c>
      <c r="BK54" s="8">
        <f t="shared" si="19"/>
        <v>46966</v>
      </c>
      <c r="BL54" s="8">
        <f t="shared" si="19"/>
        <v>46966</v>
      </c>
      <c r="BM54" s="8">
        <f t="shared" si="19"/>
        <v>46966</v>
      </c>
      <c r="BN54" s="8">
        <f t="shared" si="19"/>
        <v>46966</v>
      </c>
      <c r="BO54" s="8">
        <f t="shared" si="19"/>
        <v>46966</v>
      </c>
      <c r="BP54" s="8">
        <f t="shared" si="19"/>
        <v>46966</v>
      </c>
      <c r="BQ54" s="8">
        <f t="shared" si="19"/>
        <v>46966</v>
      </c>
    </row>
    <row r="57" spans="1:69">
      <c r="B57" s="27" t="s">
        <v>37</v>
      </c>
    </row>
    <row r="58" spans="1:69" outlineLevel="1">
      <c r="E58" s="8" t="str">
        <f t="shared" ref="E58:BQ58" si="20" xml:space="preserve">  E$54</f>
        <v>Date corporation tax paid this year</v>
      </c>
      <c r="F58" s="8">
        <f t="shared" si="20"/>
        <v>0</v>
      </c>
      <c r="G58" s="8" t="str">
        <f t="shared" si="20"/>
        <v>date</v>
      </c>
      <c r="H58" s="8">
        <f t="shared" si="20"/>
        <v>0</v>
      </c>
      <c r="I58" s="8">
        <f t="shared" si="20"/>
        <v>0</v>
      </c>
      <c r="J58" s="8">
        <f t="shared" si="20"/>
        <v>45139</v>
      </c>
      <c r="K58" s="8">
        <f t="shared" si="20"/>
        <v>45139</v>
      </c>
      <c r="L58" s="8">
        <f t="shared" si="20"/>
        <v>45139</v>
      </c>
      <c r="M58" s="8">
        <f t="shared" si="20"/>
        <v>45139</v>
      </c>
      <c r="N58" s="8">
        <f t="shared" si="20"/>
        <v>45505</v>
      </c>
      <c r="O58" s="8">
        <f t="shared" si="20"/>
        <v>45505</v>
      </c>
      <c r="P58" s="8">
        <f t="shared" si="20"/>
        <v>45505</v>
      </c>
      <c r="Q58" s="8">
        <f t="shared" si="20"/>
        <v>45505</v>
      </c>
      <c r="R58" s="8">
        <f t="shared" si="20"/>
        <v>45505</v>
      </c>
      <c r="S58" s="8">
        <f t="shared" si="20"/>
        <v>45505</v>
      </c>
      <c r="T58" s="8">
        <f t="shared" si="20"/>
        <v>45505</v>
      </c>
      <c r="U58" s="8">
        <f t="shared" si="20"/>
        <v>45505</v>
      </c>
      <c r="V58" s="8">
        <f t="shared" si="20"/>
        <v>45505</v>
      </c>
      <c r="W58" s="8">
        <f t="shared" si="20"/>
        <v>45505</v>
      </c>
      <c r="X58" s="8">
        <f t="shared" si="20"/>
        <v>45505</v>
      </c>
      <c r="Y58" s="8">
        <f t="shared" si="20"/>
        <v>45505</v>
      </c>
      <c r="Z58" s="8">
        <f t="shared" si="20"/>
        <v>45870</v>
      </c>
      <c r="AA58" s="8">
        <f t="shared" si="20"/>
        <v>45870</v>
      </c>
      <c r="AB58" s="8">
        <f t="shared" si="20"/>
        <v>45870</v>
      </c>
      <c r="AC58" s="8">
        <f t="shared" si="20"/>
        <v>45870</v>
      </c>
      <c r="AD58" s="8">
        <f t="shared" si="20"/>
        <v>45870</v>
      </c>
      <c r="AE58" s="8">
        <f t="shared" si="20"/>
        <v>45870</v>
      </c>
      <c r="AF58" s="8">
        <f t="shared" si="20"/>
        <v>45870</v>
      </c>
      <c r="AG58" s="8">
        <f t="shared" si="20"/>
        <v>45870</v>
      </c>
      <c r="AH58" s="8">
        <f t="shared" si="20"/>
        <v>45870</v>
      </c>
      <c r="AI58" s="8">
        <f t="shared" si="20"/>
        <v>45870</v>
      </c>
      <c r="AJ58" s="8">
        <f t="shared" si="20"/>
        <v>45870</v>
      </c>
      <c r="AK58" s="8">
        <f t="shared" si="20"/>
        <v>45870</v>
      </c>
      <c r="AL58" s="8">
        <f t="shared" si="20"/>
        <v>46235</v>
      </c>
      <c r="AM58" s="8">
        <f t="shared" si="20"/>
        <v>46235</v>
      </c>
      <c r="AN58" s="8">
        <f t="shared" si="20"/>
        <v>46235</v>
      </c>
      <c r="AO58" s="8">
        <f t="shared" si="20"/>
        <v>46235</v>
      </c>
      <c r="AP58" s="8">
        <f t="shared" si="20"/>
        <v>46235</v>
      </c>
      <c r="AQ58" s="8">
        <f t="shared" si="20"/>
        <v>46235</v>
      </c>
      <c r="AR58" s="8">
        <f t="shared" si="20"/>
        <v>46235</v>
      </c>
      <c r="AS58" s="8">
        <f t="shared" si="20"/>
        <v>46235</v>
      </c>
      <c r="AT58" s="8">
        <f t="shared" si="20"/>
        <v>46235</v>
      </c>
      <c r="AU58" s="8">
        <f t="shared" si="20"/>
        <v>46235</v>
      </c>
      <c r="AV58" s="8">
        <f t="shared" si="20"/>
        <v>46235</v>
      </c>
      <c r="AW58" s="8">
        <f t="shared" si="20"/>
        <v>46235</v>
      </c>
      <c r="AX58" s="8">
        <f t="shared" si="20"/>
        <v>46600</v>
      </c>
      <c r="AY58" s="8">
        <f t="shared" si="20"/>
        <v>46600</v>
      </c>
      <c r="AZ58" s="8">
        <f t="shared" si="20"/>
        <v>46600</v>
      </c>
      <c r="BA58" s="8">
        <f t="shared" si="20"/>
        <v>46600</v>
      </c>
      <c r="BB58" s="8">
        <f t="shared" si="20"/>
        <v>46600</v>
      </c>
      <c r="BC58" s="8">
        <f t="shared" si="20"/>
        <v>46600</v>
      </c>
      <c r="BD58" s="8">
        <f t="shared" si="20"/>
        <v>46600</v>
      </c>
      <c r="BE58" s="8">
        <f t="shared" si="20"/>
        <v>46600</v>
      </c>
      <c r="BF58" s="8">
        <f t="shared" si="20"/>
        <v>46600</v>
      </c>
      <c r="BG58" s="8">
        <f t="shared" si="20"/>
        <v>46600</v>
      </c>
      <c r="BH58" s="8">
        <f t="shared" si="20"/>
        <v>46600</v>
      </c>
      <c r="BI58" s="8">
        <f t="shared" si="20"/>
        <v>46600</v>
      </c>
      <c r="BJ58" s="8">
        <f t="shared" si="20"/>
        <v>46966</v>
      </c>
      <c r="BK58" s="8">
        <f t="shared" si="20"/>
        <v>46966</v>
      </c>
      <c r="BL58" s="8">
        <f t="shared" si="20"/>
        <v>46966</v>
      </c>
      <c r="BM58" s="8">
        <f t="shared" si="20"/>
        <v>46966</v>
      </c>
      <c r="BN58" s="8">
        <f t="shared" si="20"/>
        <v>46966</v>
      </c>
      <c r="BO58" s="8">
        <f t="shared" si="20"/>
        <v>46966</v>
      </c>
      <c r="BP58" s="8">
        <f t="shared" si="20"/>
        <v>46966</v>
      </c>
      <c r="BQ58" s="8">
        <f t="shared" si="20"/>
        <v>46966</v>
      </c>
    </row>
    <row r="59" spans="1:69" outlineLevel="1">
      <c r="A59" s="18"/>
      <c r="B59" s="18"/>
      <c r="C59" s="30"/>
      <c r="D59" s="31"/>
      <c r="E59" s="19" t="str">
        <f xml:space="preserve">  Time!E$12</f>
        <v>Model period start</v>
      </c>
      <c r="F59" s="19">
        <f xml:space="preserve">  Time!F$12</f>
        <v>0</v>
      </c>
      <c r="G59" s="19" t="str">
        <f xml:space="preserve">  Time!G$12</f>
        <v>date</v>
      </c>
      <c r="H59" s="19">
        <f xml:space="preserve">  Time!H$12</f>
        <v>0</v>
      </c>
      <c r="I59" s="19">
        <f xml:space="preserve">  Time!I$12</f>
        <v>0</v>
      </c>
      <c r="J59" s="19">
        <f xml:space="preserve">  Time!J$12</f>
        <v>45047</v>
      </c>
      <c r="K59" s="19">
        <f xml:space="preserve">  Time!K$12</f>
        <v>45078</v>
      </c>
      <c r="L59" s="19">
        <f xml:space="preserve">  Time!L$12</f>
        <v>45108</v>
      </c>
      <c r="M59" s="19">
        <f xml:space="preserve">  Time!M$12</f>
        <v>45139</v>
      </c>
      <c r="N59" s="19">
        <f xml:space="preserve">  Time!N$12</f>
        <v>45170</v>
      </c>
      <c r="O59" s="19">
        <f xml:space="preserve">  Time!O$12</f>
        <v>45200</v>
      </c>
      <c r="P59" s="19">
        <f xml:space="preserve">  Time!P$12</f>
        <v>45231</v>
      </c>
      <c r="Q59" s="19">
        <f xml:space="preserve">  Time!Q$12</f>
        <v>45261</v>
      </c>
      <c r="R59" s="19">
        <f xml:space="preserve">  Time!R$12</f>
        <v>45292</v>
      </c>
      <c r="S59" s="19">
        <f xml:space="preserve">  Time!S$12</f>
        <v>45323</v>
      </c>
      <c r="T59" s="19">
        <f xml:space="preserve">  Time!T$12</f>
        <v>45352</v>
      </c>
      <c r="U59" s="19">
        <f xml:space="preserve">  Time!U$12</f>
        <v>45383</v>
      </c>
      <c r="V59" s="19">
        <f xml:space="preserve">  Time!V$12</f>
        <v>45413</v>
      </c>
      <c r="W59" s="19">
        <f xml:space="preserve">  Time!W$12</f>
        <v>45444</v>
      </c>
      <c r="X59" s="19">
        <f xml:space="preserve">  Time!X$12</f>
        <v>45474</v>
      </c>
      <c r="Y59" s="19">
        <f xml:space="preserve">  Time!Y$12</f>
        <v>45505</v>
      </c>
      <c r="Z59" s="19">
        <f xml:space="preserve">  Time!Z$12</f>
        <v>45536</v>
      </c>
      <c r="AA59" s="19">
        <f xml:space="preserve">  Time!AA$12</f>
        <v>45566</v>
      </c>
      <c r="AB59" s="19">
        <f xml:space="preserve">  Time!AB$12</f>
        <v>45597</v>
      </c>
      <c r="AC59" s="19">
        <f xml:space="preserve">  Time!AC$12</f>
        <v>45627</v>
      </c>
      <c r="AD59" s="19">
        <f xml:space="preserve">  Time!AD$12</f>
        <v>45658</v>
      </c>
      <c r="AE59" s="19">
        <f xml:space="preserve">  Time!AE$12</f>
        <v>45689</v>
      </c>
      <c r="AF59" s="19">
        <f xml:space="preserve">  Time!AF$12</f>
        <v>45717</v>
      </c>
      <c r="AG59" s="19">
        <f xml:space="preserve">  Time!AG$12</f>
        <v>45748</v>
      </c>
      <c r="AH59" s="19">
        <f xml:space="preserve">  Time!AH$12</f>
        <v>45778</v>
      </c>
      <c r="AI59" s="19">
        <f xml:space="preserve">  Time!AI$12</f>
        <v>45809</v>
      </c>
      <c r="AJ59" s="19">
        <f xml:space="preserve">  Time!AJ$12</f>
        <v>45839</v>
      </c>
      <c r="AK59" s="19">
        <f xml:space="preserve">  Time!AK$12</f>
        <v>45870</v>
      </c>
      <c r="AL59" s="19">
        <f xml:space="preserve">  Time!AL$12</f>
        <v>45901</v>
      </c>
      <c r="AM59" s="19">
        <f xml:space="preserve">  Time!AM$12</f>
        <v>45931</v>
      </c>
      <c r="AN59" s="19">
        <f xml:space="preserve">  Time!AN$12</f>
        <v>45962</v>
      </c>
      <c r="AO59" s="19">
        <f xml:space="preserve">  Time!AO$12</f>
        <v>45992</v>
      </c>
      <c r="AP59" s="19">
        <f xml:space="preserve">  Time!AP$12</f>
        <v>46023</v>
      </c>
      <c r="AQ59" s="19">
        <f xml:space="preserve">  Time!AQ$12</f>
        <v>46054</v>
      </c>
      <c r="AR59" s="19">
        <f xml:space="preserve">  Time!AR$12</f>
        <v>46082</v>
      </c>
      <c r="AS59" s="19">
        <f xml:space="preserve">  Time!AS$12</f>
        <v>46113</v>
      </c>
      <c r="AT59" s="19">
        <f xml:space="preserve">  Time!AT$12</f>
        <v>46143</v>
      </c>
      <c r="AU59" s="19">
        <f xml:space="preserve">  Time!AU$12</f>
        <v>46174</v>
      </c>
      <c r="AV59" s="19">
        <f xml:space="preserve">  Time!AV$12</f>
        <v>46204</v>
      </c>
      <c r="AW59" s="19">
        <f xml:space="preserve">  Time!AW$12</f>
        <v>46235</v>
      </c>
      <c r="AX59" s="19">
        <f xml:space="preserve">  Time!AX$12</f>
        <v>46266</v>
      </c>
      <c r="AY59" s="19">
        <f xml:space="preserve">  Time!AY$12</f>
        <v>46296</v>
      </c>
      <c r="AZ59" s="19">
        <f xml:space="preserve">  Time!AZ$12</f>
        <v>46327</v>
      </c>
      <c r="BA59" s="19">
        <f xml:space="preserve">  Time!BA$12</f>
        <v>46357</v>
      </c>
      <c r="BB59" s="19">
        <f xml:space="preserve">  Time!BB$12</f>
        <v>46388</v>
      </c>
      <c r="BC59" s="19">
        <f xml:space="preserve">  Time!BC$12</f>
        <v>46419</v>
      </c>
      <c r="BD59" s="19">
        <f xml:space="preserve">  Time!BD$12</f>
        <v>46447</v>
      </c>
      <c r="BE59" s="19">
        <f xml:space="preserve">  Time!BE$12</f>
        <v>46478</v>
      </c>
      <c r="BF59" s="19">
        <f xml:space="preserve">  Time!BF$12</f>
        <v>46508</v>
      </c>
      <c r="BG59" s="19">
        <f xml:space="preserve">  Time!BG$12</f>
        <v>46539</v>
      </c>
      <c r="BH59" s="19">
        <f xml:space="preserve">  Time!BH$12</f>
        <v>46569</v>
      </c>
      <c r="BI59" s="19">
        <f xml:space="preserve">  Time!BI$12</f>
        <v>46600</v>
      </c>
      <c r="BJ59" s="19">
        <f xml:space="preserve">  Time!BJ$12</f>
        <v>46631</v>
      </c>
      <c r="BK59" s="19">
        <f xml:space="preserve">  Time!BK$12</f>
        <v>46661</v>
      </c>
      <c r="BL59" s="19">
        <f xml:space="preserve">  Time!BL$12</f>
        <v>46692</v>
      </c>
      <c r="BM59" s="19">
        <f xml:space="preserve">  Time!BM$12</f>
        <v>46722</v>
      </c>
      <c r="BN59" s="19">
        <f xml:space="preserve">  Time!BN$12</f>
        <v>46753</v>
      </c>
      <c r="BO59" s="19">
        <f xml:space="preserve">  Time!BO$12</f>
        <v>46784</v>
      </c>
      <c r="BP59" s="19">
        <f xml:space="preserve">  Time!BP$12</f>
        <v>46813</v>
      </c>
      <c r="BQ59" s="19">
        <f xml:space="preserve">  Time!BQ$12</f>
        <v>46844</v>
      </c>
    </row>
    <row r="60" spans="1:69" outlineLevel="1">
      <c r="A60" s="18"/>
      <c r="B60" s="18"/>
      <c r="C60" s="30"/>
      <c r="D60" s="31"/>
      <c r="E60" s="19" t="str">
        <f xml:space="preserve">  Time!E$19</f>
        <v>Model period end</v>
      </c>
      <c r="F60" s="19">
        <f xml:space="preserve">  Time!F$19</f>
        <v>0</v>
      </c>
      <c r="G60" s="19" t="str">
        <f xml:space="preserve">  Time!G$19</f>
        <v>date</v>
      </c>
      <c r="H60" s="19">
        <f xml:space="preserve">  Time!H$19</f>
        <v>0</v>
      </c>
      <c r="I60" s="19">
        <f xml:space="preserve">  Time!I$19</f>
        <v>0</v>
      </c>
      <c r="J60" s="19">
        <f xml:space="preserve">  Time!J$19</f>
        <v>45077</v>
      </c>
      <c r="K60" s="19">
        <f xml:space="preserve">  Time!K$19</f>
        <v>45107</v>
      </c>
      <c r="L60" s="19">
        <f xml:space="preserve">  Time!L$19</f>
        <v>45138</v>
      </c>
      <c r="M60" s="19">
        <f xml:space="preserve">  Time!M$19</f>
        <v>45169</v>
      </c>
      <c r="N60" s="19">
        <f xml:space="preserve">  Time!N$19</f>
        <v>45199</v>
      </c>
      <c r="O60" s="19">
        <f xml:space="preserve">  Time!O$19</f>
        <v>45230</v>
      </c>
      <c r="P60" s="19">
        <f xml:space="preserve">  Time!P$19</f>
        <v>45260</v>
      </c>
      <c r="Q60" s="19">
        <f xml:space="preserve">  Time!Q$19</f>
        <v>45291</v>
      </c>
      <c r="R60" s="19">
        <f xml:space="preserve">  Time!R$19</f>
        <v>45322</v>
      </c>
      <c r="S60" s="19">
        <f xml:space="preserve">  Time!S$19</f>
        <v>45351</v>
      </c>
      <c r="T60" s="19">
        <f xml:space="preserve">  Time!T$19</f>
        <v>45382</v>
      </c>
      <c r="U60" s="19">
        <f xml:space="preserve">  Time!U$19</f>
        <v>45412</v>
      </c>
      <c r="V60" s="19">
        <f xml:space="preserve">  Time!V$19</f>
        <v>45443</v>
      </c>
      <c r="W60" s="19">
        <f xml:space="preserve">  Time!W$19</f>
        <v>45473</v>
      </c>
      <c r="X60" s="19">
        <f xml:space="preserve">  Time!X$19</f>
        <v>45504</v>
      </c>
      <c r="Y60" s="19">
        <f xml:space="preserve">  Time!Y$19</f>
        <v>45535</v>
      </c>
      <c r="Z60" s="19">
        <f xml:space="preserve">  Time!Z$19</f>
        <v>45565</v>
      </c>
      <c r="AA60" s="19">
        <f xml:space="preserve">  Time!AA$19</f>
        <v>45596</v>
      </c>
      <c r="AB60" s="19">
        <f xml:space="preserve">  Time!AB$19</f>
        <v>45626</v>
      </c>
      <c r="AC60" s="19">
        <f xml:space="preserve">  Time!AC$19</f>
        <v>45657</v>
      </c>
      <c r="AD60" s="19">
        <f xml:space="preserve">  Time!AD$19</f>
        <v>45688</v>
      </c>
      <c r="AE60" s="19">
        <f xml:space="preserve">  Time!AE$19</f>
        <v>45716</v>
      </c>
      <c r="AF60" s="19">
        <f xml:space="preserve">  Time!AF$19</f>
        <v>45747</v>
      </c>
      <c r="AG60" s="19">
        <f xml:space="preserve">  Time!AG$19</f>
        <v>45777</v>
      </c>
      <c r="AH60" s="19">
        <f xml:space="preserve">  Time!AH$19</f>
        <v>45808</v>
      </c>
      <c r="AI60" s="19">
        <f xml:space="preserve">  Time!AI$19</f>
        <v>45838</v>
      </c>
      <c r="AJ60" s="19">
        <f xml:space="preserve">  Time!AJ$19</f>
        <v>45869</v>
      </c>
      <c r="AK60" s="19">
        <f xml:space="preserve">  Time!AK$19</f>
        <v>45900</v>
      </c>
      <c r="AL60" s="19">
        <f xml:space="preserve">  Time!AL$19</f>
        <v>45930</v>
      </c>
      <c r="AM60" s="19">
        <f xml:space="preserve">  Time!AM$19</f>
        <v>45961</v>
      </c>
      <c r="AN60" s="19">
        <f xml:space="preserve">  Time!AN$19</f>
        <v>45991</v>
      </c>
      <c r="AO60" s="19">
        <f xml:space="preserve">  Time!AO$19</f>
        <v>46022</v>
      </c>
      <c r="AP60" s="19">
        <f xml:space="preserve">  Time!AP$19</f>
        <v>46053</v>
      </c>
      <c r="AQ60" s="19">
        <f xml:space="preserve">  Time!AQ$19</f>
        <v>46081</v>
      </c>
      <c r="AR60" s="19">
        <f xml:space="preserve">  Time!AR$19</f>
        <v>46112</v>
      </c>
      <c r="AS60" s="19">
        <f xml:space="preserve">  Time!AS$19</f>
        <v>46142</v>
      </c>
      <c r="AT60" s="19">
        <f xml:space="preserve">  Time!AT$19</f>
        <v>46173</v>
      </c>
      <c r="AU60" s="19">
        <f xml:space="preserve">  Time!AU$19</f>
        <v>46203</v>
      </c>
      <c r="AV60" s="19">
        <f xml:space="preserve">  Time!AV$19</f>
        <v>46234</v>
      </c>
      <c r="AW60" s="19">
        <f xml:space="preserve">  Time!AW$19</f>
        <v>46265</v>
      </c>
      <c r="AX60" s="19">
        <f xml:space="preserve">  Time!AX$19</f>
        <v>46295</v>
      </c>
      <c r="AY60" s="19">
        <f xml:space="preserve">  Time!AY$19</f>
        <v>46326</v>
      </c>
      <c r="AZ60" s="19">
        <f xml:space="preserve">  Time!AZ$19</f>
        <v>46356</v>
      </c>
      <c r="BA60" s="19">
        <f xml:space="preserve">  Time!BA$19</f>
        <v>46387</v>
      </c>
      <c r="BB60" s="19">
        <f xml:space="preserve">  Time!BB$19</f>
        <v>46418</v>
      </c>
      <c r="BC60" s="19">
        <f xml:space="preserve">  Time!BC$19</f>
        <v>46446</v>
      </c>
      <c r="BD60" s="19">
        <f xml:space="preserve">  Time!BD$19</f>
        <v>46477</v>
      </c>
      <c r="BE60" s="19">
        <f xml:space="preserve">  Time!BE$19</f>
        <v>46507</v>
      </c>
      <c r="BF60" s="19">
        <f xml:space="preserve">  Time!BF$19</f>
        <v>46538</v>
      </c>
      <c r="BG60" s="19">
        <f xml:space="preserve">  Time!BG$19</f>
        <v>46568</v>
      </c>
      <c r="BH60" s="19">
        <f xml:space="preserve">  Time!BH$19</f>
        <v>46599</v>
      </c>
      <c r="BI60" s="19">
        <f xml:space="preserve">  Time!BI$19</f>
        <v>46630</v>
      </c>
      <c r="BJ60" s="19">
        <f xml:space="preserve">  Time!BJ$19</f>
        <v>46660</v>
      </c>
      <c r="BK60" s="19">
        <f xml:space="preserve">  Time!BK$19</f>
        <v>46691</v>
      </c>
      <c r="BL60" s="19">
        <f xml:space="preserve">  Time!BL$19</f>
        <v>46721</v>
      </c>
      <c r="BM60" s="19">
        <f xml:space="preserve">  Time!BM$19</f>
        <v>46752</v>
      </c>
      <c r="BN60" s="19">
        <f xml:space="preserve">  Time!BN$19</f>
        <v>46783</v>
      </c>
      <c r="BO60" s="19">
        <f xml:space="preserve">  Time!BO$19</f>
        <v>46812</v>
      </c>
      <c r="BP60" s="19">
        <f xml:space="preserve">  Time!BP$19</f>
        <v>46843</v>
      </c>
      <c r="BQ60" s="19">
        <f xml:space="preserve">  Time!BQ$19</f>
        <v>46873</v>
      </c>
    </row>
    <row r="61" spans="1:69" outlineLevel="1">
      <c r="E61" s="46" t="s">
        <v>37</v>
      </c>
      <c r="G61" s="46" t="s">
        <v>21</v>
      </c>
      <c r="H61" s="2">
        <f xml:space="preserve"> SUM( J61:BQ61 )</f>
        <v>5</v>
      </c>
      <c r="J61" s="2">
        <f t="shared" ref="J61:BQ61" si="21" xml:space="preserve">  IF( AND( J58 &gt;= J59, J58 &lt;= J60 ), 1, 0 )</f>
        <v>0</v>
      </c>
      <c r="K61" s="2">
        <f t="shared" si="21"/>
        <v>0</v>
      </c>
      <c r="L61" s="2">
        <f t="shared" si="21"/>
        <v>0</v>
      </c>
      <c r="M61" s="2">
        <f t="shared" si="21"/>
        <v>1</v>
      </c>
      <c r="N61" s="2">
        <f t="shared" si="21"/>
        <v>0</v>
      </c>
      <c r="O61" s="2">
        <f t="shared" si="21"/>
        <v>0</v>
      </c>
      <c r="P61" s="2">
        <f t="shared" si="21"/>
        <v>0</v>
      </c>
      <c r="Q61" s="2">
        <f t="shared" si="21"/>
        <v>0</v>
      </c>
      <c r="R61" s="2">
        <f t="shared" si="21"/>
        <v>0</v>
      </c>
      <c r="S61" s="2">
        <f t="shared" si="21"/>
        <v>0</v>
      </c>
      <c r="T61" s="2">
        <f t="shared" si="21"/>
        <v>0</v>
      </c>
      <c r="U61" s="2">
        <f t="shared" si="21"/>
        <v>0</v>
      </c>
      <c r="V61" s="2">
        <f t="shared" si="21"/>
        <v>0</v>
      </c>
      <c r="W61" s="2">
        <f t="shared" si="21"/>
        <v>0</v>
      </c>
      <c r="X61" s="2">
        <f t="shared" si="21"/>
        <v>0</v>
      </c>
      <c r="Y61" s="2">
        <f t="shared" si="21"/>
        <v>1</v>
      </c>
      <c r="Z61" s="2">
        <f t="shared" si="21"/>
        <v>0</v>
      </c>
      <c r="AA61" s="2">
        <f t="shared" si="21"/>
        <v>0</v>
      </c>
      <c r="AB61" s="2">
        <f t="shared" si="21"/>
        <v>0</v>
      </c>
      <c r="AC61" s="2">
        <f t="shared" si="21"/>
        <v>0</v>
      </c>
      <c r="AD61" s="2">
        <f t="shared" si="21"/>
        <v>0</v>
      </c>
      <c r="AE61" s="2">
        <f t="shared" si="21"/>
        <v>0</v>
      </c>
      <c r="AF61" s="2">
        <f t="shared" si="21"/>
        <v>0</v>
      </c>
      <c r="AG61" s="2">
        <f t="shared" si="21"/>
        <v>0</v>
      </c>
      <c r="AH61" s="2">
        <f t="shared" si="21"/>
        <v>0</v>
      </c>
      <c r="AI61" s="2">
        <f t="shared" si="21"/>
        <v>0</v>
      </c>
      <c r="AJ61" s="2">
        <f t="shared" si="21"/>
        <v>0</v>
      </c>
      <c r="AK61" s="2">
        <f t="shared" si="21"/>
        <v>1</v>
      </c>
      <c r="AL61" s="2">
        <f t="shared" si="21"/>
        <v>0</v>
      </c>
      <c r="AM61" s="2">
        <f t="shared" si="21"/>
        <v>0</v>
      </c>
      <c r="AN61" s="2">
        <f t="shared" si="21"/>
        <v>0</v>
      </c>
      <c r="AO61" s="2">
        <f t="shared" si="21"/>
        <v>0</v>
      </c>
      <c r="AP61" s="2">
        <f t="shared" si="21"/>
        <v>0</v>
      </c>
      <c r="AQ61" s="2">
        <f t="shared" si="21"/>
        <v>0</v>
      </c>
      <c r="AR61" s="2">
        <f t="shared" si="21"/>
        <v>0</v>
      </c>
      <c r="AS61" s="2">
        <f t="shared" si="21"/>
        <v>0</v>
      </c>
      <c r="AT61" s="2">
        <f t="shared" si="21"/>
        <v>0</v>
      </c>
      <c r="AU61" s="2">
        <f t="shared" si="21"/>
        <v>0</v>
      </c>
      <c r="AV61" s="2">
        <f t="shared" si="21"/>
        <v>0</v>
      </c>
      <c r="AW61" s="2">
        <f t="shared" si="21"/>
        <v>1</v>
      </c>
      <c r="AX61" s="2">
        <f t="shared" si="21"/>
        <v>0</v>
      </c>
      <c r="AY61" s="2">
        <f t="shared" si="21"/>
        <v>0</v>
      </c>
      <c r="AZ61" s="2">
        <f t="shared" si="21"/>
        <v>0</v>
      </c>
      <c r="BA61" s="2">
        <f t="shared" si="21"/>
        <v>0</v>
      </c>
      <c r="BB61" s="2">
        <f t="shared" si="21"/>
        <v>0</v>
      </c>
      <c r="BC61" s="2">
        <f t="shared" si="21"/>
        <v>0</v>
      </c>
      <c r="BD61" s="2">
        <f t="shared" si="21"/>
        <v>0</v>
      </c>
      <c r="BE61" s="2">
        <f t="shared" si="21"/>
        <v>0</v>
      </c>
      <c r="BF61" s="2">
        <f t="shared" si="21"/>
        <v>0</v>
      </c>
      <c r="BG61" s="2">
        <f t="shared" si="21"/>
        <v>0</v>
      </c>
      <c r="BH61" s="2">
        <f t="shared" si="21"/>
        <v>0</v>
      </c>
      <c r="BI61" s="2">
        <f t="shared" si="21"/>
        <v>1</v>
      </c>
      <c r="BJ61" s="2">
        <f t="shared" si="21"/>
        <v>0</v>
      </c>
      <c r="BK61" s="2">
        <f t="shared" si="21"/>
        <v>0</v>
      </c>
      <c r="BL61" s="2">
        <f t="shared" si="21"/>
        <v>0</v>
      </c>
      <c r="BM61" s="2">
        <f t="shared" si="21"/>
        <v>0</v>
      </c>
      <c r="BN61" s="2">
        <f t="shared" si="21"/>
        <v>0</v>
      </c>
      <c r="BO61" s="2">
        <f t="shared" si="21"/>
        <v>0</v>
      </c>
      <c r="BP61" s="2">
        <f t="shared" si="21"/>
        <v>0</v>
      </c>
      <c r="BQ61" s="2">
        <f t="shared" si="21"/>
        <v>0</v>
      </c>
    </row>
    <row r="64" spans="1:69">
      <c r="A64" s="27" t="s">
        <v>221</v>
      </c>
    </row>
    <row r="65" spans="1:69" outlineLevel="1">
      <c r="B65" s="27" t="s">
        <v>175</v>
      </c>
    </row>
    <row r="66" spans="1:69" outlineLevel="2">
      <c r="E66" s="2" t="str">
        <f t="shared" ref="E66:BQ66" si="22" xml:space="preserve">  E$75</f>
        <v>Corporation tax creditor BEG</v>
      </c>
      <c r="F66" s="2">
        <f t="shared" si="22"/>
        <v>0</v>
      </c>
      <c r="G66" s="2" t="str">
        <f t="shared" si="22"/>
        <v>GBP</v>
      </c>
      <c r="H66" s="2">
        <f t="shared" si="22"/>
        <v>0</v>
      </c>
      <c r="I66" s="2">
        <f t="shared" si="22"/>
        <v>0</v>
      </c>
      <c r="J66" s="2">
        <f t="shared" si="22"/>
        <v>0</v>
      </c>
      <c r="K66" s="2">
        <f t="shared" ca="1" si="22"/>
        <v>0</v>
      </c>
      <c r="L66" s="2">
        <f t="shared" ca="1" si="22"/>
        <v>0</v>
      </c>
      <c r="M66" s="2">
        <f t="shared" ca="1" si="22"/>
        <v>0</v>
      </c>
      <c r="N66" s="2">
        <f t="shared" ca="1" si="22"/>
        <v>0</v>
      </c>
      <c r="O66" s="2">
        <f t="shared" ca="1" si="22"/>
        <v>0</v>
      </c>
      <c r="P66" s="2">
        <f t="shared" ca="1" si="22"/>
        <v>0</v>
      </c>
      <c r="Q66" s="2">
        <f t="shared" ca="1" si="22"/>
        <v>0</v>
      </c>
      <c r="R66" s="2">
        <f t="shared" ca="1" si="22"/>
        <v>0</v>
      </c>
      <c r="S66" s="2">
        <f t="shared" ca="1" si="22"/>
        <v>0</v>
      </c>
      <c r="T66" s="2">
        <f t="shared" ca="1" si="22"/>
        <v>0</v>
      </c>
      <c r="U66" s="2">
        <f t="shared" ca="1" si="22"/>
        <v>0</v>
      </c>
      <c r="V66" s="2">
        <f t="shared" ca="1" si="22"/>
        <v>0</v>
      </c>
      <c r="W66" s="2">
        <f t="shared" ca="1" si="22"/>
        <v>0</v>
      </c>
      <c r="X66" s="2">
        <f t="shared" ca="1" si="22"/>
        <v>0</v>
      </c>
      <c r="Y66" s="2">
        <f t="shared" ca="1" si="22"/>
        <v>0</v>
      </c>
      <c r="Z66" s="2">
        <f t="shared" ca="1" si="22"/>
        <v>0</v>
      </c>
      <c r="AA66" s="2">
        <f t="shared" ca="1" si="22"/>
        <v>0</v>
      </c>
      <c r="AB66" s="2">
        <f t="shared" ca="1" si="22"/>
        <v>0</v>
      </c>
      <c r="AC66" s="2">
        <f t="shared" ca="1" si="22"/>
        <v>0</v>
      </c>
      <c r="AD66" s="2">
        <f t="shared" ca="1" si="22"/>
        <v>13325.975932297117</v>
      </c>
      <c r="AE66" s="2">
        <f t="shared" ca="1" si="22"/>
        <v>34347.96560952768</v>
      </c>
      <c r="AF66" s="2">
        <f t="shared" ca="1" si="22"/>
        <v>54838.848963949837</v>
      </c>
      <c r="AG66" s="2">
        <f t="shared" ca="1" si="22"/>
        <v>75064.122964117938</v>
      </c>
      <c r="AH66" s="2">
        <f t="shared" ca="1" si="22"/>
        <v>106978.39281702002</v>
      </c>
      <c r="AI66" s="2">
        <f t="shared" ca="1" si="22"/>
        <v>135827.80179191061</v>
      </c>
      <c r="AJ66" s="2">
        <f t="shared" ca="1" si="22"/>
        <v>165376.69590044121</v>
      </c>
      <c r="AK66" s="2">
        <f t="shared" ca="1" si="22"/>
        <v>195685.12595542119</v>
      </c>
      <c r="AL66" s="2">
        <f t="shared" ca="1" si="22"/>
        <v>42829.304598621035</v>
      </c>
      <c r="AM66" s="2">
        <f t="shared" ca="1" si="22"/>
        <v>86491.693777383247</v>
      </c>
      <c r="AN66" s="2">
        <f t="shared" ca="1" si="22"/>
        <v>131058.68385670075</v>
      </c>
      <c r="AO66" s="2">
        <f t="shared" ca="1" si="22"/>
        <v>188290.1374934332</v>
      </c>
      <c r="AP66" s="2">
        <f t="shared" ca="1" si="22"/>
        <v>246537.3433238696</v>
      </c>
      <c r="AQ66" s="2">
        <f t="shared" ca="1" si="22"/>
        <v>317831.06851123407</v>
      </c>
      <c r="AR66" s="2">
        <f t="shared" ca="1" si="22"/>
        <v>389960.27561447921</v>
      </c>
      <c r="AS66" s="2">
        <f t="shared" ca="1" si="22"/>
        <v>463353.40017732419</v>
      </c>
      <c r="AT66" s="2">
        <f t="shared" ca="1" si="22"/>
        <v>549993.72394885693</v>
      </c>
      <c r="AU66" s="2">
        <f t="shared" ca="1" si="22"/>
        <v>637712.9236881088</v>
      </c>
      <c r="AV66" s="2">
        <f t="shared" ca="1" si="22"/>
        <v>726826.44386598445</v>
      </c>
      <c r="AW66" s="2">
        <f t="shared" ca="1" si="22"/>
        <v>829461.348841978</v>
      </c>
      <c r="AX66" s="2">
        <f t="shared" ca="1" si="22"/>
        <v>103916.9566745247</v>
      </c>
      <c r="AY66" s="2">
        <f t="shared" ca="1" si="22"/>
        <v>221502.26560317131</v>
      </c>
      <c r="AZ66" s="2">
        <f t="shared" ca="1" si="22"/>
        <v>340898.86004735494</v>
      </c>
      <c r="BA66" s="2">
        <f t="shared" ca="1" si="22"/>
        <v>473870.18826364947</v>
      </c>
      <c r="BB66" s="2">
        <f t="shared" ca="1" si="22"/>
        <v>620874.86125588219</v>
      </c>
      <c r="BC66" s="2">
        <f t="shared" ca="1" si="22"/>
        <v>769971.42644998198</v>
      </c>
      <c r="BD66" s="2">
        <f t="shared" ca="1" si="22"/>
        <v>932992.71807498974</v>
      </c>
      <c r="BE66" s="2">
        <f t="shared" ca="1" si="22"/>
        <v>1110547.894726428</v>
      </c>
      <c r="BF66" s="2">
        <f t="shared" ca="1" si="22"/>
        <v>1290597.9976512392</v>
      </c>
      <c r="BG66" s="2">
        <f t="shared" ca="1" si="22"/>
        <v>1483974.3504206678</v>
      </c>
      <c r="BH66" s="2">
        <f t="shared" ca="1" si="22"/>
        <v>1693166.2062783132</v>
      </c>
      <c r="BI66" s="2">
        <f t="shared" ca="1" si="22"/>
        <v>1918477.5042626159</v>
      </c>
      <c r="BJ66" s="2">
        <f t="shared" ca="1" si="22"/>
        <v>241274.78657107102</v>
      </c>
      <c r="BK66" s="2">
        <f t="shared" ca="1" si="22"/>
        <v>499092.82601214631</v>
      </c>
      <c r="BL66" s="2">
        <f t="shared" ca="1" si="22"/>
        <v>773816.03168319841</v>
      </c>
      <c r="BM66" s="2">
        <f t="shared" ca="1" si="22"/>
        <v>1065311.9982709016</v>
      </c>
      <c r="BN66" s="2">
        <f t="shared" ca="1" si="22"/>
        <v>1374315.0600927605</v>
      </c>
      <c r="BO66" s="2">
        <f t="shared" ca="1" si="22"/>
        <v>1701081.4382081479</v>
      </c>
      <c r="BP66" s="2">
        <f t="shared" ca="1" si="22"/>
        <v>2045593.9024097088</v>
      </c>
      <c r="BQ66" s="2">
        <f t="shared" ca="1" si="22"/>
        <v>2408822.7016076059</v>
      </c>
    </row>
    <row r="67" spans="1:69" outlineLevel="2">
      <c r="E67" s="2" t="str">
        <f t="shared" ref="E67:BQ67" si="23" xml:space="preserve">  E$61</f>
        <v>Corporation tax paid this period</v>
      </c>
      <c r="F67" s="2">
        <f t="shared" si="23"/>
        <v>0</v>
      </c>
      <c r="G67" s="2" t="str">
        <f t="shared" si="23"/>
        <v>flag</v>
      </c>
      <c r="H67" s="2">
        <f t="shared" si="23"/>
        <v>5</v>
      </c>
      <c r="I67" s="2">
        <f t="shared" si="23"/>
        <v>0</v>
      </c>
      <c r="J67" s="2">
        <f t="shared" si="23"/>
        <v>0</v>
      </c>
      <c r="K67" s="2">
        <f t="shared" si="23"/>
        <v>0</v>
      </c>
      <c r="L67" s="2">
        <f t="shared" si="23"/>
        <v>0</v>
      </c>
      <c r="M67" s="2">
        <f t="shared" si="23"/>
        <v>1</v>
      </c>
      <c r="N67" s="2">
        <f t="shared" si="23"/>
        <v>0</v>
      </c>
      <c r="O67" s="2">
        <f t="shared" si="23"/>
        <v>0</v>
      </c>
      <c r="P67" s="2">
        <f t="shared" si="23"/>
        <v>0</v>
      </c>
      <c r="Q67" s="2">
        <f t="shared" si="23"/>
        <v>0</v>
      </c>
      <c r="R67" s="2">
        <f t="shared" si="23"/>
        <v>0</v>
      </c>
      <c r="S67" s="2">
        <f t="shared" si="23"/>
        <v>0</v>
      </c>
      <c r="T67" s="2">
        <f t="shared" si="23"/>
        <v>0</v>
      </c>
      <c r="U67" s="2">
        <f t="shared" si="23"/>
        <v>0</v>
      </c>
      <c r="V67" s="2">
        <f t="shared" si="23"/>
        <v>0</v>
      </c>
      <c r="W67" s="2">
        <f t="shared" si="23"/>
        <v>0</v>
      </c>
      <c r="X67" s="2">
        <f t="shared" si="23"/>
        <v>0</v>
      </c>
      <c r="Y67" s="2">
        <f t="shared" si="23"/>
        <v>1</v>
      </c>
      <c r="Z67" s="2">
        <f t="shared" si="23"/>
        <v>0</v>
      </c>
      <c r="AA67" s="2">
        <f t="shared" si="23"/>
        <v>0</v>
      </c>
      <c r="AB67" s="2">
        <f t="shared" si="23"/>
        <v>0</v>
      </c>
      <c r="AC67" s="2">
        <f t="shared" si="23"/>
        <v>0</v>
      </c>
      <c r="AD67" s="2">
        <f t="shared" si="23"/>
        <v>0</v>
      </c>
      <c r="AE67" s="2">
        <f t="shared" si="23"/>
        <v>0</v>
      </c>
      <c r="AF67" s="2">
        <f t="shared" si="23"/>
        <v>0</v>
      </c>
      <c r="AG67" s="2">
        <f t="shared" si="23"/>
        <v>0</v>
      </c>
      <c r="AH67" s="2">
        <f t="shared" si="23"/>
        <v>0</v>
      </c>
      <c r="AI67" s="2">
        <f t="shared" si="23"/>
        <v>0</v>
      </c>
      <c r="AJ67" s="2">
        <f t="shared" si="23"/>
        <v>0</v>
      </c>
      <c r="AK67" s="2">
        <f t="shared" si="23"/>
        <v>1</v>
      </c>
      <c r="AL67" s="2">
        <f t="shared" si="23"/>
        <v>0</v>
      </c>
      <c r="AM67" s="2">
        <f t="shared" si="23"/>
        <v>0</v>
      </c>
      <c r="AN67" s="2">
        <f t="shared" si="23"/>
        <v>0</v>
      </c>
      <c r="AO67" s="2">
        <f t="shared" si="23"/>
        <v>0</v>
      </c>
      <c r="AP67" s="2">
        <f t="shared" si="23"/>
        <v>0</v>
      </c>
      <c r="AQ67" s="2">
        <f t="shared" si="23"/>
        <v>0</v>
      </c>
      <c r="AR67" s="2">
        <f t="shared" si="23"/>
        <v>0</v>
      </c>
      <c r="AS67" s="2">
        <f t="shared" si="23"/>
        <v>0</v>
      </c>
      <c r="AT67" s="2">
        <f t="shared" si="23"/>
        <v>0</v>
      </c>
      <c r="AU67" s="2">
        <f t="shared" si="23"/>
        <v>0</v>
      </c>
      <c r="AV67" s="2">
        <f t="shared" si="23"/>
        <v>0</v>
      </c>
      <c r="AW67" s="2">
        <f t="shared" si="23"/>
        <v>1</v>
      </c>
      <c r="AX67" s="2">
        <f t="shared" si="23"/>
        <v>0</v>
      </c>
      <c r="AY67" s="2">
        <f t="shared" si="23"/>
        <v>0</v>
      </c>
      <c r="AZ67" s="2">
        <f t="shared" si="23"/>
        <v>0</v>
      </c>
      <c r="BA67" s="2">
        <f t="shared" si="23"/>
        <v>0</v>
      </c>
      <c r="BB67" s="2">
        <f t="shared" si="23"/>
        <v>0</v>
      </c>
      <c r="BC67" s="2">
        <f t="shared" si="23"/>
        <v>0</v>
      </c>
      <c r="BD67" s="2">
        <f t="shared" si="23"/>
        <v>0</v>
      </c>
      <c r="BE67" s="2">
        <f t="shared" si="23"/>
        <v>0</v>
      </c>
      <c r="BF67" s="2">
        <f t="shared" si="23"/>
        <v>0</v>
      </c>
      <c r="BG67" s="2">
        <f t="shared" si="23"/>
        <v>0</v>
      </c>
      <c r="BH67" s="2">
        <f t="shared" si="23"/>
        <v>0</v>
      </c>
      <c r="BI67" s="2">
        <f t="shared" si="23"/>
        <v>1</v>
      </c>
      <c r="BJ67" s="2">
        <f t="shared" si="23"/>
        <v>0</v>
      </c>
      <c r="BK67" s="2">
        <f t="shared" si="23"/>
        <v>0</v>
      </c>
      <c r="BL67" s="2">
        <f t="shared" si="23"/>
        <v>0</v>
      </c>
      <c r="BM67" s="2">
        <f t="shared" si="23"/>
        <v>0</v>
      </c>
      <c r="BN67" s="2">
        <f t="shared" si="23"/>
        <v>0</v>
      </c>
      <c r="BO67" s="2">
        <f t="shared" si="23"/>
        <v>0</v>
      </c>
      <c r="BP67" s="2">
        <f t="shared" si="23"/>
        <v>0</v>
      </c>
      <c r="BQ67" s="2">
        <f t="shared" si="23"/>
        <v>0</v>
      </c>
    </row>
    <row r="68" spans="1:69" outlineLevel="2">
      <c r="E68" s="46" t="s">
        <v>320</v>
      </c>
      <c r="G68" s="46" t="s">
        <v>252</v>
      </c>
      <c r="H68" s="2">
        <f t="shared" ref="H68:H69" ca="1" si="24" xml:space="preserve"> SUM( J68:BQ68 )</f>
        <v>2943623.9790600152</v>
      </c>
      <c r="J68" s="2">
        <f t="shared" ref="J68:BQ68" si="25" xml:space="preserve">  J66 * J67</f>
        <v>0</v>
      </c>
      <c r="K68" s="2">
        <f t="shared" ca="1" si="25"/>
        <v>0</v>
      </c>
      <c r="L68" s="2">
        <f t="shared" ca="1" si="25"/>
        <v>0</v>
      </c>
      <c r="M68" s="2">
        <f t="shared" ca="1" si="25"/>
        <v>0</v>
      </c>
      <c r="N68" s="2">
        <f t="shared" ca="1" si="25"/>
        <v>0</v>
      </c>
      <c r="O68" s="2">
        <f t="shared" ca="1" si="25"/>
        <v>0</v>
      </c>
      <c r="P68" s="2">
        <f t="shared" ca="1" si="25"/>
        <v>0</v>
      </c>
      <c r="Q68" s="2">
        <f t="shared" ca="1" si="25"/>
        <v>0</v>
      </c>
      <c r="R68" s="2">
        <f t="shared" ca="1" si="25"/>
        <v>0</v>
      </c>
      <c r="S68" s="2">
        <f t="shared" ca="1" si="25"/>
        <v>0</v>
      </c>
      <c r="T68" s="2">
        <f t="shared" ca="1" si="25"/>
        <v>0</v>
      </c>
      <c r="U68" s="2">
        <f t="shared" ca="1" si="25"/>
        <v>0</v>
      </c>
      <c r="V68" s="2">
        <f t="shared" ca="1" si="25"/>
        <v>0</v>
      </c>
      <c r="W68" s="2">
        <f t="shared" ca="1" si="25"/>
        <v>0</v>
      </c>
      <c r="X68" s="2">
        <f t="shared" ca="1" si="25"/>
        <v>0</v>
      </c>
      <c r="Y68" s="2">
        <f t="shared" ca="1" si="25"/>
        <v>0</v>
      </c>
      <c r="Z68" s="2">
        <f t="shared" ca="1" si="25"/>
        <v>0</v>
      </c>
      <c r="AA68" s="2">
        <f t="shared" ca="1" si="25"/>
        <v>0</v>
      </c>
      <c r="AB68" s="2">
        <f t="shared" ca="1" si="25"/>
        <v>0</v>
      </c>
      <c r="AC68" s="2">
        <f t="shared" ca="1" si="25"/>
        <v>0</v>
      </c>
      <c r="AD68" s="2">
        <f t="shared" ca="1" si="25"/>
        <v>0</v>
      </c>
      <c r="AE68" s="2">
        <f t="shared" ca="1" si="25"/>
        <v>0</v>
      </c>
      <c r="AF68" s="2">
        <f t="shared" ca="1" si="25"/>
        <v>0</v>
      </c>
      <c r="AG68" s="2">
        <f t="shared" ca="1" si="25"/>
        <v>0</v>
      </c>
      <c r="AH68" s="2">
        <f t="shared" ca="1" si="25"/>
        <v>0</v>
      </c>
      <c r="AI68" s="2">
        <f t="shared" ca="1" si="25"/>
        <v>0</v>
      </c>
      <c r="AJ68" s="2">
        <f t="shared" ca="1" si="25"/>
        <v>0</v>
      </c>
      <c r="AK68" s="2">
        <f t="shared" ca="1" si="25"/>
        <v>195685.12595542119</v>
      </c>
      <c r="AL68" s="2">
        <f t="shared" ca="1" si="25"/>
        <v>0</v>
      </c>
      <c r="AM68" s="2">
        <f t="shared" ca="1" si="25"/>
        <v>0</v>
      </c>
      <c r="AN68" s="2">
        <f t="shared" ca="1" si="25"/>
        <v>0</v>
      </c>
      <c r="AO68" s="2">
        <f t="shared" ca="1" si="25"/>
        <v>0</v>
      </c>
      <c r="AP68" s="2">
        <f t="shared" ca="1" si="25"/>
        <v>0</v>
      </c>
      <c r="AQ68" s="2">
        <f t="shared" ca="1" si="25"/>
        <v>0</v>
      </c>
      <c r="AR68" s="2">
        <f t="shared" ca="1" si="25"/>
        <v>0</v>
      </c>
      <c r="AS68" s="2">
        <f t="shared" ca="1" si="25"/>
        <v>0</v>
      </c>
      <c r="AT68" s="2">
        <f t="shared" ca="1" si="25"/>
        <v>0</v>
      </c>
      <c r="AU68" s="2">
        <f t="shared" ca="1" si="25"/>
        <v>0</v>
      </c>
      <c r="AV68" s="2">
        <f t="shared" ca="1" si="25"/>
        <v>0</v>
      </c>
      <c r="AW68" s="2">
        <f t="shared" ca="1" si="25"/>
        <v>829461.348841978</v>
      </c>
      <c r="AX68" s="2">
        <f t="shared" ca="1" si="25"/>
        <v>0</v>
      </c>
      <c r="AY68" s="2">
        <f t="shared" ca="1" si="25"/>
        <v>0</v>
      </c>
      <c r="AZ68" s="2">
        <f t="shared" ca="1" si="25"/>
        <v>0</v>
      </c>
      <c r="BA68" s="2">
        <f t="shared" ca="1" si="25"/>
        <v>0</v>
      </c>
      <c r="BB68" s="2">
        <f t="shared" ca="1" si="25"/>
        <v>0</v>
      </c>
      <c r="BC68" s="2">
        <f t="shared" ca="1" si="25"/>
        <v>0</v>
      </c>
      <c r="BD68" s="2">
        <f t="shared" ca="1" si="25"/>
        <v>0</v>
      </c>
      <c r="BE68" s="2">
        <f t="shared" ca="1" si="25"/>
        <v>0</v>
      </c>
      <c r="BF68" s="2">
        <f t="shared" ca="1" si="25"/>
        <v>0</v>
      </c>
      <c r="BG68" s="2">
        <f t="shared" ca="1" si="25"/>
        <v>0</v>
      </c>
      <c r="BH68" s="2">
        <f t="shared" ca="1" si="25"/>
        <v>0</v>
      </c>
      <c r="BI68" s="2">
        <f t="shared" ca="1" si="25"/>
        <v>1918477.5042626159</v>
      </c>
      <c r="BJ68" s="2">
        <f t="shared" ca="1" si="25"/>
        <v>0</v>
      </c>
      <c r="BK68" s="2">
        <f t="shared" ca="1" si="25"/>
        <v>0</v>
      </c>
      <c r="BL68" s="2">
        <f t="shared" ca="1" si="25"/>
        <v>0</v>
      </c>
      <c r="BM68" s="2">
        <f t="shared" ca="1" si="25"/>
        <v>0</v>
      </c>
      <c r="BN68" s="2">
        <f t="shared" ca="1" si="25"/>
        <v>0</v>
      </c>
      <c r="BO68" s="2">
        <f t="shared" ca="1" si="25"/>
        <v>0</v>
      </c>
      <c r="BP68" s="2">
        <f t="shared" ca="1" si="25"/>
        <v>0</v>
      </c>
      <c r="BQ68" s="2">
        <f t="shared" ca="1" si="25"/>
        <v>0</v>
      </c>
    </row>
    <row r="69" spans="1:69" outlineLevel="2">
      <c r="A69" s="36"/>
      <c r="B69" s="36"/>
      <c r="C69" s="65"/>
      <c r="D69" s="64"/>
      <c r="E69" s="21" t="str">
        <f xml:space="preserve"> LEFT($E$68, LEN($E$68) - 3 )</f>
        <v xml:space="preserve">Corporation tax paid </v>
      </c>
      <c r="F69" s="21"/>
      <c r="G69" s="21" t="str">
        <f xml:space="preserve"> G$68</f>
        <v>GBP</v>
      </c>
      <c r="H69" s="3">
        <f t="shared" ca="1" si="24"/>
        <v>-2943623.9790600152</v>
      </c>
      <c r="I69" s="21"/>
      <c r="J69" s="3">
        <f t="shared" ref="J69:BQ69" si="26" xml:space="preserve"> -1 * J68</f>
        <v>0</v>
      </c>
      <c r="K69" s="3">
        <f t="shared" ca="1" si="26"/>
        <v>0</v>
      </c>
      <c r="L69" s="3">
        <f t="shared" ca="1" si="26"/>
        <v>0</v>
      </c>
      <c r="M69" s="3">
        <f t="shared" ca="1" si="26"/>
        <v>0</v>
      </c>
      <c r="N69" s="3">
        <f t="shared" ca="1" si="26"/>
        <v>0</v>
      </c>
      <c r="O69" s="3">
        <f t="shared" ca="1" si="26"/>
        <v>0</v>
      </c>
      <c r="P69" s="3">
        <f t="shared" ca="1" si="26"/>
        <v>0</v>
      </c>
      <c r="Q69" s="3">
        <f t="shared" ca="1" si="26"/>
        <v>0</v>
      </c>
      <c r="R69" s="3">
        <f t="shared" ca="1" si="26"/>
        <v>0</v>
      </c>
      <c r="S69" s="3">
        <f t="shared" ca="1" si="26"/>
        <v>0</v>
      </c>
      <c r="T69" s="3">
        <f t="shared" ca="1" si="26"/>
        <v>0</v>
      </c>
      <c r="U69" s="3">
        <f t="shared" ca="1" si="26"/>
        <v>0</v>
      </c>
      <c r="V69" s="3">
        <f t="shared" ca="1" si="26"/>
        <v>0</v>
      </c>
      <c r="W69" s="3">
        <f t="shared" ca="1" si="26"/>
        <v>0</v>
      </c>
      <c r="X69" s="3">
        <f t="shared" ca="1" si="26"/>
        <v>0</v>
      </c>
      <c r="Y69" s="3">
        <f t="shared" ca="1" si="26"/>
        <v>0</v>
      </c>
      <c r="Z69" s="3">
        <f t="shared" ca="1" si="26"/>
        <v>0</v>
      </c>
      <c r="AA69" s="3">
        <f t="shared" ca="1" si="26"/>
        <v>0</v>
      </c>
      <c r="AB69" s="3">
        <f t="shared" ca="1" si="26"/>
        <v>0</v>
      </c>
      <c r="AC69" s="3">
        <f t="shared" ca="1" si="26"/>
        <v>0</v>
      </c>
      <c r="AD69" s="3">
        <f t="shared" ca="1" si="26"/>
        <v>0</v>
      </c>
      <c r="AE69" s="3">
        <f t="shared" ca="1" si="26"/>
        <v>0</v>
      </c>
      <c r="AF69" s="3">
        <f t="shared" ca="1" si="26"/>
        <v>0</v>
      </c>
      <c r="AG69" s="3">
        <f t="shared" ca="1" si="26"/>
        <v>0</v>
      </c>
      <c r="AH69" s="3">
        <f t="shared" ca="1" si="26"/>
        <v>0</v>
      </c>
      <c r="AI69" s="3">
        <f t="shared" ca="1" si="26"/>
        <v>0</v>
      </c>
      <c r="AJ69" s="3">
        <f t="shared" ca="1" si="26"/>
        <v>0</v>
      </c>
      <c r="AK69" s="3">
        <f t="shared" ca="1" si="26"/>
        <v>-195685.12595542119</v>
      </c>
      <c r="AL69" s="3">
        <f t="shared" ca="1" si="26"/>
        <v>0</v>
      </c>
      <c r="AM69" s="3">
        <f t="shared" ca="1" si="26"/>
        <v>0</v>
      </c>
      <c r="AN69" s="3">
        <f t="shared" ca="1" si="26"/>
        <v>0</v>
      </c>
      <c r="AO69" s="3">
        <f t="shared" ca="1" si="26"/>
        <v>0</v>
      </c>
      <c r="AP69" s="3">
        <f t="shared" ca="1" si="26"/>
        <v>0</v>
      </c>
      <c r="AQ69" s="3">
        <f t="shared" ca="1" si="26"/>
        <v>0</v>
      </c>
      <c r="AR69" s="3">
        <f t="shared" ca="1" si="26"/>
        <v>0</v>
      </c>
      <c r="AS69" s="3">
        <f t="shared" ca="1" si="26"/>
        <v>0</v>
      </c>
      <c r="AT69" s="3">
        <f t="shared" ca="1" si="26"/>
        <v>0</v>
      </c>
      <c r="AU69" s="3">
        <f t="shared" ca="1" si="26"/>
        <v>0</v>
      </c>
      <c r="AV69" s="3">
        <f t="shared" ca="1" si="26"/>
        <v>0</v>
      </c>
      <c r="AW69" s="3">
        <f t="shared" ca="1" si="26"/>
        <v>-829461.348841978</v>
      </c>
      <c r="AX69" s="3">
        <f t="shared" ca="1" si="26"/>
        <v>0</v>
      </c>
      <c r="AY69" s="3">
        <f t="shared" ca="1" si="26"/>
        <v>0</v>
      </c>
      <c r="AZ69" s="3">
        <f t="shared" ca="1" si="26"/>
        <v>0</v>
      </c>
      <c r="BA69" s="3">
        <f t="shared" ca="1" si="26"/>
        <v>0</v>
      </c>
      <c r="BB69" s="3">
        <f t="shared" ca="1" si="26"/>
        <v>0</v>
      </c>
      <c r="BC69" s="3">
        <f t="shared" ca="1" si="26"/>
        <v>0</v>
      </c>
      <c r="BD69" s="3">
        <f t="shared" ca="1" si="26"/>
        <v>0</v>
      </c>
      <c r="BE69" s="3">
        <f t="shared" ca="1" si="26"/>
        <v>0</v>
      </c>
      <c r="BF69" s="3">
        <f t="shared" ca="1" si="26"/>
        <v>0</v>
      </c>
      <c r="BG69" s="3">
        <f t="shared" ca="1" si="26"/>
        <v>0</v>
      </c>
      <c r="BH69" s="3">
        <f t="shared" ca="1" si="26"/>
        <v>0</v>
      </c>
      <c r="BI69" s="3">
        <f t="shared" ca="1" si="26"/>
        <v>-1918477.5042626159</v>
      </c>
      <c r="BJ69" s="3">
        <f t="shared" ca="1" si="26"/>
        <v>0</v>
      </c>
      <c r="BK69" s="3">
        <f t="shared" ca="1" si="26"/>
        <v>0</v>
      </c>
      <c r="BL69" s="3">
        <f t="shared" ca="1" si="26"/>
        <v>0</v>
      </c>
      <c r="BM69" s="3">
        <f t="shared" ca="1" si="26"/>
        <v>0</v>
      </c>
      <c r="BN69" s="3">
        <f t="shared" ca="1" si="26"/>
        <v>0</v>
      </c>
      <c r="BO69" s="3">
        <f t="shared" ca="1" si="26"/>
        <v>0</v>
      </c>
      <c r="BP69" s="3">
        <f t="shared" ca="1" si="26"/>
        <v>0</v>
      </c>
      <c r="BQ69" s="3">
        <f t="shared" ca="1" si="26"/>
        <v>0</v>
      </c>
    </row>
    <row r="70" spans="1:69" outlineLevel="1"/>
    <row r="71" spans="1:69" outlineLevel="1"/>
    <row r="72" spans="1:69" outlineLevel="1">
      <c r="B72" s="27" t="s">
        <v>221</v>
      </c>
    </row>
    <row r="73" spans="1:69" s="85" customFormat="1" outlineLevel="1">
      <c r="A73" s="59"/>
      <c r="B73" s="59"/>
      <c r="C73" s="86"/>
      <c r="D73" s="84"/>
      <c r="E73" s="40" t="str">
        <f xml:space="preserve">  InpC!E$91</f>
        <v>Opening Corporation tax creditor</v>
      </c>
      <c r="F73" s="40">
        <f xml:space="preserve">  InpC!F$91</f>
        <v>0</v>
      </c>
      <c r="G73" s="40" t="str">
        <f xml:space="preserve">  InpC!G$91</f>
        <v>GBP</v>
      </c>
      <c r="M73" s="87"/>
    </row>
    <row r="74" spans="1:69" outlineLevel="1">
      <c r="A74" s="18"/>
      <c r="B74" s="18"/>
      <c r="C74" s="30"/>
      <c r="D74" s="31"/>
      <c r="E74" s="10" t="str">
        <f xml:space="preserve">  Time!E$28</f>
        <v>Period number</v>
      </c>
      <c r="F74" s="10">
        <f xml:space="preserve">  Time!F$28</f>
        <v>0</v>
      </c>
      <c r="G74" s="10" t="str">
        <f xml:space="preserve">  Time!G$28</f>
        <v>Counter</v>
      </c>
      <c r="H74" s="10">
        <f xml:space="preserve">  Time!H$28</f>
        <v>0</v>
      </c>
      <c r="I74" s="10">
        <f xml:space="preserve">  Time!I$28</f>
        <v>0</v>
      </c>
      <c r="J74" s="10">
        <f xml:space="preserve">  Time!J$28</f>
        <v>1</v>
      </c>
      <c r="K74" s="10">
        <f xml:space="preserve">  Time!K$28</f>
        <v>2</v>
      </c>
      <c r="L74" s="10">
        <f xml:space="preserve">  Time!L$28</f>
        <v>3</v>
      </c>
      <c r="M74" s="10">
        <f xml:space="preserve">  Time!M$28</f>
        <v>4</v>
      </c>
      <c r="N74" s="10">
        <f xml:space="preserve">  Time!N$28</f>
        <v>5</v>
      </c>
      <c r="O74" s="10">
        <f xml:space="preserve">  Time!O$28</f>
        <v>6</v>
      </c>
      <c r="P74" s="10">
        <f xml:space="preserve">  Time!P$28</f>
        <v>7</v>
      </c>
      <c r="Q74" s="10">
        <f xml:space="preserve">  Time!Q$28</f>
        <v>8</v>
      </c>
      <c r="R74" s="10">
        <f xml:space="preserve">  Time!R$28</f>
        <v>9</v>
      </c>
      <c r="S74" s="10">
        <f xml:space="preserve">  Time!S$28</f>
        <v>10</v>
      </c>
      <c r="T74" s="10">
        <f xml:space="preserve">  Time!T$28</f>
        <v>11</v>
      </c>
      <c r="U74" s="10">
        <f xml:space="preserve">  Time!U$28</f>
        <v>12</v>
      </c>
      <c r="V74" s="10">
        <f xml:space="preserve">  Time!V$28</f>
        <v>13</v>
      </c>
      <c r="W74" s="10">
        <f xml:space="preserve">  Time!W$28</f>
        <v>14</v>
      </c>
      <c r="X74" s="10">
        <f xml:space="preserve">  Time!X$28</f>
        <v>15</v>
      </c>
      <c r="Y74" s="10">
        <f xml:space="preserve">  Time!Y$28</f>
        <v>16</v>
      </c>
      <c r="Z74" s="10">
        <f xml:space="preserve">  Time!Z$28</f>
        <v>17</v>
      </c>
      <c r="AA74" s="10">
        <f xml:space="preserve">  Time!AA$28</f>
        <v>18</v>
      </c>
      <c r="AB74" s="10">
        <f xml:space="preserve">  Time!AB$28</f>
        <v>19</v>
      </c>
      <c r="AC74" s="10">
        <f xml:space="preserve">  Time!AC$28</f>
        <v>20</v>
      </c>
      <c r="AD74" s="10">
        <f xml:space="preserve">  Time!AD$28</f>
        <v>21</v>
      </c>
      <c r="AE74" s="10">
        <f xml:space="preserve">  Time!AE$28</f>
        <v>22</v>
      </c>
      <c r="AF74" s="10">
        <f xml:space="preserve">  Time!AF$28</f>
        <v>23</v>
      </c>
      <c r="AG74" s="10">
        <f xml:space="preserve">  Time!AG$28</f>
        <v>24</v>
      </c>
      <c r="AH74" s="10">
        <f xml:space="preserve">  Time!AH$28</f>
        <v>25</v>
      </c>
      <c r="AI74" s="10">
        <f xml:space="preserve">  Time!AI$28</f>
        <v>26</v>
      </c>
      <c r="AJ74" s="10">
        <f xml:space="preserve">  Time!AJ$28</f>
        <v>27</v>
      </c>
      <c r="AK74" s="10">
        <f xml:space="preserve">  Time!AK$28</f>
        <v>28</v>
      </c>
      <c r="AL74" s="10">
        <f xml:space="preserve">  Time!AL$28</f>
        <v>29</v>
      </c>
      <c r="AM74" s="10">
        <f xml:space="preserve">  Time!AM$28</f>
        <v>30</v>
      </c>
      <c r="AN74" s="10">
        <f xml:space="preserve">  Time!AN$28</f>
        <v>31</v>
      </c>
      <c r="AO74" s="10">
        <f xml:space="preserve">  Time!AO$28</f>
        <v>32</v>
      </c>
      <c r="AP74" s="10">
        <f xml:space="preserve">  Time!AP$28</f>
        <v>33</v>
      </c>
      <c r="AQ74" s="10">
        <f xml:space="preserve">  Time!AQ$28</f>
        <v>34</v>
      </c>
      <c r="AR74" s="10">
        <f xml:space="preserve">  Time!AR$28</f>
        <v>35</v>
      </c>
      <c r="AS74" s="10">
        <f xml:space="preserve">  Time!AS$28</f>
        <v>36</v>
      </c>
      <c r="AT74" s="10">
        <f xml:space="preserve">  Time!AT$28</f>
        <v>37</v>
      </c>
      <c r="AU74" s="10">
        <f xml:space="preserve">  Time!AU$28</f>
        <v>38</v>
      </c>
      <c r="AV74" s="10">
        <f xml:space="preserve">  Time!AV$28</f>
        <v>39</v>
      </c>
      <c r="AW74" s="10">
        <f xml:space="preserve">  Time!AW$28</f>
        <v>40</v>
      </c>
      <c r="AX74" s="10">
        <f xml:space="preserve">  Time!AX$28</f>
        <v>41</v>
      </c>
      <c r="AY74" s="10">
        <f xml:space="preserve">  Time!AY$28</f>
        <v>42</v>
      </c>
      <c r="AZ74" s="10">
        <f xml:space="preserve">  Time!AZ$28</f>
        <v>43</v>
      </c>
      <c r="BA74" s="10">
        <f xml:space="preserve">  Time!BA$28</f>
        <v>44</v>
      </c>
      <c r="BB74" s="10">
        <f xml:space="preserve">  Time!BB$28</f>
        <v>45</v>
      </c>
      <c r="BC74" s="10">
        <f xml:space="preserve">  Time!BC$28</f>
        <v>46</v>
      </c>
      <c r="BD74" s="10">
        <f xml:space="preserve">  Time!BD$28</f>
        <v>47</v>
      </c>
      <c r="BE74" s="10">
        <f xml:space="preserve">  Time!BE$28</f>
        <v>48</v>
      </c>
      <c r="BF74" s="10">
        <f xml:space="preserve">  Time!BF$28</f>
        <v>49</v>
      </c>
      <c r="BG74" s="10">
        <f xml:space="preserve">  Time!BG$28</f>
        <v>50</v>
      </c>
      <c r="BH74" s="10">
        <f xml:space="preserve">  Time!BH$28</f>
        <v>51</v>
      </c>
      <c r="BI74" s="10">
        <f xml:space="preserve">  Time!BI$28</f>
        <v>52</v>
      </c>
      <c r="BJ74" s="10">
        <f xml:space="preserve">  Time!BJ$28</f>
        <v>53</v>
      </c>
      <c r="BK74" s="10">
        <f xml:space="preserve">  Time!BK$28</f>
        <v>54</v>
      </c>
      <c r="BL74" s="10">
        <f xml:space="preserve">  Time!BL$28</f>
        <v>55</v>
      </c>
      <c r="BM74" s="10">
        <f xml:space="preserve">  Time!BM$28</f>
        <v>56</v>
      </c>
      <c r="BN74" s="10">
        <f xml:space="preserve">  Time!BN$28</f>
        <v>57</v>
      </c>
      <c r="BO74" s="10">
        <f xml:space="preserve">  Time!BO$28</f>
        <v>58</v>
      </c>
      <c r="BP74" s="10">
        <f xml:space="preserve">  Time!BP$28</f>
        <v>59</v>
      </c>
      <c r="BQ74" s="10">
        <f xml:space="preserve">  Time!BQ$28</f>
        <v>60</v>
      </c>
    </row>
    <row r="75" spans="1:69" outlineLevel="1">
      <c r="E75" s="46" t="s">
        <v>153</v>
      </c>
      <c r="G75" s="46" t="s">
        <v>252</v>
      </c>
      <c r="J75" s="2">
        <f t="shared" ref="J75:BQ75" si="27" xml:space="preserve">  I78</f>
        <v>0</v>
      </c>
      <c r="K75" s="2">
        <f t="shared" ca="1" si="27"/>
        <v>0</v>
      </c>
      <c r="L75" s="2">
        <f t="shared" ca="1" si="27"/>
        <v>0</v>
      </c>
      <c r="M75" s="2">
        <f t="shared" ca="1" si="27"/>
        <v>0</v>
      </c>
      <c r="N75" s="2">
        <f t="shared" ca="1" si="27"/>
        <v>0</v>
      </c>
      <c r="O75" s="2">
        <f t="shared" ca="1" si="27"/>
        <v>0</v>
      </c>
      <c r="P75" s="2">
        <f t="shared" ca="1" si="27"/>
        <v>0</v>
      </c>
      <c r="Q75" s="2">
        <f t="shared" ca="1" si="27"/>
        <v>0</v>
      </c>
      <c r="R75" s="2">
        <f t="shared" ca="1" si="27"/>
        <v>0</v>
      </c>
      <c r="S75" s="2">
        <f t="shared" ca="1" si="27"/>
        <v>0</v>
      </c>
      <c r="T75" s="2">
        <f t="shared" ca="1" si="27"/>
        <v>0</v>
      </c>
      <c r="U75" s="2">
        <f t="shared" ca="1" si="27"/>
        <v>0</v>
      </c>
      <c r="V75" s="2">
        <f t="shared" ca="1" si="27"/>
        <v>0</v>
      </c>
      <c r="W75" s="2">
        <f t="shared" ca="1" si="27"/>
        <v>0</v>
      </c>
      <c r="X75" s="2">
        <f t="shared" ca="1" si="27"/>
        <v>0</v>
      </c>
      <c r="Y75" s="2">
        <f t="shared" ca="1" si="27"/>
        <v>0</v>
      </c>
      <c r="Z75" s="2">
        <f t="shared" ca="1" si="27"/>
        <v>0</v>
      </c>
      <c r="AA75" s="2">
        <f t="shared" ca="1" si="27"/>
        <v>0</v>
      </c>
      <c r="AB75" s="2">
        <f t="shared" ca="1" si="27"/>
        <v>0</v>
      </c>
      <c r="AC75" s="2">
        <f t="shared" ca="1" si="27"/>
        <v>0</v>
      </c>
      <c r="AD75" s="2">
        <f t="shared" ca="1" si="27"/>
        <v>13325.975932297117</v>
      </c>
      <c r="AE75" s="2">
        <f t="shared" ca="1" si="27"/>
        <v>34347.96560952768</v>
      </c>
      <c r="AF75" s="2">
        <f t="shared" ca="1" si="27"/>
        <v>54838.848963949837</v>
      </c>
      <c r="AG75" s="2">
        <f t="shared" ca="1" si="27"/>
        <v>75064.122964117938</v>
      </c>
      <c r="AH75" s="2">
        <f t="shared" ca="1" si="27"/>
        <v>106978.39281702002</v>
      </c>
      <c r="AI75" s="2">
        <f t="shared" ca="1" si="27"/>
        <v>135827.80179191061</v>
      </c>
      <c r="AJ75" s="2">
        <f t="shared" ca="1" si="27"/>
        <v>165376.69590044121</v>
      </c>
      <c r="AK75" s="2">
        <f t="shared" ca="1" si="27"/>
        <v>195685.12595542119</v>
      </c>
      <c r="AL75" s="2">
        <f t="shared" ca="1" si="27"/>
        <v>42829.304598621035</v>
      </c>
      <c r="AM75" s="2">
        <f t="shared" ca="1" si="27"/>
        <v>86491.693777383247</v>
      </c>
      <c r="AN75" s="2">
        <f t="shared" ca="1" si="27"/>
        <v>131058.68385670075</v>
      </c>
      <c r="AO75" s="2">
        <f t="shared" ca="1" si="27"/>
        <v>188290.1374934332</v>
      </c>
      <c r="AP75" s="2">
        <f t="shared" ca="1" si="27"/>
        <v>246537.3433238696</v>
      </c>
      <c r="AQ75" s="2">
        <f t="shared" ca="1" si="27"/>
        <v>317831.06851123407</v>
      </c>
      <c r="AR75" s="2">
        <f t="shared" ca="1" si="27"/>
        <v>389960.27561447921</v>
      </c>
      <c r="AS75" s="2">
        <f t="shared" ca="1" si="27"/>
        <v>463353.40017732419</v>
      </c>
      <c r="AT75" s="2">
        <f t="shared" ca="1" si="27"/>
        <v>549993.72394885693</v>
      </c>
      <c r="AU75" s="2">
        <f t="shared" ca="1" si="27"/>
        <v>637712.9236881088</v>
      </c>
      <c r="AV75" s="2">
        <f t="shared" ca="1" si="27"/>
        <v>726826.44386598445</v>
      </c>
      <c r="AW75" s="2">
        <f t="shared" ca="1" si="27"/>
        <v>829461.348841978</v>
      </c>
      <c r="AX75" s="2">
        <f t="shared" ca="1" si="27"/>
        <v>103916.9566745247</v>
      </c>
      <c r="AY75" s="2">
        <f t="shared" ca="1" si="27"/>
        <v>221502.26560317131</v>
      </c>
      <c r="AZ75" s="2">
        <f t="shared" ca="1" si="27"/>
        <v>340898.86004735494</v>
      </c>
      <c r="BA75" s="2">
        <f t="shared" ca="1" si="27"/>
        <v>473870.18826364947</v>
      </c>
      <c r="BB75" s="2">
        <f t="shared" ca="1" si="27"/>
        <v>620874.86125588219</v>
      </c>
      <c r="BC75" s="2">
        <f t="shared" ca="1" si="27"/>
        <v>769971.42644998198</v>
      </c>
      <c r="BD75" s="2">
        <f t="shared" ca="1" si="27"/>
        <v>932992.71807498974</v>
      </c>
      <c r="BE75" s="2">
        <f t="shared" ca="1" si="27"/>
        <v>1110547.894726428</v>
      </c>
      <c r="BF75" s="2">
        <f t="shared" ca="1" si="27"/>
        <v>1290597.9976512392</v>
      </c>
      <c r="BG75" s="2">
        <f t="shared" ca="1" si="27"/>
        <v>1483974.3504206678</v>
      </c>
      <c r="BH75" s="2">
        <f t="shared" ca="1" si="27"/>
        <v>1693166.2062783132</v>
      </c>
      <c r="BI75" s="2">
        <f t="shared" ca="1" si="27"/>
        <v>1918477.5042626159</v>
      </c>
      <c r="BJ75" s="2">
        <f t="shared" ca="1" si="27"/>
        <v>241274.78657107102</v>
      </c>
      <c r="BK75" s="2">
        <f t="shared" ca="1" si="27"/>
        <v>499092.82601214631</v>
      </c>
      <c r="BL75" s="2">
        <f t="shared" ca="1" si="27"/>
        <v>773816.03168319841</v>
      </c>
      <c r="BM75" s="2">
        <f t="shared" ca="1" si="27"/>
        <v>1065311.9982709016</v>
      </c>
      <c r="BN75" s="2">
        <f t="shared" ca="1" si="27"/>
        <v>1374315.0600927605</v>
      </c>
      <c r="BO75" s="2">
        <f t="shared" ca="1" si="27"/>
        <v>1701081.4382081479</v>
      </c>
      <c r="BP75" s="2">
        <f t="shared" ca="1" si="27"/>
        <v>2045593.9024097088</v>
      </c>
      <c r="BQ75" s="2">
        <f t="shared" ca="1" si="27"/>
        <v>2408822.7016076059</v>
      </c>
    </row>
    <row r="76" spans="1:69" outlineLevel="1">
      <c r="D76" s="88" t="s">
        <v>216</v>
      </c>
      <c r="E76" s="2" t="str">
        <f t="shared" ref="E76:BQ76" si="28" xml:space="preserve">  E$47</f>
        <v>Corporation tax POS</v>
      </c>
      <c r="F76" s="2">
        <f t="shared" si="28"/>
        <v>0</v>
      </c>
      <c r="G76" s="2" t="str">
        <f t="shared" si="28"/>
        <v>GBP</v>
      </c>
      <c r="H76" s="2">
        <f t="shared" ca="1" si="28"/>
        <v>5734471.8837692766</v>
      </c>
      <c r="I76" s="2">
        <f t="shared" si="28"/>
        <v>0</v>
      </c>
      <c r="J76" s="2">
        <f t="shared" ca="1" si="28"/>
        <v>0</v>
      </c>
      <c r="K76" s="2">
        <f t="shared" ca="1" si="28"/>
        <v>0</v>
      </c>
      <c r="L76" s="2">
        <f t="shared" ca="1" si="28"/>
        <v>0</v>
      </c>
      <c r="M76" s="2">
        <f t="shared" ca="1" si="28"/>
        <v>0</v>
      </c>
      <c r="N76" s="2">
        <f t="shared" ca="1" si="28"/>
        <v>0</v>
      </c>
      <c r="O76" s="2">
        <f t="shared" ca="1" si="28"/>
        <v>0</v>
      </c>
      <c r="P76" s="2">
        <f t="shared" ca="1" si="28"/>
        <v>0</v>
      </c>
      <c r="Q76" s="2">
        <f t="shared" ca="1" si="28"/>
        <v>0</v>
      </c>
      <c r="R76" s="2">
        <f t="shared" ca="1" si="28"/>
        <v>0</v>
      </c>
      <c r="S76" s="2">
        <f t="shared" ca="1" si="28"/>
        <v>0</v>
      </c>
      <c r="T76" s="2">
        <f t="shared" ca="1" si="28"/>
        <v>0</v>
      </c>
      <c r="U76" s="2">
        <f t="shared" ca="1" si="28"/>
        <v>0</v>
      </c>
      <c r="V76" s="2">
        <f t="shared" ca="1" si="28"/>
        <v>0</v>
      </c>
      <c r="W76" s="2">
        <f t="shared" ca="1" si="28"/>
        <v>0</v>
      </c>
      <c r="X76" s="2">
        <f t="shared" ca="1" si="28"/>
        <v>0</v>
      </c>
      <c r="Y76" s="2">
        <f t="shared" ca="1" si="28"/>
        <v>0</v>
      </c>
      <c r="Z76" s="2">
        <f t="shared" ca="1" si="28"/>
        <v>0</v>
      </c>
      <c r="AA76" s="2">
        <f t="shared" ca="1" si="28"/>
        <v>0</v>
      </c>
      <c r="AB76" s="2">
        <f t="shared" ca="1" si="28"/>
        <v>0</v>
      </c>
      <c r="AC76" s="2">
        <f t="shared" ca="1" si="28"/>
        <v>13325.975932297117</v>
      </c>
      <c r="AD76" s="2">
        <f t="shared" ca="1" si="28"/>
        <v>21021.989677230562</v>
      </c>
      <c r="AE76" s="2">
        <f t="shared" ca="1" si="28"/>
        <v>20490.883354422156</v>
      </c>
      <c r="AF76" s="2">
        <f t="shared" ca="1" si="28"/>
        <v>20225.274000168094</v>
      </c>
      <c r="AG76" s="2">
        <f t="shared" ca="1" si="28"/>
        <v>31914.269852902089</v>
      </c>
      <c r="AH76" s="2">
        <f t="shared" ca="1" si="28"/>
        <v>28849.408974890575</v>
      </c>
      <c r="AI76" s="2">
        <f t="shared" ca="1" si="28"/>
        <v>29548.8941085306</v>
      </c>
      <c r="AJ76" s="2">
        <f t="shared" ca="1" si="28"/>
        <v>30308.430054979995</v>
      </c>
      <c r="AK76" s="2">
        <f t="shared" ca="1" si="28"/>
        <v>42829.304598621027</v>
      </c>
      <c r="AL76" s="2">
        <f t="shared" ca="1" si="28"/>
        <v>43662.389178762212</v>
      </c>
      <c r="AM76" s="2">
        <f t="shared" ca="1" si="28"/>
        <v>44566.990079317504</v>
      </c>
      <c r="AN76" s="2">
        <f t="shared" ca="1" si="28"/>
        <v>57231.453636732433</v>
      </c>
      <c r="AO76" s="2">
        <f t="shared" ca="1" si="28"/>
        <v>58247.205830436411</v>
      </c>
      <c r="AP76" s="2">
        <f t="shared" ca="1" si="28"/>
        <v>71293.725187364471</v>
      </c>
      <c r="AQ76" s="2">
        <f t="shared" ca="1" si="28"/>
        <v>72129.207103245135</v>
      </c>
      <c r="AR76" s="2">
        <f t="shared" ca="1" si="28"/>
        <v>73393.124562844983</v>
      </c>
      <c r="AS76" s="2">
        <f t="shared" ca="1" si="28"/>
        <v>86640.323771532698</v>
      </c>
      <c r="AT76" s="2">
        <f t="shared" ca="1" si="28"/>
        <v>87719.19973925181</v>
      </c>
      <c r="AU76" s="2">
        <f t="shared" ca="1" si="28"/>
        <v>89113.520177875602</v>
      </c>
      <c r="AV76" s="2">
        <f t="shared" ca="1" si="28"/>
        <v>102634.90497599352</v>
      </c>
      <c r="AW76" s="2">
        <f t="shared" ca="1" si="28"/>
        <v>103916.95667452467</v>
      </c>
      <c r="AX76" s="2">
        <f t="shared" ca="1" si="28"/>
        <v>117585.30892864661</v>
      </c>
      <c r="AY76" s="2">
        <f t="shared" ca="1" si="28"/>
        <v>119396.59444418363</v>
      </c>
      <c r="AZ76" s="2">
        <f t="shared" ca="1" si="28"/>
        <v>132971.3282162945</v>
      </c>
      <c r="BA76" s="2">
        <f t="shared" ca="1" si="28"/>
        <v>147004.67299223272</v>
      </c>
      <c r="BB76" s="2">
        <f t="shared" ca="1" si="28"/>
        <v>149096.56519409982</v>
      </c>
      <c r="BC76" s="2">
        <f t="shared" ca="1" si="28"/>
        <v>163021.2916250077</v>
      </c>
      <c r="BD76" s="2">
        <f t="shared" ca="1" si="28"/>
        <v>177555.17665143817</v>
      </c>
      <c r="BE76" s="2">
        <f t="shared" ca="1" si="28"/>
        <v>180050.10292481119</v>
      </c>
      <c r="BF76" s="2">
        <f t="shared" ca="1" si="28"/>
        <v>193376.3527694286</v>
      </c>
      <c r="BG76" s="2">
        <f t="shared" ca="1" si="28"/>
        <v>209191.85585764539</v>
      </c>
      <c r="BH76" s="2">
        <f t="shared" ca="1" si="28"/>
        <v>225311.29798430266</v>
      </c>
      <c r="BI76" s="2">
        <f t="shared" ca="1" si="28"/>
        <v>241274.78657107113</v>
      </c>
      <c r="BJ76" s="2">
        <f t="shared" ca="1" si="28"/>
        <v>257818.03944107529</v>
      </c>
      <c r="BK76" s="2">
        <f t="shared" ca="1" si="28"/>
        <v>274723.2056710521</v>
      </c>
      <c r="BL76" s="2">
        <f t="shared" ca="1" si="28"/>
        <v>291495.96658770321</v>
      </c>
      <c r="BM76" s="2">
        <f t="shared" ca="1" si="28"/>
        <v>309003.06182185881</v>
      </c>
      <c r="BN76" s="2">
        <f t="shared" ca="1" si="28"/>
        <v>326766.37811538746</v>
      </c>
      <c r="BO76" s="2">
        <f t="shared" ca="1" si="28"/>
        <v>344512.46420156094</v>
      </c>
      <c r="BP76" s="2">
        <f t="shared" ca="1" si="28"/>
        <v>363228.79919789708</v>
      </c>
      <c r="BQ76" s="2">
        <f t="shared" ca="1" si="28"/>
        <v>382025.20310165611</v>
      </c>
    </row>
    <row r="77" spans="1:69" outlineLevel="1">
      <c r="D77" s="88" t="s">
        <v>293</v>
      </c>
      <c r="E77" s="2" t="str">
        <f t="shared" ref="E77:BQ77" si="29" xml:space="preserve">  E$68</f>
        <v>Corporation tax paid POS</v>
      </c>
      <c r="F77" s="2">
        <f t="shared" si="29"/>
        <v>0</v>
      </c>
      <c r="G77" s="2" t="str">
        <f t="shared" si="29"/>
        <v>GBP</v>
      </c>
      <c r="H77" s="2">
        <f t="shared" ca="1" si="29"/>
        <v>2943623.9790600152</v>
      </c>
      <c r="I77" s="2">
        <f t="shared" si="29"/>
        <v>0</v>
      </c>
      <c r="J77" s="2">
        <f t="shared" si="29"/>
        <v>0</v>
      </c>
      <c r="K77" s="2">
        <f t="shared" ca="1" si="29"/>
        <v>0</v>
      </c>
      <c r="L77" s="2">
        <f t="shared" ca="1" si="29"/>
        <v>0</v>
      </c>
      <c r="M77" s="2">
        <f t="shared" ca="1" si="29"/>
        <v>0</v>
      </c>
      <c r="N77" s="2">
        <f t="shared" ca="1" si="29"/>
        <v>0</v>
      </c>
      <c r="O77" s="2">
        <f t="shared" ca="1" si="29"/>
        <v>0</v>
      </c>
      <c r="P77" s="2">
        <f t="shared" ca="1" si="29"/>
        <v>0</v>
      </c>
      <c r="Q77" s="2">
        <f t="shared" ca="1" si="29"/>
        <v>0</v>
      </c>
      <c r="R77" s="2">
        <f t="shared" ca="1" si="29"/>
        <v>0</v>
      </c>
      <c r="S77" s="2">
        <f t="shared" ca="1" si="29"/>
        <v>0</v>
      </c>
      <c r="T77" s="2">
        <f t="shared" ca="1" si="29"/>
        <v>0</v>
      </c>
      <c r="U77" s="2">
        <f t="shared" ca="1" si="29"/>
        <v>0</v>
      </c>
      <c r="V77" s="2">
        <f t="shared" ca="1" si="29"/>
        <v>0</v>
      </c>
      <c r="W77" s="2">
        <f t="shared" ca="1" si="29"/>
        <v>0</v>
      </c>
      <c r="X77" s="2">
        <f t="shared" ca="1" si="29"/>
        <v>0</v>
      </c>
      <c r="Y77" s="2">
        <f t="shared" ca="1" si="29"/>
        <v>0</v>
      </c>
      <c r="Z77" s="2">
        <f t="shared" ca="1" si="29"/>
        <v>0</v>
      </c>
      <c r="AA77" s="2">
        <f t="shared" ca="1" si="29"/>
        <v>0</v>
      </c>
      <c r="AB77" s="2">
        <f t="shared" ca="1" si="29"/>
        <v>0</v>
      </c>
      <c r="AC77" s="2">
        <f t="shared" ca="1" si="29"/>
        <v>0</v>
      </c>
      <c r="AD77" s="2">
        <f t="shared" ca="1" si="29"/>
        <v>0</v>
      </c>
      <c r="AE77" s="2">
        <f t="shared" ca="1" si="29"/>
        <v>0</v>
      </c>
      <c r="AF77" s="2">
        <f t="shared" ca="1" si="29"/>
        <v>0</v>
      </c>
      <c r="AG77" s="2">
        <f t="shared" ca="1" si="29"/>
        <v>0</v>
      </c>
      <c r="AH77" s="2">
        <f t="shared" ca="1" si="29"/>
        <v>0</v>
      </c>
      <c r="AI77" s="2">
        <f t="shared" ca="1" si="29"/>
        <v>0</v>
      </c>
      <c r="AJ77" s="2">
        <f t="shared" ca="1" si="29"/>
        <v>0</v>
      </c>
      <c r="AK77" s="2">
        <f t="shared" ca="1" si="29"/>
        <v>195685.12595542119</v>
      </c>
      <c r="AL77" s="2">
        <f t="shared" ca="1" si="29"/>
        <v>0</v>
      </c>
      <c r="AM77" s="2">
        <f t="shared" ca="1" si="29"/>
        <v>0</v>
      </c>
      <c r="AN77" s="2">
        <f t="shared" ca="1" si="29"/>
        <v>0</v>
      </c>
      <c r="AO77" s="2">
        <f t="shared" ca="1" si="29"/>
        <v>0</v>
      </c>
      <c r="AP77" s="2">
        <f t="shared" ca="1" si="29"/>
        <v>0</v>
      </c>
      <c r="AQ77" s="2">
        <f t="shared" ca="1" si="29"/>
        <v>0</v>
      </c>
      <c r="AR77" s="2">
        <f t="shared" ca="1" si="29"/>
        <v>0</v>
      </c>
      <c r="AS77" s="2">
        <f t="shared" ca="1" si="29"/>
        <v>0</v>
      </c>
      <c r="AT77" s="2">
        <f t="shared" ca="1" si="29"/>
        <v>0</v>
      </c>
      <c r="AU77" s="2">
        <f t="shared" ca="1" si="29"/>
        <v>0</v>
      </c>
      <c r="AV77" s="2">
        <f t="shared" ca="1" si="29"/>
        <v>0</v>
      </c>
      <c r="AW77" s="2">
        <f t="shared" ca="1" si="29"/>
        <v>829461.348841978</v>
      </c>
      <c r="AX77" s="2">
        <f t="shared" ca="1" si="29"/>
        <v>0</v>
      </c>
      <c r="AY77" s="2">
        <f t="shared" ca="1" si="29"/>
        <v>0</v>
      </c>
      <c r="AZ77" s="2">
        <f t="shared" ca="1" si="29"/>
        <v>0</v>
      </c>
      <c r="BA77" s="2">
        <f t="shared" ca="1" si="29"/>
        <v>0</v>
      </c>
      <c r="BB77" s="2">
        <f t="shared" ca="1" si="29"/>
        <v>0</v>
      </c>
      <c r="BC77" s="2">
        <f t="shared" ca="1" si="29"/>
        <v>0</v>
      </c>
      <c r="BD77" s="2">
        <f t="shared" ca="1" si="29"/>
        <v>0</v>
      </c>
      <c r="BE77" s="2">
        <f t="shared" ca="1" si="29"/>
        <v>0</v>
      </c>
      <c r="BF77" s="2">
        <f t="shared" ca="1" si="29"/>
        <v>0</v>
      </c>
      <c r="BG77" s="2">
        <f t="shared" ca="1" si="29"/>
        <v>0</v>
      </c>
      <c r="BH77" s="2">
        <f t="shared" ca="1" si="29"/>
        <v>0</v>
      </c>
      <c r="BI77" s="2">
        <f t="shared" ca="1" si="29"/>
        <v>1918477.5042626159</v>
      </c>
      <c r="BJ77" s="2">
        <f t="shared" ca="1" si="29"/>
        <v>0</v>
      </c>
      <c r="BK77" s="2">
        <f t="shared" ca="1" si="29"/>
        <v>0</v>
      </c>
      <c r="BL77" s="2">
        <f t="shared" ca="1" si="29"/>
        <v>0</v>
      </c>
      <c r="BM77" s="2">
        <f t="shared" ca="1" si="29"/>
        <v>0</v>
      </c>
      <c r="BN77" s="2">
        <f t="shared" ca="1" si="29"/>
        <v>0</v>
      </c>
      <c r="BO77" s="2">
        <f t="shared" ca="1" si="29"/>
        <v>0</v>
      </c>
      <c r="BP77" s="2">
        <f t="shared" ca="1" si="29"/>
        <v>0</v>
      </c>
      <c r="BQ77" s="2">
        <f t="shared" ca="1" si="29"/>
        <v>0</v>
      </c>
    </row>
    <row r="78" spans="1:69" s="83" customFormat="1" outlineLevel="1">
      <c r="A78" s="62"/>
      <c r="B78" s="62"/>
      <c r="C78" s="90"/>
      <c r="D78" s="91"/>
      <c r="E78" s="35" t="s">
        <v>221</v>
      </c>
      <c r="F78" s="35"/>
      <c r="G78" s="35" t="s">
        <v>252</v>
      </c>
      <c r="H78" s="35"/>
      <c r="I78" s="11">
        <f t="shared" ref="I78:BQ78" si="30" xml:space="preserve">  IF( I74 = 0, $F73, I75 + I76 - I77 )</f>
        <v>0</v>
      </c>
      <c r="J78" s="11">
        <f t="shared" ca="1" si="30"/>
        <v>0</v>
      </c>
      <c r="K78" s="11">
        <f t="shared" ca="1" si="30"/>
        <v>0</v>
      </c>
      <c r="L78" s="11">
        <f t="shared" ca="1" si="30"/>
        <v>0</v>
      </c>
      <c r="M78" s="11">
        <f t="shared" ca="1" si="30"/>
        <v>0</v>
      </c>
      <c r="N78" s="11">
        <f t="shared" ca="1" si="30"/>
        <v>0</v>
      </c>
      <c r="O78" s="11">
        <f t="shared" ca="1" si="30"/>
        <v>0</v>
      </c>
      <c r="P78" s="11">
        <f t="shared" ca="1" si="30"/>
        <v>0</v>
      </c>
      <c r="Q78" s="11">
        <f t="shared" ca="1" si="30"/>
        <v>0</v>
      </c>
      <c r="R78" s="11">
        <f t="shared" ca="1" si="30"/>
        <v>0</v>
      </c>
      <c r="S78" s="11">
        <f t="shared" ca="1" si="30"/>
        <v>0</v>
      </c>
      <c r="T78" s="11">
        <f t="shared" ca="1" si="30"/>
        <v>0</v>
      </c>
      <c r="U78" s="11">
        <f t="shared" ca="1" si="30"/>
        <v>0</v>
      </c>
      <c r="V78" s="11">
        <f t="shared" ca="1" si="30"/>
        <v>0</v>
      </c>
      <c r="W78" s="11">
        <f t="shared" ca="1" si="30"/>
        <v>0</v>
      </c>
      <c r="X78" s="11">
        <f t="shared" ca="1" si="30"/>
        <v>0</v>
      </c>
      <c r="Y78" s="11">
        <f t="shared" ca="1" si="30"/>
        <v>0</v>
      </c>
      <c r="Z78" s="11">
        <f t="shared" ca="1" si="30"/>
        <v>0</v>
      </c>
      <c r="AA78" s="11">
        <f t="shared" ca="1" si="30"/>
        <v>0</v>
      </c>
      <c r="AB78" s="11">
        <f t="shared" ca="1" si="30"/>
        <v>0</v>
      </c>
      <c r="AC78" s="11">
        <f t="shared" ca="1" si="30"/>
        <v>13325.975932297117</v>
      </c>
      <c r="AD78" s="11">
        <f t="shared" ca="1" si="30"/>
        <v>34347.96560952768</v>
      </c>
      <c r="AE78" s="11">
        <f t="shared" ca="1" si="30"/>
        <v>54838.848963949837</v>
      </c>
      <c r="AF78" s="11">
        <f t="shared" ca="1" si="30"/>
        <v>75064.122964117938</v>
      </c>
      <c r="AG78" s="11">
        <f t="shared" ca="1" si="30"/>
        <v>106978.39281702002</v>
      </c>
      <c r="AH78" s="11">
        <f t="shared" ca="1" si="30"/>
        <v>135827.80179191061</v>
      </c>
      <c r="AI78" s="11">
        <f t="shared" ca="1" si="30"/>
        <v>165376.69590044121</v>
      </c>
      <c r="AJ78" s="11">
        <f t="shared" ca="1" si="30"/>
        <v>195685.12595542119</v>
      </c>
      <c r="AK78" s="11">
        <f t="shared" ca="1" si="30"/>
        <v>42829.304598621035</v>
      </c>
      <c r="AL78" s="11">
        <f t="shared" ca="1" si="30"/>
        <v>86491.693777383247</v>
      </c>
      <c r="AM78" s="11">
        <f t="shared" ca="1" si="30"/>
        <v>131058.68385670075</v>
      </c>
      <c r="AN78" s="11">
        <f t="shared" ca="1" si="30"/>
        <v>188290.1374934332</v>
      </c>
      <c r="AO78" s="11">
        <f t="shared" ca="1" si="30"/>
        <v>246537.3433238696</v>
      </c>
      <c r="AP78" s="11">
        <f t="shared" ca="1" si="30"/>
        <v>317831.06851123407</v>
      </c>
      <c r="AQ78" s="11">
        <f t="shared" ca="1" si="30"/>
        <v>389960.27561447921</v>
      </c>
      <c r="AR78" s="11">
        <f t="shared" ca="1" si="30"/>
        <v>463353.40017732419</v>
      </c>
      <c r="AS78" s="11">
        <f t="shared" ca="1" si="30"/>
        <v>549993.72394885693</v>
      </c>
      <c r="AT78" s="11">
        <f t="shared" ca="1" si="30"/>
        <v>637712.9236881088</v>
      </c>
      <c r="AU78" s="11">
        <f t="shared" ca="1" si="30"/>
        <v>726826.44386598445</v>
      </c>
      <c r="AV78" s="11">
        <f t="shared" ca="1" si="30"/>
        <v>829461.348841978</v>
      </c>
      <c r="AW78" s="11">
        <f t="shared" ca="1" si="30"/>
        <v>103916.9566745247</v>
      </c>
      <c r="AX78" s="11">
        <f t="shared" ca="1" si="30"/>
        <v>221502.26560317131</v>
      </c>
      <c r="AY78" s="11">
        <f t="shared" ca="1" si="30"/>
        <v>340898.86004735494</v>
      </c>
      <c r="AZ78" s="11">
        <f t="shared" ca="1" si="30"/>
        <v>473870.18826364947</v>
      </c>
      <c r="BA78" s="11">
        <f t="shared" ca="1" si="30"/>
        <v>620874.86125588219</v>
      </c>
      <c r="BB78" s="11">
        <f t="shared" ca="1" si="30"/>
        <v>769971.42644998198</v>
      </c>
      <c r="BC78" s="11">
        <f t="shared" ca="1" si="30"/>
        <v>932992.71807498974</v>
      </c>
      <c r="BD78" s="11">
        <f t="shared" ca="1" si="30"/>
        <v>1110547.894726428</v>
      </c>
      <c r="BE78" s="11">
        <f t="shared" ca="1" si="30"/>
        <v>1290597.9976512392</v>
      </c>
      <c r="BF78" s="11">
        <f t="shared" ca="1" si="30"/>
        <v>1483974.3504206678</v>
      </c>
      <c r="BG78" s="11">
        <f t="shared" ca="1" si="30"/>
        <v>1693166.2062783132</v>
      </c>
      <c r="BH78" s="11">
        <f t="shared" ca="1" si="30"/>
        <v>1918477.5042626159</v>
      </c>
      <c r="BI78" s="11">
        <f t="shared" ca="1" si="30"/>
        <v>241274.78657107102</v>
      </c>
      <c r="BJ78" s="11">
        <f t="shared" ca="1" si="30"/>
        <v>499092.82601214631</v>
      </c>
      <c r="BK78" s="11">
        <f t="shared" ca="1" si="30"/>
        <v>773816.03168319841</v>
      </c>
      <c r="BL78" s="11">
        <f t="shared" ca="1" si="30"/>
        <v>1065311.9982709016</v>
      </c>
      <c r="BM78" s="11">
        <f t="shared" ca="1" si="30"/>
        <v>1374315.0600927605</v>
      </c>
      <c r="BN78" s="11">
        <f t="shared" ca="1" si="30"/>
        <v>1701081.4382081479</v>
      </c>
      <c r="BO78" s="11">
        <f t="shared" ca="1" si="30"/>
        <v>2045593.9024097088</v>
      </c>
      <c r="BP78" s="11">
        <f t="shared" ca="1" si="30"/>
        <v>2408822.7016076059</v>
      </c>
      <c r="BQ78" s="11">
        <f t="shared" ca="1" si="30"/>
        <v>2790847.9047092618</v>
      </c>
    </row>
    <row r="80" spans="1:69">
      <c r="B80" s="27" t="s">
        <v>298</v>
      </c>
    </row>
    <row r="81" spans="1:69" outlineLevel="1">
      <c r="E81" s="2" t="str">
        <f t="shared" ref="E81:BQ81" si="31" xml:space="preserve">  E$47</f>
        <v>Corporation tax POS</v>
      </c>
      <c r="F81" s="2">
        <f t="shared" si="31"/>
        <v>0</v>
      </c>
      <c r="G81" s="2" t="str">
        <f t="shared" si="31"/>
        <v>GBP</v>
      </c>
      <c r="H81" s="2">
        <f t="shared" ca="1" si="31"/>
        <v>5734471.8837692766</v>
      </c>
      <c r="I81" s="2">
        <f t="shared" si="31"/>
        <v>0</v>
      </c>
      <c r="J81" s="2">
        <f t="shared" ca="1" si="31"/>
        <v>0</v>
      </c>
      <c r="K81" s="2">
        <f t="shared" ca="1" si="31"/>
        <v>0</v>
      </c>
      <c r="L81" s="2">
        <f t="shared" ca="1" si="31"/>
        <v>0</v>
      </c>
      <c r="M81" s="2">
        <f t="shared" ca="1" si="31"/>
        <v>0</v>
      </c>
      <c r="N81" s="2">
        <f t="shared" ca="1" si="31"/>
        <v>0</v>
      </c>
      <c r="O81" s="2">
        <f t="shared" ca="1" si="31"/>
        <v>0</v>
      </c>
      <c r="P81" s="2">
        <f t="shared" ca="1" si="31"/>
        <v>0</v>
      </c>
      <c r="Q81" s="2">
        <f t="shared" ca="1" si="31"/>
        <v>0</v>
      </c>
      <c r="R81" s="2">
        <f t="shared" ca="1" si="31"/>
        <v>0</v>
      </c>
      <c r="S81" s="2">
        <f t="shared" ca="1" si="31"/>
        <v>0</v>
      </c>
      <c r="T81" s="2">
        <f t="shared" ca="1" si="31"/>
        <v>0</v>
      </c>
      <c r="U81" s="2">
        <f t="shared" ca="1" si="31"/>
        <v>0</v>
      </c>
      <c r="V81" s="2">
        <f t="shared" ca="1" si="31"/>
        <v>0</v>
      </c>
      <c r="W81" s="2">
        <f t="shared" ca="1" si="31"/>
        <v>0</v>
      </c>
      <c r="X81" s="2">
        <f t="shared" ca="1" si="31"/>
        <v>0</v>
      </c>
      <c r="Y81" s="2">
        <f t="shared" ca="1" si="31"/>
        <v>0</v>
      </c>
      <c r="Z81" s="2">
        <f t="shared" ca="1" si="31"/>
        <v>0</v>
      </c>
      <c r="AA81" s="2">
        <f t="shared" ca="1" si="31"/>
        <v>0</v>
      </c>
      <c r="AB81" s="2">
        <f t="shared" ca="1" si="31"/>
        <v>0</v>
      </c>
      <c r="AC81" s="2">
        <f t="shared" ca="1" si="31"/>
        <v>13325.975932297117</v>
      </c>
      <c r="AD81" s="2">
        <f t="shared" ca="1" si="31"/>
        <v>21021.989677230562</v>
      </c>
      <c r="AE81" s="2">
        <f t="shared" ca="1" si="31"/>
        <v>20490.883354422156</v>
      </c>
      <c r="AF81" s="2">
        <f t="shared" ca="1" si="31"/>
        <v>20225.274000168094</v>
      </c>
      <c r="AG81" s="2">
        <f t="shared" ca="1" si="31"/>
        <v>31914.269852902089</v>
      </c>
      <c r="AH81" s="2">
        <f t="shared" ca="1" si="31"/>
        <v>28849.408974890575</v>
      </c>
      <c r="AI81" s="2">
        <f t="shared" ca="1" si="31"/>
        <v>29548.8941085306</v>
      </c>
      <c r="AJ81" s="2">
        <f t="shared" ca="1" si="31"/>
        <v>30308.430054979995</v>
      </c>
      <c r="AK81" s="2">
        <f t="shared" ca="1" si="31"/>
        <v>42829.304598621027</v>
      </c>
      <c r="AL81" s="2">
        <f t="shared" ca="1" si="31"/>
        <v>43662.389178762212</v>
      </c>
      <c r="AM81" s="2">
        <f t="shared" ca="1" si="31"/>
        <v>44566.990079317504</v>
      </c>
      <c r="AN81" s="2">
        <f t="shared" ca="1" si="31"/>
        <v>57231.453636732433</v>
      </c>
      <c r="AO81" s="2">
        <f t="shared" ca="1" si="31"/>
        <v>58247.205830436411</v>
      </c>
      <c r="AP81" s="2">
        <f t="shared" ca="1" si="31"/>
        <v>71293.725187364471</v>
      </c>
      <c r="AQ81" s="2">
        <f t="shared" ca="1" si="31"/>
        <v>72129.207103245135</v>
      </c>
      <c r="AR81" s="2">
        <f t="shared" ca="1" si="31"/>
        <v>73393.124562844983</v>
      </c>
      <c r="AS81" s="2">
        <f t="shared" ca="1" si="31"/>
        <v>86640.323771532698</v>
      </c>
      <c r="AT81" s="2">
        <f t="shared" ca="1" si="31"/>
        <v>87719.19973925181</v>
      </c>
      <c r="AU81" s="2">
        <f t="shared" ca="1" si="31"/>
        <v>89113.520177875602</v>
      </c>
      <c r="AV81" s="2">
        <f t="shared" ca="1" si="31"/>
        <v>102634.90497599352</v>
      </c>
      <c r="AW81" s="2">
        <f t="shared" ca="1" si="31"/>
        <v>103916.95667452467</v>
      </c>
      <c r="AX81" s="2">
        <f t="shared" ca="1" si="31"/>
        <v>117585.30892864661</v>
      </c>
      <c r="AY81" s="2">
        <f t="shared" ca="1" si="31"/>
        <v>119396.59444418363</v>
      </c>
      <c r="AZ81" s="2">
        <f t="shared" ca="1" si="31"/>
        <v>132971.3282162945</v>
      </c>
      <c r="BA81" s="2">
        <f t="shared" ca="1" si="31"/>
        <v>147004.67299223272</v>
      </c>
      <c r="BB81" s="2">
        <f t="shared" ca="1" si="31"/>
        <v>149096.56519409982</v>
      </c>
      <c r="BC81" s="2">
        <f t="shared" ca="1" si="31"/>
        <v>163021.2916250077</v>
      </c>
      <c r="BD81" s="2">
        <f t="shared" ca="1" si="31"/>
        <v>177555.17665143817</v>
      </c>
      <c r="BE81" s="2">
        <f t="shared" ca="1" si="31"/>
        <v>180050.10292481119</v>
      </c>
      <c r="BF81" s="2">
        <f t="shared" ca="1" si="31"/>
        <v>193376.3527694286</v>
      </c>
      <c r="BG81" s="2">
        <f t="shared" ca="1" si="31"/>
        <v>209191.85585764539</v>
      </c>
      <c r="BH81" s="2">
        <f t="shared" ca="1" si="31"/>
        <v>225311.29798430266</v>
      </c>
      <c r="BI81" s="2">
        <f t="shared" ca="1" si="31"/>
        <v>241274.78657107113</v>
      </c>
      <c r="BJ81" s="2">
        <f t="shared" ca="1" si="31"/>
        <v>257818.03944107529</v>
      </c>
      <c r="BK81" s="2">
        <f t="shared" ca="1" si="31"/>
        <v>274723.2056710521</v>
      </c>
      <c r="BL81" s="2">
        <f t="shared" ca="1" si="31"/>
        <v>291495.96658770321</v>
      </c>
      <c r="BM81" s="2">
        <f t="shared" ca="1" si="31"/>
        <v>309003.06182185881</v>
      </c>
      <c r="BN81" s="2">
        <f t="shared" ca="1" si="31"/>
        <v>326766.37811538746</v>
      </c>
      <c r="BO81" s="2">
        <f t="shared" ca="1" si="31"/>
        <v>344512.46420156094</v>
      </c>
      <c r="BP81" s="2">
        <f t="shared" ca="1" si="31"/>
        <v>363228.79919789708</v>
      </c>
      <c r="BQ81" s="2">
        <f t="shared" ca="1" si="31"/>
        <v>382025.20310165611</v>
      </c>
    </row>
    <row r="82" spans="1:69" outlineLevel="1">
      <c r="A82" s="18"/>
      <c r="B82" s="18"/>
      <c r="C82" s="30"/>
      <c r="D82" s="31"/>
      <c r="E82" s="4" t="str">
        <f xml:space="preserve">  'Income Statement'!E$19</f>
        <v>Profit before tax</v>
      </c>
      <c r="F82" s="4">
        <f xml:space="preserve">  'Income Statement'!F$19</f>
        <v>0</v>
      </c>
      <c r="G82" s="4" t="str">
        <f xml:space="preserve">  'Income Statement'!G$19</f>
        <v>GBP</v>
      </c>
      <c r="H82" s="4">
        <f ca="1" xml:space="preserve">  'Income Statement'!H$19</f>
        <v>24450860.726326611</v>
      </c>
      <c r="I82" s="4">
        <f xml:space="preserve">  'Income Statement'!I$19</f>
        <v>0</v>
      </c>
      <c r="J82" s="4">
        <f ca="1" xml:space="preserve">  'Income Statement'!J$19</f>
        <v>-52200</v>
      </c>
      <c r="K82" s="4">
        <f ca="1" xml:space="preserve">  'Income Statement'!K$19</f>
        <v>-61094.922509135882</v>
      </c>
      <c r="L82" s="4">
        <f ca="1" xml:space="preserve">  'Income Statement'!L$19</f>
        <v>-61494.007286354456</v>
      </c>
      <c r="M82" s="4">
        <f ca="1" xml:space="preserve">  'Income Statement'!M$19</f>
        <v>-63031.773880781344</v>
      </c>
      <c r="N82" s="4">
        <f ca="1" xml:space="preserve">  'Income Statement'!N$19</f>
        <v>-63507.064258770806</v>
      </c>
      <c r="O82" s="4">
        <f ca="1" xml:space="preserve">  'Income Statement'!O$19</f>
        <v>-63997.441834619625</v>
      </c>
      <c r="P82" s="4">
        <f ca="1" xml:space="preserve">  'Income Statement'!P$19</f>
        <v>-65660.97773928431</v>
      </c>
      <c r="Q82" s="4">
        <f ca="1" xml:space="preserve">  'Income Statement'!Q$19</f>
        <v>-24321.348835997043</v>
      </c>
      <c r="R82" s="4">
        <f ca="1" xml:space="preserve">  'Income Statement'!R$19</f>
        <v>-15882.217267025513</v>
      </c>
      <c r="S82" s="4">
        <f ca="1" xml:space="preserve">  'Income Statement'!S$19</f>
        <v>-17008.448002472891</v>
      </c>
      <c r="T82" s="4">
        <f ca="1" xml:space="preserve">  'Income Statement'!T$19</f>
        <v>-17597.403194166698</v>
      </c>
      <c r="U82" s="4">
        <f ca="1" xml:space="preserve">  'Income Statement'!U$19</f>
        <v>-18297.201360750489</v>
      </c>
      <c r="V82" s="4">
        <f ca="1" xml:space="preserve">  'Income Statement'!V$19</f>
        <v>-20156.887884822543</v>
      </c>
      <c r="W82" s="4">
        <f ca="1" xml:space="preserve">  'Income Statement'!W$19</f>
        <v>23650.313819738854</v>
      </c>
      <c r="X82" s="4">
        <f ca="1" xml:space="preserve">  'Income Statement'!X$19</f>
        <v>29788.603019995971</v>
      </c>
      <c r="Y82" s="4">
        <f ca="1" xml:space="preserve">  'Income Statement'!Y$19</f>
        <v>27710.91651469022</v>
      </c>
      <c r="Z82" s="4">
        <f ca="1" xml:space="preserve">  'Income Statement'!Z$19</f>
        <v>26777.792370334446</v>
      </c>
      <c r="AA82" s="4">
        <f ca="1" xml:space="preserve">  'Income Statement'!AA$19</f>
        <v>17355.566394912945</v>
      </c>
      <c r="AB82" s="4">
        <f ca="1" xml:space="preserve">  'Income Statement'!AB$19</f>
        <v>15103.729381180068</v>
      </c>
      <c r="AC82" s="4">
        <f ca="1" xml:space="preserve">  'Income Statement'!AC$19</f>
        <v>74047.460609456815</v>
      </c>
      <c r="AD82" s="4">
        <f ca="1" xml:space="preserve">  'Income Statement'!AD$19</f>
        <v>72859.748036376041</v>
      </c>
      <c r="AE82" s="4">
        <f ca="1" xml:space="preserve">  'Income Statement'!AE$19</f>
        <v>61874.363659130257</v>
      </c>
      <c r="AF82" s="4">
        <f ca="1" xml:space="preserve">  'Income Statement'!AF$19</f>
        <v>60718.055212011917</v>
      </c>
      <c r="AG82" s="4">
        <f ca="1" xml:space="preserve">  'Income Statement'!AG$19</f>
        <v>119327.61703632753</v>
      </c>
      <c r="AH82" s="4">
        <f ca="1" xml:space="preserve">  'Income Statement'!AH$19</f>
        <v>95702.704266888701</v>
      </c>
      <c r="AI82" s="4">
        <f ca="1" xml:space="preserve">  'Income Statement'!AI$19</f>
        <v>100129.06079373733</v>
      </c>
      <c r="AJ82" s="4">
        <f ca="1" xml:space="preserve">  'Income Statement'!AJ$19</f>
        <v>96433.22930358116</v>
      </c>
      <c r="AK82" s="4">
        <f ca="1" xml:space="preserve">  'Income Statement'!AK$19</f>
        <v>160088.3981206858</v>
      </c>
      <c r="AL82" s="4">
        <f ca="1" xml:space="preserve">  'Income Statement'!AL$19</f>
        <v>165344.59242531555</v>
      </c>
      <c r="AM82" s="4">
        <f ca="1" xml:space="preserve">  'Income Statement'!AM$19</f>
        <v>162543.42356098644</v>
      </c>
      <c r="AN82" s="4">
        <f ca="1" xml:space="preserve">  'Income Statement'!AN$19</f>
        <v>227093.62664866794</v>
      </c>
      <c r="AO82" s="4">
        <f ca="1" xml:space="preserve">  'Income Statement'!AO$19</f>
        <v>233448.85917331133</v>
      </c>
      <c r="AP82" s="4">
        <f ca="1" xml:space="preserve">  'Income Statement'!AP$19</f>
        <v>291550.12350402592</v>
      </c>
      <c r="AQ82" s="4">
        <f ca="1" xml:space="preserve">  'Income Statement'!AQ$19</f>
        <v>297159.85231827392</v>
      </c>
      <c r="AR82" s="4">
        <f ca="1" xml:space="preserve">  'Income Statement'!AR$19</f>
        <v>296512.53582066693</v>
      </c>
      <c r="AS82" s="4">
        <f ca="1" xml:space="preserve">  'Income Statement'!AS$19</f>
        <v>364345.4135620718</v>
      </c>
      <c r="AT82" s="4">
        <f ca="1" xml:space="preserve">  'Income Statement'!AT$19</f>
        <v>362944.49961420143</v>
      </c>
      <c r="AU82" s="4">
        <f ca="1" xml:space="preserve">  'Income Statement'!AU$19</f>
        <v>363238.07954683219</v>
      </c>
      <c r="AV82" s="4">
        <f ca="1" xml:space="preserve">  'Income Statement'!AV$19</f>
        <v>432750.28218690294</v>
      </c>
      <c r="AW82" s="4">
        <f ca="1" xml:space="preserve">  'Income Statement'!AW$19</f>
        <v>432683.23392078257</v>
      </c>
      <c r="AX82" s="4">
        <f ca="1" xml:space="preserve">  'Income Statement'!AX$19</f>
        <v>494681.26609982678</v>
      </c>
      <c r="AY82" s="4">
        <f ca="1" xml:space="preserve">  'Income Statement'!AY$19</f>
        <v>505990.45287062874</v>
      </c>
      <c r="AZ82" s="4">
        <f ca="1" xml:space="preserve">  'Income Statement'!AZ$19</f>
        <v>567749.38851501537</v>
      </c>
      <c r="BA82" s="4">
        <f ca="1" xml:space="preserve">  'Income Statement'!BA$19</f>
        <v>631951.77982198074</v>
      </c>
      <c r="BB82" s="4">
        <f ca="1" xml:space="preserve">  'Income Statement'!BB$19</f>
        <v>636598.96079096745</v>
      </c>
      <c r="BC82" s="4">
        <f ca="1" xml:space="preserve">  'Income Statement'!BC$19</f>
        <v>700573.79879557947</v>
      </c>
      <c r="BD82" s="4">
        <f ca="1" xml:space="preserve">  'Income Statement'!BD$19</f>
        <v>767763.62462427164</v>
      </c>
      <c r="BE82" s="4">
        <f ca="1" xml:space="preserve">  'Income Statement'!BE$19</f>
        <v>774920.35997973848</v>
      </c>
      <c r="BF82" s="4">
        <f ca="1" xml:space="preserve">  'Income Statement'!BF$19</f>
        <v>836417.26919253462</v>
      </c>
      <c r="BG82" s="4">
        <f ca="1" xml:space="preserve">  'Income Statement'!BG$19</f>
        <v>911203.16196627868</v>
      </c>
      <c r="BH82" s="4">
        <f ca="1" xml:space="preserve">  'Income Statement'!BH$19</f>
        <v>987749.29445674003</v>
      </c>
      <c r="BI82" s="4">
        <f ca="1" xml:space="preserve">  'Income Statement'!BI$19</f>
        <v>1063760.7066143677</v>
      </c>
      <c r="BJ82" s="4">
        <f ca="1" xml:space="preserve">  'Income Statement'!BJ$19</f>
        <v>1142936.1117475142</v>
      </c>
      <c r="BK82" s="4">
        <f ca="1" xml:space="preserve">  'Income Statement'!BK$19</f>
        <v>1224200.0733092846</v>
      </c>
      <c r="BL82" s="4">
        <f ca="1" xml:space="preserve">  'Income Statement'!BL$19</f>
        <v>1305086.6695995503</v>
      </c>
      <c r="BM82" s="4">
        <f ca="1" xml:space="preserve">  'Income Statement'!BM$19</f>
        <v>1389953.8586040041</v>
      </c>
      <c r="BN82" s="4">
        <f ca="1" xml:space="preserve">  'Income Statement'!BN$19</f>
        <v>1476417.6211554634</v>
      </c>
      <c r="BO82" s="4">
        <f ca="1" xml:space="preserve">  'Income Statement'!BO$19</f>
        <v>1563140.072991644</v>
      </c>
      <c r="BP82" s="4">
        <f ca="1" xml:space="preserve">  'Income Statement'!BP$19</f>
        <v>1655075.7890578238</v>
      </c>
      <c r="BQ82" s="4">
        <f ca="1" xml:space="preserve">  'Income Statement'!BQ$19</f>
        <v>1747758.0793664895</v>
      </c>
    </row>
    <row r="83" spans="1:69" outlineLevel="1">
      <c r="E83" s="46" t="s">
        <v>298</v>
      </c>
      <c r="F83" s="58">
        <f ca="1" xml:space="preserve">  SUM( $J81:$BQ81 ) / SUM( $J82:$BQ82 )</f>
        <v>0.23453047105187932</v>
      </c>
      <c r="G83" s="46" t="s">
        <v>205</v>
      </c>
      <c r="M83" s="58"/>
    </row>
    <row r="86" spans="1:69">
      <c r="B86" s="27" t="s">
        <v>265</v>
      </c>
    </row>
  </sheetData>
  <conditionalFormatting sqref="F2:F3">
    <cfRule type="cellIs" dxfId="168" priority="1" stopIfTrue="1" operator="notEqual">
      <formula>0</formula>
    </cfRule>
    <cfRule type="cellIs" dxfId="167" priority="2" stopIfTrue="1" operator="equal">
      <formula>""</formula>
    </cfRule>
  </conditionalFormatting>
  <conditionalFormatting sqref="J3:BQ3">
    <cfRule type="cellIs" dxfId="166" priority="8" operator="equal">
      <formula>"PPA ext."</formula>
    </cfRule>
    <cfRule type="cellIs" dxfId="165" priority="9" operator="equal">
      <formula>"Delay"</formula>
    </cfRule>
    <cfRule type="cellIs" dxfId="164" priority="10" operator="equal">
      <formula>"Fin Close"</formula>
    </cfRule>
    <cfRule type="cellIs" dxfId="163" priority="11" stopIfTrue="1" operator="equal">
      <formula>"Construction"</formula>
    </cfRule>
    <cfRule type="cellIs" dxfId="162"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Q1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7" customWidth="1"/>
    <col min="3" max="3" width="1.453125" style="61" customWidth="1"/>
    <col min="4" max="4" width="1.453125" style="88" customWidth="1"/>
    <col min="5" max="5" width="27.0898437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179687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1796875" style="46" bestFit="1" customWidth="1"/>
    <col min="61" max="61" width="12.36328125" style="46" bestFit="1" customWidth="1"/>
    <col min="62" max="62" width="12.1796875" style="46" bestFit="1" customWidth="1"/>
    <col min="63" max="63" width="11.81640625" style="46" bestFit="1" customWidth="1"/>
    <col min="64" max="64" width="12.36328125" style="46" bestFit="1" customWidth="1"/>
    <col min="65" max="65" width="12.1796875" style="46" bestFit="1" customWidth="1"/>
    <col min="66" max="66" width="11.90625" style="46" bestFit="1" customWidth="1"/>
    <col min="67" max="67" width="12.08984375" style="46" bestFit="1" customWidth="1"/>
    <col min="68" max="68" width="12" style="46" bestFit="1" customWidth="1"/>
    <col min="69" max="69" width="11.8164062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Equity</v>
      </c>
      <c r="B1" s="81"/>
      <c r="C1" s="79"/>
      <c r="D1" s="89"/>
      <c r="F1" s="52" t="str">
        <f>HYPERLINK("#Contents!A1","Go to contents")</f>
        <v>Go to contents</v>
      </c>
      <c r="H1" s="56"/>
      <c r="J1" s="56"/>
    </row>
    <row r="2" spans="1:69" s="53" customFormat="1">
      <c r="A2" s="57"/>
      <c r="B2" s="57"/>
      <c r="C2" s="80"/>
      <c r="D2" s="82"/>
      <c r="E2" s="22" t="s">
        <v>324</v>
      </c>
      <c r="F2" s="51">
        <f ca="1" xml:space="preserve"> 'Model Checks and Alerts'!F11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B8" s="27" t="s">
        <v>18</v>
      </c>
    </row>
    <row r="9" spans="1:69" s="85" customFormat="1">
      <c r="A9" s="59"/>
      <c r="B9" s="59"/>
      <c r="C9" s="86"/>
      <c r="D9" s="84"/>
      <c r="E9" s="40" t="str">
        <f xml:space="preserve">  InpC!E$46</f>
        <v>Opening Share Capital</v>
      </c>
      <c r="F9" s="40">
        <f xml:space="preserve">  InpC!F$46</f>
        <v>0</v>
      </c>
      <c r="G9" s="40" t="str">
        <f xml:space="preserve">  InpC!G$46</f>
        <v>GBP</v>
      </c>
      <c r="M9" s="87"/>
    </row>
    <row r="10" spans="1:69">
      <c r="A10" s="18"/>
      <c r="B10" s="18"/>
      <c r="C10" s="30"/>
      <c r="D10" s="31"/>
      <c r="E10" s="10" t="str">
        <f xml:space="preserve">  Time!E$28</f>
        <v>Period number</v>
      </c>
      <c r="F10" s="10">
        <f xml:space="preserve">  Time!F$28</f>
        <v>0</v>
      </c>
      <c r="G10" s="10" t="str">
        <f xml:space="preserve">  Time!G$28</f>
        <v>Counter</v>
      </c>
      <c r="H10" s="10">
        <f xml:space="preserve">  Time!H$28</f>
        <v>0</v>
      </c>
      <c r="I10" s="10">
        <f xml:space="preserve">  Time!I$28</f>
        <v>0</v>
      </c>
      <c r="J10" s="10">
        <f xml:space="preserve">  Time!J$28</f>
        <v>1</v>
      </c>
      <c r="K10" s="10">
        <f xml:space="preserve">  Time!K$28</f>
        <v>2</v>
      </c>
      <c r="L10" s="10">
        <f xml:space="preserve">  Time!L$28</f>
        <v>3</v>
      </c>
      <c r="M10" s="10">
        <f xml:space="preserve">  Time!M$28</f>
        <v>4</v>
      </c>
      <c r="N10" s="10">
        <f xml:space="preserve">  Time!N$28</f>
        <v>5</v>
      </c>
      <c r="O10" s="10">
        <f xml:space="preserve">  Time!O$28</f>
        <v>6</v>
      </c>
      <c r="P10" s="10">
        <f xml:space="preserve">  Time!P$28</f>
        <v>7</v>
      </c>
      <c r="Q10" s="10">
        <f xml:space="preserve">  Time!Q$28</f>
        <v>8</v>
      </c>
      <c r="R10" s="10">
        <f xml:space="preserve">  Time!R$28</f>
        <v>9</v>
      </c>
      <c r="S10" s="10">
        <f xml:space="preserve">  Time!S$28</f>
        <v>10</v>
      </c>
      <c r="T10" s="10">
        <f xml:space="preserve">  Time!T$28</f>
        <v>11</v>
      </c>
      <c r="U10" s="10">
        <f xml:space="preserve">  Time!U$28</f>
        <v>12</v>
      </c>
      <c r="V10" s="10">
        <f xml:space="preserve">  Time!V$28</f>
        <v>13</v>
      </c>
      <c r="W10" s="10">
        <f xml:space="preserve">  Time!W$28</f>
        <v>14</v>
      </c>
      <c r="X10" s="10">
        <f xml:space="preserve">  Time!X$28</f>
        <v>15</v>
      </c>
      <c r="Y10" s="10">
        <f xml:space="preserve">  Time!Y$28</f>
        <v>16</v>
      </c>
      <c r="Z10" s="10">
        <f xml:space="preserve">  Time!Z$28</f>
        <v>17</v>
      </c>
      <c r="AA10" s="10">
        <f xml:space="preserve">  Time!AA$28</f>
        <v>18</v>
      </c>
      <c r="AB10" s="10">
        <f xml:space="preserve">  Time!AB$28</f>
        <v>19</v>
      </c>
      <c r="AC10" s="10">
        <f xml:space="preserve">  Time!AC$28</f>
        <v>20</v>
      </c>
      <c r="AD10" s="10">
        <f xml:space="preserve">  Time!AD$28</f>
        <v>21</v>
      </c>
      <c r="AE10" s="10">
        <f xml:space="preserve">  Time!AE$28</f>
        <v>22</v>
      </c>
      <c r="AF10" s="10">
        <f xml:space="preserve">  Time!AF$28</f>
        <v>23</v>
      </c>
      <c r="AG10" s="10">
        <f xml:space="preserve">  Time!AG$28</f>
        <v>24</v>
      </c>
      <c r="AH10" s="10">
        <f xml:space="preserve">  Time!AH$28</f>
        <v>25</v>
      </c>
      <c r="AI10" s="10">
        <f xml:space="preserve">  Time!AI$28</f>
        <v>26</v>
      </c>
      <c r="AJ10" s="10">
        <f xml:space="preserve">  Time!AJ$28</f>
        <v>27</v>
      </c>
      <c r="AK10" s="10">
        <f xml:space="preserve">  Time!AK$28</f>
        <v>28</v>
      </c>
      <c r="AL10" s="10">
        <f xml:space="preserve">  Time!AL$28</f>
        <v>29</v>
      </c>
      <c r="AM10" s="10">
        <f xml:space="preserve">  Time!AM$28</f>
        <v>30</v>
      </c>
      <c r="AN10" s="10">
        <f xml:space="preserve">  Time!AN$28</f>
        <v>31</v>
      </c>
      <c r="AO10" s="10">
        <f xml:space="preserve">  Time!AO$28</f>
        <v>32</v>
      </c>
      <c r="AP10" s="10">
        <f xml:space="preserve">  Time!AP$28</f>
        <v>33</v>
      </c>
      <c r="AQ10" s="10">
        <f xml:space="preserve">  Time!AQ$28</f>
        <v>34</v>
      </c>
      <c r="AR10" s="10">
        <f xml:space="preserve">  Time!AR$28</f>
        <v>35</v>
      </c>
      <c r="AS10" s="10">
        <f xml:space="preserve">  Time!AS$28</f>
        <v>36</v>
      </c>
      <c r="AT10" s="10">
        <f xml:space="preserve">  Time!AT$28</f>
        <v>37</v>
      </c>
      <c r="AU10" s="10">
        <f xml:space="preserve">  Time!AU$28</f>
        <v>38</v>
      </c>
      <c r="AV10" s="10">
        <f xml:space="preserve">  Time!AV$28</f>
        <v>39</v>
      </c>
      <c r="AW10" s="10">
        <f xml:space="preserve">  Time!AW$28</f>
        <v>40</v>
      </c>
      <c r="AX10" s="10">
        <f xml:space="preserve">  Time!AX$28</f>
        <v>41</v>
      </c>
      <c r="AY10" s="10">
        <f xml:space="preserve">  Time!AY$28</f>
        <v>42</v>
      </c>
      <c r="AZ10" s="10">
        <f xml:space="preserve">  Time!AZ$28</f>
        <v>43</v>
      </c>
      <c r="BA10" s="10">
        <f xml:space="preserve">  Time!BA$28</f>
        <v>44</v>
      </c>
      <c r="BB10" s="10">
        <f xml:space="preserve">  Time!BB$28</f>
        <v>45</v>
      </c>
      <c r="BC10" s="10">
        <f xml:space="preserve">  Time!BC$28</f>
        <v>46</v>
      </c>
      <c r="BD10" s="10">
        <f xml:space="preserve">  Time!BD$28</f>
        <v>47</v>
      </c>
      <c r="BE10" s="10">
        <f xml:space="preserve">  Time!BE$28</f>
        <v>48</v>
      </c>
      <c r="BF10" s="10">
        <f xml:space="preserve">  Time!BF$28</f>
        <v>49</v>
      </c>
      <c r="BG10" s="10">
        <f xml:space="preserve">  Time!BG$28</f>
        <v>50</v>
      </c>
      <c r="BH10" s="10">
        <f xml:space="preserve">  Time!BH$28</f>
        <v>51</v>
      </c>
      <c r="BI10" s="10">
        <f xml:space="preserve">  Time!BI$28</f>
        <v>52</v>
      </c>
      <c r="BJ10" s="10">
        <f xml:space="preserve">  Time!BJ$28</f>
        <v>53</v>
      </c>
      <c r="BK10" s="10">
        <f xml:space="preserve">  Time!BK$28</f>
        <v>54</v>
      </c>
      <c r="BL10" s="10">
        <f xml:space="preserve">  Time!BL$28</f>
        <v>55</v>
      </c>
      <c r="BM10" s="10">
        <f xml:space="preserve">  Time!BM$28</f>
        <v>56</v>
      </c>
      <c r="BN10" s="10">
        <f xml:space="preserve">  Time!BN$28</f>
        <v>57</v>
      </c>
      <c r="BO10" s="10">
        <f xml:space="preserve">  Time!BO$28</f>
        <v>58</v>
      </c>
      <c r="BP10" s="10">
        <f xml:space="preserve">  Time!BP$28</f>
        <v>59</v>
      </c>
      <c r="BQ10" s="10">
        <f xml:space="preserve">  Time!BQ$28</f>
        <v>60</v>
      </c>
    </row>
    <row r="11" spans="1:69">
      <c r="E11" s="46" t="s">
        <v>41</v>
      </c>
      <c r="G11" s="46" t="s">
        <v>252</v>
      </c>
      <c r="J11" s="2">
        <f t="shared" ref="J11:BQ11" si="0" xml:space="preserve">  I13</f>
        <v>0</v>
      </c>
      <c r="K11" s="2">
        <f t="shared" si="0"/>
        <v>0</v>
      </c>
      <c r="L11" s="2">
        <f t="shared" si="0"/>
        <v>0</v>
      </c>
      <c r="M11" s="2">
        <f t="shared" si="0"/>
        <v>0</v>
      </c>
      <c r="N11" s="2">
        <f t="shared" si="0"/>
        <v>0</v>
      </c>
      <c r="O11" s="2">
        <f t="shared" si="0"/>
        <v>0</v>
      </c>
      <c r="P11" s="2">
        <f t="shared" si="0"/>
        <v>0</v>
      </c>
      <c r="Q11" s="2">
        <f t="shared" si="0"/>
        <v>0</v>
      </c>
      <c r="R11" s="2">
        <f t="shared" si="0"/>
        <v>0</v>
      </c>
      <c r="S11" s="2">
        <f t="shared" si="0"/>
        <v>0</v>
      </c>
      <c r="T11" s="2">
        <f t="shared" si="0"/>
        <v>0</v>
      </c>
      <c r="U11" s="2">
        <f t="shared" si="0"/>
        <v>0</v>
      </c>
      <c r="V11" s="2">
        <f t="shared" si="0"/>
        <v>0</v>
      </c>
      <c r="W11" s="2">
        <f t="shared" si="0"/>
        <v>0</v>
      </c>
      <c r="X11" s="2">
        <f t="shared" si="0"/>
        <v>0</v>
      </c>
      <c r="Y11" s="2">
        <f t="shared" si="0"/>
        <v>0</v>
      </c>
      <c r="Z11" s="2">
        <f t="shared" si="0"/>
        <v>0</v>
      </c>
      <c r="AA11" s="2">
        <f t="shared" si="0"/>
        <v>0</v>
      </c>
      <c r="AB11" s="2">
        <f t="shared" si="0"/>
        <v>0</v>
      </c>
      <c r="AC11" s="2">
        <f t="shared" si="0"/>
        <v>0</v>
      </c>
      <c r="AD11" s="2">
        <f t="shared" si="0"/>
        <v>0</v>
      </c>
      <c r="AE11" s="2">
        <f t="shared" si="0"/>
        <v>0</v>
      </c>
      <c r="AF11" s="2">
        <f t="shared" si="0"/>
        <v>0</v>
      </c>
      <c r="AG11" s="2">
        <f t="shared" si="0"/>
        <v>0</v>
      </c>
      <c r="AH11" s="2">
        <f t="shared" si="0"/>
        <v>0</v>
      </c>
      <c r="AI11" s="2">
        <f t="shared" si="0"/>
        <v>0</v>
      </c>
      <c r="AJ11" s="2">
        <f t="shared" si="0"/>
        <v>0</v>
      </c>
      <c r="AK11" s="2">
        <f t="shared" si="0"/>
        <v>0</v>
      </c>
      <c r="AL11" s="2">
        <f t="shared" si="0"/>
        <v>0</v>
      </c>
      <c r="AM11" s="2">
        <f t="shared" si="0"/>
        <v>0</v>
      </c>
      <c r="AN11" s="2">
        <f t="shared" si="0"/>
        <v>0</v>
      </c>
      <c r="AO11" s="2">
        <f t="shared" si="0"/>
        <v>0</v>
      </c>
      <c r="AP11" s="2">
        <f t="shared" si="0"/>
        <v>0</v>
      </c>
      <c r="AQ11" s="2">
        <f t="shared" si="0"/>
        <v>0</v>
      </c>
      <c r="AR11" s="2">
        <f t="shared" si="0"/>
        <v>0</v>
      </c>
      <c r="AS11" s="2">
        <f t="shared" si="0"/>
        <v>0</v>
      </c>
      <c r="AT11" s="2">
        <f t="shared" si="0"/>
        <v>0</v>
      </c>
      <c r="AU11" s="2">
        <f t="shared" si="0"/>
        <v>0</v>
      </c>
      <c r="AV11" s="2">
        <f t="shared" si="0"/>
        <v>0</v>
      </c>
      <c r="AW11" s="2">
        <f t="shared" si="0"/>
        <v>0</v>
      </c>
      <c r="AX11" s="2">
        <f t="shared" si="0"/>
        <v>0</v>
      </c>
      <c r="AY11" s="2">
        <f t="shared" si="0"/>
        <v>0</v>
      </c>
      <c r="AZ11" s="2">
        <f t="shared" si="0"/>
        <v>0</v>
      </c>
      <c r="BA11" s="2">
        <f t="shared" si="0"/>
        <v>0</v>
      </c>
      <c r="BB11" s="2">
        <f t="shared" si="0"/>
        <v>0</v>
      </c>
      <c r="BC11" s="2">
        <f t="shared" si="0"/>
        <v>0</v>
      </c>
      <c r="BD11" s="2">
        <f t="shared" si="0"/>
        <v>0</v>
      </c>
      <c r="BE11" s="2">
        <f t="shared" si="0"/>
        <v>0</v>
      </c>
      <c r="BF11" s="2">
        <f t="shared" si="0"/>
        <v>0</v>
      </c>
      <c r="BG11" s="2">
        <f t="shared" si="0"/>
        <v>0</v>
      </c>
      <c r="BH11" s="2">
        <f t="shared" si="0"/>
        <v>0</v>
      </c>
      <c r="BI11" s="2">
        <f t="shared" si="0"/>
        <v>0</v>
      </c>
      <c r="BJ11" s="2">
        <f t="shared" si="0"/>
        <v>0</v>
      </c>
      <c r="BK11" s="2">
        <f t="shared" si="0"/>
        <v>0</v>
      </c>
      <c r="BL11" s="2">
        <f t="shared" si="0"/>
        <v>0</v>
      </c>
      <c r="BM11" s="2">
        <f t="shared" si="0"/>
        <v>0</v>
      </c>
      <c r="BN11" s="2">
        <f t="shared" si="0"/>
        <v>0</v>
      </c>
      <c r="BO11" s="2">
        <f t="shared" si="0"/>
        <v>0</v>
      </c>
      <c r="BP11" s="2">
        <f t="shared" si="0"/>
        <v>0</v>
      </c>
      <c r="BQ11" s="2">
        <f t="shared" si="0"/>
        <v>0</v>
      </c>
    </row>
    <row r="12" spans="1:69">
      <c r="A12" s="18"/>
      <c r="B12" s="18"/>
      <c r="C12" s="30"/>
      <c r="D12" s="31" t="s">
        <v>216</v>
      </c>
      <c r="E12" s="4" t="str">
        <f xml:space="preserve">  InpS!E$11</f>
        <v>New share capital issued</v>
      </c>
      <c r="F12" s="4">
        <f xml:space="preserve">  InpS!F$11</f>
        <v>0</v>
      </c>
      <c r="G12" s="4" t="str">
        <f xml:space="preserve">  InpS!G$11</f>
        <v>GBP</v>
      </c>
      <c r="H12" s="4">
        <f xml:space="preserve">  InpS!H$11</f>
        <v>0</v>
      </c>
      <c r="I12" s="4">
        <f xml:space="preserve">  InpS!I$11</f>
        <v>0</v>
      </c>
      <c r="J12" s="4">
        <f xml:space="preserve">  InpS!J$11</f>
        <v>0</v>
      </c>
      <c r="K12" s="4">
        <f xml:space="preserve">  InpS!K$11</f>
        <v>0</v>
      </c>
      <c r="L12" s="4">
        <f xml:space="preserve">  InpS!L$11</f>
        <v>0</v>
      </c>
      <c r="M12" s="4">
        <f xml:space="preserve">  InpS!M$11</f>
        <v>0</v>
      </c>
      <c r="N12" s="4">
        <f xml:space="preserve">  InpS!N$11</f>
        <v>0</v>
      </c>
      <c r="O12" s="4">
        <f xml:space="preserve">  InpS!O$11</f>
        <v>0</v>
      </c>
      <c r="P12" s="4">
        <f xml:space="preserve">  InpS!P$11</f>
        <v>0</v>
      </c>
      <c r="Q12" s="4">
        <f xml:space="preserve">  InpS!Q$11</f>
        <v>0</v>
      </c>
      <c r="R12" s="4">
        <f xml:space="preserve">  InpS!R$11</f>
        <v>0</v>
      </c>
      <c r="S12" s="4">
        <f xml:space="preserve">  InpS!S$11</f>
        <v>0</v>
      </c>
      <c r="T12" s="4">
        <f xml:space="preserve">  InpS!T$11</f>
        <v>0</v>
      </c>
      <c r="U12" s="4">
        <f xml:space="preserve">  InpS!U$11</f>
        <v>0</v>
      </c>
      <c r="V12" s="4">
        <f xml:space="preserve">  InpS!V$11</f>
        <v>0</v>
      </c>
      <c r="W12" s="4">
        <f xml:space="preserve">  InpS!W$11</f>
        <v>0</v>
      </c>
      <c r="X12" s="4">
        <f xml:space="preserve">  InpS!X$11</f>
        <v>0</v>
      </c>
      <c r="Y12" s="4">
        <f xml:space="preserve">  InpS!Y$11</f>
        <v>0</v>
      </c>
      <c r="Z12" s="4">
        <f xml:space="preserve">  InpS!Z$11</f>
        <v>0</v>
      </c>
      <c r="AA12" s="4">
        <f xml:space="preserve">  InpS!AA$11</f>
        <v>0</v>
      </c>
      <c r="AB12" s="4">
        <f xml:space="preserve">  InpS!AB$11</f>
        <v>0</v>
      </c>
      <c r="AC12" s="4">
        <f xml:space="preserve">  InpS!AC$11</f>
        <v>0</v>
      </c>
      <c r="AD12" s="4">
        <f xml:space="preserve">  InpS!AD$11</f>
        <v>0</v>
      </c>
      <c r="AE12" s="4">
        <f xml:space="preserve">  InpS!AE$11</f>
        <v>0</v>
      </c>
      <c r="AF12" s="4">
        <f xml:space="preserve">  InpS!AF$11</f>
        <v>0</v>
      </c>
      <c r="AG12" s="4">
        <f xml:space="preserve">  InpS!AG$11</f>
        <v>0</v>
      </c>
      <c r="AH12" s="4">
        <f xml:space="preserve">  InpS!AH$11</f>
        <v>0</v>
      </c>
      <c r="AI12" s="4">
        <f xml:space="preserve">  InpS!AI$11</f>
        <v>0</v>
      </c>
      <c r="AJ12" s="4">
        <f xml:space="preserve">  InpS!AJ$11</f>
        <v>0</v>
      </c>
      <c r="AK12" s="4">
        <f xml:space="preserve">  InpS!AK$11</f>
        <v>0</v>
      </c>
      <c r="AL12" s="4">
        <f xml:space="preserve">  InpS!AL$11</f>
        <v>0</v>
      </c>
      <c r="AM12" s="4">
        <f xml:space="preserve">  InpS!AM$11</f>
        <v>0</v>
      </c>
      <c r="AN12" s="4">
        <f xml:space="preserve">  InpS!AN$11</f>
        <v>0</v>
      </c>
      <c r="AO12" s="4">
        <f xml:space="preserve">  InpS!AO$11</f>
        <v>0</v>
      </c>
      <c r="AP12" s="4">
        <f xml:space="preserve">  InpS!AP$11</f>
        <v>0</v>
      </c>
      <c r="AQ12" s="4">
        <f xml:space="preserve">  InpS!AQ$11</f>
        <v>0</v>
      </c>
      <c r="AR12" s="4">
        <f xml:space="preserve">  InpS!AR$11</f>
        <v>0</v>
      </c>
      <c r="AS12" s="4">
        <f xml:space="preserve">  InpS!AS$11</f>
        <v>0</v>
      </c>
      <c r="AT12" s="4">
        <f xml:space="preserve">  InpS!AT$11</f>
        <v>0</v>
      </c>
      <c r="AU12" s="4">
        <f xml:space="preserve">  InpS!AU$11</f>
        <v>0</v>
      </c>
      <c r="AV12" s="4">
        <f xml:space="preserve">  InpS!AV$11</f>
        <v>0</v>
      </c>
      <c r="AW12" s="4">
        <f xml:space="preserve">  InpS!AW$11</f>
        <v>0</v>
      </c>
      <c r="AX12" s="4">
        <f xml:space="preserve">  InpS!AX$11</f>
        <v>0</v>
      </c>
      <c r="AY12" s="4">
        <f xml:space="preserve">  InpS!AY$11</f>
        <v>0</v>
      </c>
      <c r="AZ12" s="4">
        <f xml:space="preserve">  InpS!AZ$11</f>
        <v>0</v>
      </c>
      <c r="BA12" s="4">
        <f xml:space="preserve">  InpS!BA$11</f>
        <v>0</v>
      </c>
      <c r="BB12" s="4">
        <f xml:space="preserve">  InpS!BB$11</f>
        <v>0</v>
      </c>
      <c r="BC12" s="4">
        <f xml:space="preserve">  InpS!BC$11</f>
        <v>0</v>
      </c>
      <c r="BD12" s="4">
        <f xml:space="preserve">  InpS!BD$11</f>
        <v>0</v>
      </c>
      <c r="BE12" s="4">
        <f xml:space="preserve">  InpS!BE$11</f>
        <v>0</v>
      </c>
      <c r="BF12" s="4">
        <f xml:space="preserve">  InpS!BF$11</f>
        <v>0</v>
      </c>
      <c r="BG12" s="4">
        <f xml:space="preserve">  InpS!BG$11</f>
        <v>0</v>
      </c>
      <c r="BH12" s="4">
        <f xml:space="preserve">  InpS!BH$11</f>
        <v>0</v>
      </c>
      <c r="BI12" s="4">
        <f xml:space="preserve">  InpS!BI$11</f>
        <v>0</v>
      </c>
      <c r="BJ12" s="4">
        <f xml:space="preserve">  InpS!BJ$11</f>
        <v>0</v>
      </c>
      <c r="BK12" s="4">
        <f xml:space="preserve">  InpS!BK$11</f>
        <v>0</v>
      </c>
      <c r="BL12" s="4">
        <f xml:space="preserve">  InpS!BL$11</f>
        <v>0</v>
      </c>
      <c r="BM12" s="4">
        <f xml:space="preserve">  InpS!BM$11</f>
        <v>0</v>
      </c>
      <c r="BN12" s="4">
        <f xml:space="preserve">  InpS!BN$11</f>
        <v>0</v>
      </c>
      <c r="BO12" s="4">
        <f xml:space="preserve">  InpS!BO$11</f>
        <v>0</v>
      </c>
      <c r="BP12" s="4">
        <f xml:space="preserve">  InpS!BP$11</f>
        <v>0</v>
      </c>
      <c r="BQ12" s="4">
        <f xml:space="preserve">  InpS!BQ$11</f>
        <v>0</v>
      </c>
    </row>
    <row r="13" spans="1:69" s="83" customFormat="1">
      <c r="A13" s="62"/>
      <c r="B13" s="62"/>
      <c r="C13" s="90"/>
      <c r="D13" s="91"/>
      <c r="E13" s="35" t="s">
        <v>18</v>
      </c>
      <c r="F13" s="35"/>
      <c r="G13" s="35" t="s">
        <v>252</v>
      </c>
      <c r="H13" s="35"/>
      <c r="I13" s="11">
        <f t="shared" ref="I13:BQ13" si="1" xml:space="preserve">  IF( I10 = 0, $F9, I11 + I12 )</f>
        <v>0</v>
      </c>
      <c r="J13" s="11">
        <f t="shared" si="1"/>
        <v>0</v>
      </c>
      <c r="K13" s="11">
        <f t="shared" si="1"/>
        <v>0</v>
      </c>
      <c r="L13" s="11">
        <f t="shared" si="1"/>
        <v>0</v>
      </c>
      <c r="M13" s="11">
        <f t="shared" si="1"/>
        <v>0</v>
      </c>
      <c r="N13" s="11">
        <f t="shared" si="1"/>
        <v>0</v>
      </c>
      <c r="O13" s="11">
        <f t="shared" si="1"/>
        <v>0</v>
      </c>
      <c r="P13" s="11">
        <f t="shared" si="1"/>
        <v>0</v>
      </c>
      <c r="Q13" s="11">
        <f t="shared" si="1"/>
        <v>0</v>
      </c>
      <c r="R13" s="11">
        <f t="shared" si="1"/>
        <v>0</v>
      </c>
      <c r="S13" s="11">
        <f t="shared" si="1"/>
        <v>0</v>
      </c>
      <c r="T13" s="11">
        <f t="shared" si="1"/>
        <v>0</v>
      </c>
      <c r="U13" s="11">
        <f t="shared" si="1"/>
        <v>0</v>
      </c>
      <c r="V13" s="11">
        <f t="shared" si="1"/>
        <v>0</v>
      </c>
      <c r="W13" s="11">
        <f t="shared" si="1"/>
        <v>0</v>
      </c>
      <c r="X13" s="11">
        <f t="shared" si="1"/>
        <v>0</v>
      </c>
      <c r="Y13" s="11">
        <f t="shared" si="1"/>
        <v>0</v>
      </c>
      <c r="Z13" s="11">
        <f t="shared" si="1"/>
        <v>0</v>
      </c>
      <c r="AA13" s="11">
        <f t="shared" si="1"/>
        <v>0</v>
      </c>
      <c r="AB13" s="11">
        <f t="shared" si="1"/>
        <v>0</v>
      </c>
      <c r="AC13" s="11">
        <f t="shared" si="1"/>
        <v>0</v>
      </c>
      <c r="AD13" s="11">
        <f t="shared" si="1"/>
        <v>0</v>
      </c>
      <c r="AE13" s="11">
        <f t="shared" si="1"/>
        <v>0</v>
      </c>
      <c r="AF13" s="11">
        <f t="shared" si="1"/>
        <v>0</v>
      </c>
      <c r="AG13" s="11">
        <f t="shared" si="1"/>
        <v>0</v>
      </c>
      <c r="AH13" s="11">
        <f t="shared" si="1"/>
        <v>0</v>
      </c>
      <c r="AI13" s="11">
        <f t="shared" si="1"/>
        <v>0</v>
      </c>
      <c r="AJ13" s="11">
        <f t="shared" si="1"/>
        <v>0</v>
      </c>
      <c r="AK13" s="11">
        <f t="shared" si="1"/>
        <v>0</v>
      </c>
      <c r="AL13" s="11">
        <f t="shared" si="1"/>
        <v>0</v>
      </c>
      <c r="AM13" s="11">
        <f t="shared" si="1"/>
        <v>0</v>
      </c>
      <c r="AN13" s="11">
        <f t="shared" si="1"/>
        <v>0</v>
      </c>
      <c r="AO13" s="11">
        <f t="shared" si="1"/>
        <v>0</v>
      </c>
      <c r="AP13" s="11">
        <f t="shared" si="1"/>
        <v>0</v>
      </c>
      <c r="AQ13" s="11">
        <f t="shared" si="1"/>
        <v>0</v>
      </c>
      <c r="AR13" s="11">
        <f t="shared" si="1"/>
        <v>0</v>
      </c>
      <c r="AS13" s="11">
        <f t="shared" si="1"/>
        <v>0</v>
      </c>
      <c r="AT13" s="11">
        <f t="shared" si="1"/>
        <v>0</v>
      </c>
      <c r="AU13" s="11">
        <f t="shared" si="1"/>
        <v>0</v>
      </c>
      <c r="AV13" s="11">
        <f t="shared" si="1"/>
        <v>0</v>
      </c>
      <c r="AW13" s="11">
        <f t="shared" si="1"/>
        <v>0</v>
      </c>
      <c r="AX13" s="11">
        <f t="shared" si="1"/>
        <v>0</v>
      </c>
      <c r="AY13" s="11">
        <f t="shared" si="1"/>
        <v>0</v>
      </c>
      <c r="AZ13" s="11">
        <f t="shared" si="1"/>
        <v>0</v>
      </c>
      <c r="BA13" s="11">
        <f t="shared" si="1"/>
        <v>0</v>
      </c>
      <c r="BB13" s="11">
        <f t="shared" si="1"/>
        <v>0</v>
      </c>
      <c r="BC13" s="11">
        <f t="shared" si="1"/>
        <v>0</v>
      </c>
      <c r="BD13" s="11">
        <f t="shared" si="1"/>
        <v>0</v>
      </c>
      <c r="BE13" s="11">
        <f t="shared" si="1"/>
        <v>0</v>
      </c>
      <c r="BF13" s="11">
        <f t="shared" si="1"/>
        <v>0</v>
      </c>
      <c r="BG13" s="11">
        <f t="shared" si="1"/>
        <v>0</v>
      </c>
      <c r="BH13" s="11">
        <f t="shared" si="1"/>
        <v>0</v>
      </c>
      <c r="BI13" s="11">
        <f t="shared" si="1"/>
        <v>0</v>
      </c>
      <c r="BJ13" s="11">
        <f t="shared" si="1"/>
        <v>0</v>
      </c>
      <c r="BK13" s="11">
        <f t="shared" si="1"/>
        <v>0</v>
      </c>
      <c r="BL13" s="11">
        <f t="shared" si="1"/>
        <v>0</v>
      </c>
      <c r="BM13" s="11">
        <f t="shared" si="1"/>
        <v>0</v>
      </c>
      <c r="BN13" s="11">
        <f t="shared" si="1"/>
        <v>0</v>
      </c>
      <c r="BO13" s="11">
        <f t="shared" si="1"/>
        <v>0</v>
      </c>
      <c r="BP13" s="11">
        <f t="shared" si="1"/>
        <v>0</v>
      </c>
      <c r="BQ13" s="11">
        <f t="shared" si="1"/>
        <v>0</v>
      </c>
    </row>
    <row r="16" spans="1:69">
      <c r="B16" s="27" t="s">
        <v>265</v>
      </c>
    </row>
  </sheetData>
  <conditionalFormatting sqref="F2:F3">
    <cfRule type="cellIs" dxfId="161" priority="1" stopIfTrue="1" operator="notEqual">
      <formula>0</formula>
    </cfRule>
    <cfRule type="cellIs" dxfId="160" priority="2" stopIfTrue="1" operator="equal">
      <formula>""</formula>
    </cfRule>
  </conditionalFormatting>
  <conditionalFormatting sqref="J3:BQ3">
    <cfRule type="cellIs" dxfId="159" priority="8" operator="equal">
      <formula>"PPA ext."</formula>
    </cfRule>
    <cfRule type="cellIs" dxfId="158" priority="9" operator="equal">
      <formula>"Delay"</formula>
    </cfRule>
    <cfRule type="cellIs" dxfId="157" priority="10" operator="equal">
      <formula>"Fin Close"</formula>
    </cfRule>
    <cfRule type="cellIs" dxfId="156" priority="11" stopIfTrue="1" operator="equal">
      <formula>"Construction"</formula>
    </cfRule>
    <cfRule type="cellIs" dxfId="155"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Q26"/>
  <sheetViews>
    <sheetView showGridLines="0" defaultGridColor="0" colorId="22"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outlineLevelRow="2"/>
  <cols>
    <col min="1" max="2" width="1.453125" style="27" customWidth="1"/>
    <col min="3" max="3" width="1.453125" style="61" customWidth="1"/>
    <col min="4" max="4" width="1.453125" style="88" customWidth="1"/>
    <col min="5" max="5" width="33.81640625" style="46" bestFit="1" customWidth="1"/>
    <col min="6" max="6" width="20.54296875" style="46" bestFit="1" customWidth="1"/>
    <col min="7" max="7" width="13.1796875" style="46" bestFit="1" customWidth="1"/>
    <col min="8" max="8" width="7.6328125" style="46" bestFit="1" customWidth="1"/>
    <col min="9" max="9" width="3.453125" style="46" customWidth="1"/>
    <col min="10" max="10" width="12.36328125" style="46" bestFit="1" customWidth="1"/>
    <col min="11" max="11" width="12.08984375" style="46" bestFit="1" customWidth="1"/>
    <col min="12" max="12" width="11.1796875" style="46" bestFit="1" customWidth="1"/>
    <col min="13" max="13" width="12.36328125" style="46" bestFit="1" customWidth="1"/>
    <col min="14" max="14" width="12.1796875" style="46" bestFit="1" customWidth="1"/>
    <col min="15" max="15" width="11.81640625" style="46" bestFit="1" customWidth="1"/>
    <col min="16" max="16" width="12.36328125" style="46" bestFit="1" customWidth="1"/>
    <col min="17" max="17" width="12.1796875" style="46" bestFit="1" customWidth="1"/>
    <col min="18" max="18" width="11.90625" style="46" bestFit="1" customWidth="1"/>
    <col min="19" max="19" width="12.08984375" style="46" bestFit="1" customWidth="1"/>
    <col min="20" max="20" width="12" style="46" bestFit="1" customWidth="1"/>
    <col min="21" max="21" width="11.81640625" style="46" bestFit="1" customWidth="1"/>
    <col min="22" max="22" width="12.36328125" style="46" bestFit="1" customWidth="1"/>
    <col min="23" max="23" width="12.08984375" style="46" bestFit="1" customWidth="1"/>
    <col min="24" max="24" width="11.1796875" style="46" bestFit="1" customWidth="1"/>
    <col min="25" max="25" width="12.36328125" style="46" bestFit="1" customWidth="1"/>
    <col min="26" max="26" width="12.1796875" style="46" bestFit="1" customWidth="1"/>
    <col min="27" max="27" width="11.81640625" style="46" bestFit="1" customWidth="1"/>
    <col min="28" max="28" width="12.36328125" style="46" bestFit="1" customWidth="1"/>
    <col min="29" max="29" width="12.1796875" style="46" bestFit="1" customWidth="1"/>
    <col min="30" max="30" width="11.90625" style="46" bestFit="1" customWidth="1"/>
    <col min="31" max="31" width="12.08984375" style="46" bestFit="1" customWidth="1"/>
    <col min="32" max="32" width="12" style="46" bestFit="1" customWidth="1"/>
    <col min="33" max="33" width="11.81640625" style="46" bestFit="1" customWidth="1"/>
    <col min="34" max="34" width="12.36328125" style="46" bestFit="1" customWidth="1"/>
    <col min="35" max="35" width="12.08984375" style="46" bestFit="1" customWidth="1"/>
    <col min="36" max="36" width="11.1796875" style="46" bestFit="1" customWidth="1"/>
    <col min="37" max="37" width="12.36328125" style="46" bestFit="1" customWidth="1"/>
    <col min="38" max="38" width="12.1796875" style="46" bestFit="1" customWidth="1"/>
    <col min="39" max="39" width="11.81640625" style="46" bestFit="1" customWidth="1"/>
    <col min="40" max="40" width="12.36328125" style="46" bestFit="1" customWidth="1"/>
    <col min="41" max="41" width="12.1796875" style="46" bestFit="1" customWidth="1"/>
    <col min="42" max="42" width="11.90625" style="46" bestFit="1" customWidth="1"/>
    <col min="43" max="43" width="12.08984375" style="46" bestFit="1" customWidth="1"/>
    <col min="44" max="44" width="12" style="46" bestFit="1" customWidth="1"/>
    <col min="45" max="45" width="11.81640625" style="46" bestFit="1" customWidth="1"/>
    <col min="46" max="46" width="12.36328125" style="46" bestFit="1" customWidth="1"/>
    <col min="47" max="47" width="12.08984375" style="46" bestFit="1" customWidth="1"/>
    <col min="48" max="48" width="11.81640625" style="46" bestFit="1" customWidth="1"/>
    <col min="49" max="49" width="12.36328125" style="46" bestFit="1" customWidth="1"/>
    <col min="50" max="50" width="12.1796875" style="46" bestFit="1" customWidth="1"/>
    <col min="51" max="51" width="11.81640625" style="46" bestFit="1" customWidth="1"/>
    <col min="52" max="52" width="12.36328125" style="46" bestFit="1" customWidth="1"/>
    <col min="53" max="53" width="12.1796875" style="46" bestFit="1" customWidth="1"/>
    <col min="54" max="54" width="11.90625" style="46" bestFit="1" customWidth="1"/>
    <col min="55" max="55" width="12.08984375" style="46" bestFit="1" customWidth="1"/>
    <col min="56" max="56" width="12" style="46" bestFit="1" customWidth="1"/>
    <col min="57" max="57" width="11.81640625" style="46" bestFit="1" customWidth="1"/>
    <col min="58" max="58" width="12.36328125" style="46" bestFit="1" customWidth="1"/>
    <col min="59" max="59" width="12.08984375" style="46" bestFit="1" customWidth="1"/>
    <col min="60" max="60" width="11.81640625" style="46" bestFit="1" customWidth="1"/>
    <col min="61" max="61" width="12.36328125" style="46" bestFit="1" customWidth="1"/>
    <col min="62" max="69" width="13.1796875" style="46" bestFit="1" customWidth="1"/>
    <col min="70" max="70" width="15.08984375" style="46" hidden="1" customWidth="1"/>
    <col min="71" max="16384" width="15.08984375" style="46" hidden="1"/>
  </cols>
  <sheetData>
    <row r="1" spans="1:69" s="68" customFormat="1" ht="25.15">
      <c r="A1" s="45" t="str">
        <f ca="1" xml:space="preserve"> RIGHT(CELL("filename", A1), LEN(CELL("filename", A1)) - SEARCH("]", CELL("filename", A1)))</f>
        <v>Model Checks and Alerts</v>
      </c>
      <c r="B1" s="81"/>
      <c r="C1" s="79"/>
      <c r="D1" s="89"/>
      <c r="F1" s="52" t="str">
        <f>HYPERLINK("#Contents!A1","Go to contents")</f>
        <v>Go to contents</v>
      </c>
      <c r="H1" s="56"/>
      <c r="J1" s="56"/>
    </row>
    <row r="2" spans="1:69" s="53" customFormat="1">
      <c r="A2" s="57"/>
      <c r="B2" s="57"/>
      <c r="C2" s="80"/>
      <c r="D2" s="82"/>
      <c r="E2" s="22" t="s">
        <v>324</v>
      </c>
      <c r="F2" s="51">
        <f ca="1" xml:space="preserve"> F11</f>
        <v>0</v>
      </c>
      <c r="G2" s="55" t="s">
        <v>143</v>
      </c>
      <c r="H2" s="22"/>
      <c r="I2" s="22"/>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57"/>
      <c r="B3" s="57"/>
      <c r="C3" s="80"/>
      <c r="D3" s="82"/>
      <c r="E3" s="39" t="s">
        <v>203</v>
      </c>
      <c r="F3" s="51"/>
      <c r="G3" s="55" t="s">
        <v>97</v>
      </c>
      <c r="H3" s="22"/>
      <c r="I3" s="22"/>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57"/>
      <c r="B4" s="57"/>
      <c r="C4" s="80"/>
      <c r="D4" s="82"/>
      <c r="E4" s="22" t="s">
        <v>325</v>
      </c>
      <c r="F4" s="27"/>
      <c r="G4" s="22"/>
      <c r="H4" s="22"/>
      <c r="I4" s="22"/>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57"/>
      <c r="B5" s="57"/>
      <c r="C5" s="80"/>
      <c r="D5" s="82"/>
      <c r="E5" s="22" t="s">
        <v>305</v>
      </c>
      <c r="F5" s="27" t="s">
        <v>248</v>
      </c>
      <c r="G5" s="27" t="s">
        <v>224</v>
      </c>
      <c r="H5" s="27" t="s">
        <v>202</v>
      </c>
      <c r="I5" s="22"/>
      <c r="J5" s="15"/>
      <c r="K5" s="15"/>
      <c r="L5" s="15"/>
      <c r="M5" s="15"/>
      <c r="N5" s="15"/>
      <c r="O5" s="15"/>
    </row>
    <row r="6" spans="1:69" s="39" customFormat="1">
      <c r="A6" s="27"/>
      <c r="B6" s="27"/>
      <c r="C6" s="61"/>
      <c r="D6" s="92"/>
      <c r="F6" s="27"/>
      <c r="G6" s="27"/>
      <c r="H6" s="27"/>
    </row>
    <row r="8" spans="1:69">
      <c r="A8" s="27" t="s">
        <v>19</v>
      </c>
    </row>
    <row r="9" spans="1:69" outlineLevel="1">
      <c r="B9" s="27" t="s">
        <v>137</v>
      </c>
    </row>
    <row r="10" spans="1:69" outlineLevel="2">
      <c r="E10" s="2" t="str">
        <f t="shared" ref="E10:G10" si="0" xml:space="preserve">  E$22</f>
        <v>Balance Sheet Balances overall</v>
      </c>
      <c r="F10" s="51">
        <f t="shared" ca="1" si="0"/>
        <v>0</v>
      </c>
      <c r="G10" s="2">
        <f t="shared" si="0"/>
        <v>0</v>
      </c>
      <c r="M10" s="2"/>
    </row>
    <row r="11" spans="1:69" outlineLevel="2">
      <c r="E11" s="46" t="s">
        <v>137</v>
      </c>
      <c r="F11" s="2">
        <f ca="1" xml:space="preserve">  SUM( $F10 )</f>
        <v>0</v>
      </c>
      <c r="M11" s="2"/>
    </row>
    <row r="12" spans="1:69" outlineLevel="1"/>
    <row r="13" spans="1:69" outlineLevel="1"/>
    <row r="14" spans="1:69" outlineLevel="1">
      <c r="B14" s="27" t="s">
        <v>299</v>
      </c>
    </row>
    <row r="15" spans="1:69" outlineLevel="2">
      <c r="A15" s="18"/>
      <c r="B15" s="18"/>
      <c r="C15" s="30"/>
      <c r="D15" s="31"/>
      <c r="E15" s="4" t="str">
        <f xml:space="preserve">  Financials!E$24</f>
        <v>Net Assets</v>
      </c>
      <c r="F15" s="4">
        <f xml:space="preserve">  Financials!F$24</f>
        <v>0</v>
      </c>
      <c r="G15" s="4" t="str">
        <f xml:space="preserve">  Financials!G$24</f>
        <v>GBP</v>
      </c>
      <c r="H15" s="4">
        <f xml:space="preserve">  Financials!H$24</f>
        <v>0</v>
      </c>
      <c r="I15" s="4">
        <f xml:space="preserve">  Financials!I$24</f>
        <v>0</v>
      </c>
      <c r="J15" s="4">
        <f ca="1" xml:space="preserve">  Financials!J$24</f>
        <v>-52200</v>
      </c>
      <c r="K15" s="4">
        <f ca="1" xml:space="preserve">  Financials!K$24</f>
        <v>-113294.92250913591</v>
      </c>
      <c r="L15" s="4">
        <f ca="1" xml:space="preserve">  Financials!L$24</f>
        <v>-174788.92979549034</v>
      </c>
      <c r="M15" s="4">
        <f ca="1" xml:space="preserve">  Financials!M$24</f>
        <v>-237820.70367627172</v>
      </c>
      <c r="N15" s="4">
        <f ca="1" xml:space="preserve">  Financials!N$24</f>
        <v>-301327.7679350425</v>
      </c>
      <c r="O15" s="4">
        <f ca="1" xml:space="preserve">  Financials!O$24</f>
        <v>-365325.20976966218</v>
      </c>
      <c r="P15" s="4">
        <f ca="1" xml:space="preserve">  Financials!P$24</f>
        <v>-430986.18750894646</v>
      </c>
      <c r="Q15" s="4">
        <f ca="1" xml:space="preserve">  Financials!Q$24</f>
        <v>-455307.53634494334</v>
      </c>
      <c r="R15" s="4">
        <f ca="1" xml:space="preserve">  Financials!R$24</f>
        <v>-471189.75361196895</v>
      </c>
      <c r="S15" s="4">
        <f ca="1" xml:space="preserve">  Financials!S$24</f>
        <v>-488198.20161444182</v>
      </c>
      <c r="T15" s="4">
        <f ca="1" xml:space="preserve">  Financials!T$24</f>
        <v>-505795.60480860859</v>
      </c>
      <c r="U15" s="4">
        <f ca="1" xml:space="preserve">  Financials!U$24</f>
        <v>-524092.80616935919</v>
      </c>
      <c r="V15" s="4">
        <f ca="1" xml:space="preserve">  Financials!V$24</f>
        <v>-544249.69405418169</v>
      </c>
      <c r="W15" s="4">
        <f ca="1" xml:space="preserve">  Financials!W$24</f>
        <v>-520599.38023444253</v>
      </c>
      <c r="X15" s="4">
        <f ca="1" xml:space="preserve">  Financials!X$24</f>
        <v>-490810.77721444704</v>
      </c>
      <c r="Y15" s="4">
        <f ca="1" xml:space="preserve">  Financials!Y$24</f>
        <v>-463099.86069975677</v>
      </c>
      <c r="Z15" s="4">
        <f ca="1" xml:space="preserve">  Financials!Z$24</f>
        <v>-436322.0683294225</v>
      </c>
      <c r="AA15" s="4">
        <f ca="1" xml:space="preserve">  Financials!AA$24</f>
        <v>-418966.50193450938</v>
      </c>
      <c r="AB15" s="4">
        <f ca="1" xml:space="preserve">  Financials!AB$24</f>
        <v>-403862.77255332947</v>
      </c>
      <c r="AC15" s="4">
        <f ca="1" xml:space="preserve">  Financials!AC$24</f>
        <v>-343141.28787617013</v>
      </c>
      <c r="AD15" s="4">
        <f ca="1" xml:space="preserve">  Financials!AD$24</f>
        <v>-291303.52951702429</v>
      </c>
      <c r="AE15" s="4">
        <f ca="1" xml:space="preserve">  Financials!AE$24</f>
        <v>-249920.04921231605</v>
      </c>
      <c r="AF15" s="4">
        <f ca="1" xml:space="preserve">  Financials!AF$24</f>
        <v>-209427.2680004721</v>
      </c>
      <c r="AG15" s="4">
        <f ca="1" xml:space="preserve">  Financials!AG$24</f>
        <v>-122013.92081704643</v>
      </c>
      <c r="AH15" s="4">
        <f ca="1" xml:space="preserve">  Financials!AH$24</f>
        <v>-55160.625525048468</v>
      </c>
      <c r="AI15" s="4">
        <f ca="1" xml:space="preserve">  Financials!AI$24</f>
        <v>15419.541160157882</v>
      </c>
      <c r="AJ15" s="4">
        <f ca="1" xml:space="preserve">  Financials!AJ$24</f>
        <v>81544.340408759192</v>
      </c>
      <c r="AK15" s="4">
        <f ca="1" xml:space="preserve">  Financials!AK$24</f>
        <v>198803.43393082451</v>
      </c>
      <c r="AL15" s="4">
        <f ca="1" xml:space="preserve">  Financials!AL$24</f>
        <v>320485.63717737887</v>
      </c>
      <c r="AM15" s="4">
        <f ca="1" xml:space="preserve">  Financials!AM$24</f>
        <v>438462.07065904792</v>
      </c>
      <c r="AN15" s="4">
        <f ca="1" xml:space="preserve">  Financials!AN$24</f>
        <v>608324.24367098324</v>
      </c>
      <c r="AO15" s="4">
        <f ca="1" xml:space="preserve">  Financials!AO$24</f>
        <v>783525.89701385796</v>
      </c>
      <c r="AP15" s="4">
        <f ca="1" xml:space="preserve">  Financials!AP$24</f>
        <v>1003782.2953305198</v>
      </c>
      <c r="AQ15" s="4">
        <f ca="1" xml:space="preserve">  Financials!AQ$24</f>
        <v>1228812.9405455468</v>
      </c>
      <c r="AR15" s="4">
        <f ca="1" xml:space="preserve">  Financials!AR$24</f>
        <v>1451932.3518033689</v>
      </c>
      <c r="AS15" s="4">
        <f ca="1" xml:space="preserve">  Financials!AS$24</f>
        <v>1729637.4415939068</v>
      </c>
      <c r="AT15" s="4">
        <f ca="1" xml:space="preserve">  Financials!AT$24</f>
        <v>2004862.741468857</v>
      </c>
      <c r="AU15" s="4">
        <f ca="1" xml:space="preserve">  Financials!AU$24</f>
        <v>2278987.3008378129</v>
      </c>
      <c r="AV15" s="4">
        <f ca="1" xml:space="preserve">  Financials!AV$24</f>
        <v>2609102.6780487224</v>
      </c>
      <c r="AW15" s="4">
        <f ca="1" xml:space="preserve">  Financials!AW$24</f>
        <v>2937868.9552949816</v>
      </c>
      <c r="AX15" s="4">
        <f ca="1" xml:space="preserve">  Financials!AX$24</f>
        <v>3314964.912466161</v>
      </c>
      <c r="AY15" s="4">
        <f ca="1" xml:space="preserve">  Financials!AY$24</f>
        <v>3701558.7708926043</v>
      </c>
      <c r="AZ15" s="4">
        <f ca="1" xml:space="preserve">  Financials!AZ$24</f>
        <v>4136336.8311913256</v>
      </c>
      <c r="BA15" s="4">
        <f ca="1" xml:space="preserve">  Financials!BA$24</f>
        <v>4621283.9380210731</v>
      </c>
      <c r="BB15" s="4">
        <f ca="1" xml:space="preserve">  Financials!BB$24</f>
        <v>5108786.3336179405</v>
      </c>
      <c r="BC15" s="4">
        <f ca="1" xml:space="preserve">  Financials!BC$24</f>
        <v>5646338.8407885134</v>
      </c>
      <c r="BD15" s="4">
        <f ca="1" xml:space="preserve">  Financials!BD$24</f>
        <v>6236547.2887613475</v>
      </c>
      <c r="BE15" s="4">
        <f ca="1" xml:space="preserve">  Financials!BE$24</f>
        <v>6831417.5458162744</v>
      </c>
      <c r="BF15" s="4">
        <f ca="1" xml:space="preserve">  Financials!BF$24</f>
        <v>7474458.4622393809</v>
      </c>
      <c r="BG15" s="4">
        <f ca="1" xml:space="preserve">  Financials!BG$24</f>
        <v>8176469.768348014</v>
      </c>
      <c r="BH15" s="4">
        <f ca="1" xml:space="preserve">  Financials!BH$24</f>
        <v>8938907.7648204491</v>
      </c>
      <c r="BI15" s="4">
        <f ca="1" xml:space="preserve">  Financials!BI$24</f>
        <v>9761393.6848637536</v>
      </c>
      <c r="BJ15" s="4">
        <f ca="1" xml:space="preserve">  Financials!BJ$24</f>
        <v>10646511.757170189</v>
      </c>
      <c r="BK15" s="4">
        <f ca="1" xml:space="preserve">  Financials!BK$24</f>
        <v>11595988.624808423</v>
      </c>
      <c r="BL15" s="4">
        <f ca="1" xml:space="preserve">  Financials!BL$24</f>
        <v>12609579.327820271</v>
      </c>
      <c r="BM15" s="4">
        <f ca="1" xml:space="preserve">  Financials!BM$24</f>
        <v>13690530.124602422</v>
      </c>
      <c r="BN15" s="4">
        <f ca="1" xml:space="preserve">  Financials!BN$24</f>
        <v>14840181.367642488</v>
      </c>
      <c r="BO15" s="4">
        <f ca="1" xml:space="preserve">  Financials!BO$24</f>
        <v>16058808.976432573</v>
      </c>
      <c r="BP15" s="4">
        <f ca="1" xml:space="preserve">  Financials!BP$24</f>
        <v>17350655.9662925</v>
      </c>
      <c r="BQ15" s="4">
        <f ca="1" xml:space="preserve">  Financials!BQ$24</f>
        <v>18716388.842557337</v>
      </c>
    </row>
    <row r="16" spans="1:69" outlineLevel="2">
      <c r="A16" s="18"/>
      <c r="B16" s="18"/>
      <c r="C16" s="30"/>
      <c r="D16" s="31"/>
      <c r="E16" s="4" t="str">
        <f xml:space="preserve">  Financials!E$30</f>
        <v>Shareholder Equity</v>
      </c>
      <c r="F16" s="4">
        <f xml:space="preserve">  Financials!F$30</f>
        <v>0</v>
      </c>
      <c r="G16" s="4" t="str">
        <f xml:space="preserve">  Financials!G$30</f>
        <v>GBP</v>
      </c>
      <c r="H16" s="4">
        <f xml:space="preserve">  Financials!H$30</f>
        <v>0</v>
      </c>
      <c r="I16" s="4">
        <f xml:space="preserve">  Financials!I$30</f>
        <v>0</v>
      </c>
      <c r="J16" s="4">
        <f ca="1" xml:space="preserve">  Financials!J$30</f>
        <v>-52200</v>
      </c>
      <c r="K16" s="4">
        <f ca="1" xml:space="preserve">  Financials!K$30</f>
        <v>-113294.92250913588</v>
      </c>
      <c r="L16" s="4">
        <f ca="1" xml:space="preserve">  Financials!L$30</f>
        <v>-174788.92979549034</v>
      </c>
      <c r="M16" s="4">
        <f ca="1" xml:space="preserve">  Financials!M$30</f>
        <v>-237820.70367627169</v>
      </c>
      <c r="N16" s="4">
        <f ca="1" xml:space="preserve">  Financials!N$30</f>
        <v>-301327.7679350425</v>
      </c>
      <c r="O16" s="4">
        <f ca="1" xml:space="preserve">  Financials!O$30</f>
        <v>-365325.20976966212</v>
      </c>
      <c r="P16" s="4">
        <f ca="1" xml:space="preserve">  Financials!P$30</f>
        <v>-430986.1875089464</v>
      </c>
      <c r="Q16" s="4">
        <f ca="1" xml:space="preserve">  Financials!Q$30</f>
        <v>-455307.53634494345</v>
      </c>
      <c r="R16" s="4">
        <f ca="1" xml:space="preserve">  Financials!R$30</f>
        <v>-471189.75361196895</v>
      </c>
      <c r="S16" s="4">
        <f ca="1" xml:space="preserve">  Financials!S$30</f>
        <v>-488198.20161444182</v>
      </c>
      <c r="T16" s="4">
        <f ca="1" xml:space="preserve">  Financials!T$30</f>
        <v>-505795.60480860854</v>
      </c>
      <c r="U16" s="4">
        <f ca="1" xml:space="preserve">  Financials!U$30</f>
        <v>-524092.80616935901</v>
      </c>
      <c r="V16" s="4">
        <f ca="1" xml:space="preserve">  Financials!V$30</f>
        <v>-544249.69405418157</v>
      </c>
      <c r="W16" s="4">
        <f ca="1" xml:space="preserve">  Financials!W$30</f>
        <v>-520599.38023444271</v>
      </c>
      <c r="X16" s="4">
        <f ca="1" xml:space="preserve">  Financials!X$30</f>
        <v>-490810.77721444675</v>
      </c>
      <c r="Y16" s="4">
        <f ca="1" xml:space="preserve">  Financials!Y$30</f>
        <v>-463099.86069975654</v>
      </c>
      <c r="Z16" s="4">
        <f ca="1" xml:space="preserve">  Financials!Z$30</f>
        <v>-436322.06832942209</v>
      </c>
      <c r="AA16" s="4">
        <f ca="1" xml:space="preserve">  Financials!AA$30</f>
        <v>-418966.50193450914</v>
      </c>
      <c r="AB16" s="4">
        <f ca="1" xml:space="preserve">  Financials!AB$30</f>
        <v>-403862.77255332906</v>
      </c>
      <c r="AC16" s="4">
        <f ca="1" xml:space="preserve">  Financials!AC$30</f>
        <v>-343141.28787616937</v>
      </c>
      <c r="AD16" s="4">
        <f ca="1" xml:space="preserve">  Financials!AD$30</f>
        <v>-291303.52951702388</v>
      </c>
      <c r="AE16" s="4">
        <f ca="1" xml:space="preserve">  Financials!AE$30</f>
        <v>-249920.04921231579</v>
      </c>
      <c r="AF16" s="4">
        <f ca="1" xml:space="preserve">  Financials!AF$30</f>
        <v>-209427.26800047196</v>
      </c>
      <c r="AG16" s="4">
        <f ca="1" xml:space="preserve">  Financials!AG$30</f>
        <v>-122013.92081704651</v>
      </c>
      <c r="AH16" s="4">
        <f ca="1" xml:space="preserve">  Financials!AH$30</f>
        <v>-55160.625525048381</v>
      </c>
      <c r="AI16" s="4">
        <f ca="1" xml:space="preserve">  Financials!AI$30</f>
        <v>15419.541160158347</v>
      </c>
      <c r="AJ16" s="4">
        <f ca="1" xml:space="preserve">  Financials!AJ$30</f>
        <v>81544.340408759512</v>
      </c>
      <c r="AK16" s="4">
        <f ca="1" xml:space="preserve">  Financials!AK$30</f>
        <v>198803.43393082428</v>
      </c>
      <c r="AL16" s="4">
        <f ca="1" xml:space="preserve">  Financials!AL$30</f>
        <v>320485.63717737759</v>
      </c>
      <c r="AM16" s="4">
        <f ca="1" xml:space="preserve">  Financials!AM$30</f>
        <v>438462.07065904653</v>
      </c>
      <c r="AN16" s="4">
        <f ca="1" xml:space="preserve">  Financials!AN$30</f>
        <v>608324.24367098208</v>
      </c>
      <c r="AO16" s="4">
        <f ca="1" xml:space="preserve">  Financials!AO$30</f>
        <v>783525.89701385703</v>
      </c>
      <c r="AP16" s="4">
        <f ca="1" xml:space="preserve">  Financials!AP$30</f>
        <v>1003782.2953305185</v>
      </c>
      <c r="AQ16" s="4">
        <f ca="1" xml:space="preserve">  Financials!AQ$30</f>
        <v>1228812.9405455473</v>
      </c>
      <c r="AR16" s="4">
        <f ca="1" xml:space="preserve">  Financials!AR$30</f>
        <v>1451932.3518033694</v>
      </c>
      <c r="AS16" s="4">
        <f ca="1" xml:space="preserve">  Financials!AS$30</f>
        <v>1729637.4415939085</v>
      </c>
      <c r="AT16" s="4">
        <f ca="1" xml:space="preserve">  Financials!AT$30</f>
        <v>2004862.741468858</v>
      </c>
      <c r="AU16" s="4">
        <f ca="1" xml:space="preserve">  Financials!AU$30</f>
        <v>2278987.3008378148</v>
      </c>
      <c r="AV16" s="4">
        <f ca="1" xml:space="preserve">  Financials!AV$30</f>
        <v>2609102.6780487243</v>
      </c>
      <c r="AW16" s="4">
        <f ca="1" xml:space="preserve">  Financials!AW$30</f>
        <v>2937868.9552949821</v>
      </c>
      <c r="AX16" s="4">
        <f ca="1" xml:space="preserve">  Financials!AX$30</f>
        <v>3314964.9124661624</v>
      </c>
      <c r="AY16" s="4">
        <f ca="1" xml:space="preserve">  Financials!AY$30</f>
        <v>3701558.7708926075</v>
      </c>
      <c r="AZ16" s="4">
        <f ca="1" xml:space="preserve">  Financials!AZ$30</f>
        <v>4136336.8311913284</v>
      </c>
      <c r="BA16" s="4">
        <f ca="1" xml:space="preserve">  Financials!BA$30</f>
        <v>4621283.9380210768</v>
      </c>
      <c r="BB16" s="4">
        <f ca="1" xml:space="preserve">  Financials!BB$30</f>
        <v>5108786.3336179443</v>
      </c>
      <c r="BC16" s="4">
        <f ca="1" xml:space="preserve">  Financials!BC$30</f>
        <v>5646338.8407885162</v>
      </c>
      <c r="BD16" s="4">
        <f ca="1" xml:space="preserve">  Financials!BD$30</f>
        <v>6236547.2887613494</v>
      </c>
      <c r="BE16" s="4">
        <f ca="1" xml:space="preserve">  Financials!BE$30</f>
        <v>6831417.5458162762</v>
      </c>
      <c r="BF16" s="4">
        <f ca="1" xml:space="preserve">  Financials!BF$30</f>
        <v>7474458.4622393819</v>
      </c>
      <c r="BG16" s="4">
        <f ca="1" xml:space="preserve">  Financials!BG$30</f>
        <v>8176469.7683480149</v>
      </c>
      <c r="BH16" s="4">
        <f ca="1" xml:space="preserve">  Financials!BH$30</f>
        <v>8938907.7648204528</v>
      </c>
      <c r="BI16" s="4">
        <f ca="1" xml:space="preserve">  Financials!BI$30</f>
        <v>9761393.6848637499</v>
      </c>
      <c r="BJ16" s="4">
        <f ca="1" xml:space="preserve">  Financials!BJ$30</f>
        <v>10646511.757170189</v>
      </c>
      <c r="BK16" s="4">
        <f ca="1" xml:space="preserve">  Financials!BK$30</f>
        <v>11595988.624808421</v>
      </c>
      <c r="BL16" s="4">
        <f ca="1" xml:space="preserve">  Financials!BL$30</f>
        <v>12609579.327820268</v>
      </c>
      <c r="BM16" s="4">
        <f ca="1" xml:space="preserve">  Financials!BM$30</f>
        <v>13690530.124602413</v>
      </c>
      <c r="BN16" s="4">
        <f ca="1" xml:space="preserve">  Financials!BN$30</f>
        <v>14840181.367642488</v>
      </c>
      <c r="BO16" s="4">
        <f ca="1" xml:space="preserve">  Financials!BO$30</f>
        <v>16058808.976432571</v>
      </c>
      <c r="BP16" s="4">
        <f ca="1" xml:space="preserve">  Financials!BP$30</f>
        <v>17350655.966292497</v>
      </c>
      <c r="BQ16" s="4">
        <f ca="1" xml:space="preserve">  Financials!BQ$30</f>
        <v>18716388.84255733</v>
      </c>
    </row>
    <row r="17" spans="2:69" outlineLevel="2">
      <c r="E17" s="46" t="s">
        <v>299</v>
      </c>
      <c r="G17" s="46" t="s">
        <v>66</v>
      </c>
      <c r="J17" s="2">
        <f t="shared" ref="J17:BQ17" ca="1" si="1" xml:space="preserve">  IF( ROUND( ABS( J15 - J16 ), 6 ) = 0, 0, 1 )</f>
        <v>0</v>
      </c>
      <c r="K17" s="2">
        <f t="shared" ca="1" si="1"/>
        <v>0</v>
      </c>
      <c r="L17" s="2">
        <f t="shared" ca="1" si="1"/>
        <v>0</v>
      </c>
      <c r="M17" s="2">
        <f t="shared" ca="1" si="1"/>
        <v>0</v>
      </c>
      <c r="N17" s="2">
        <f t="shared" ca="1" si="1"/>
        <v>0</v>
      </c>
      <c r="O17" s="2">
        <f t="shared" ca="1" si="1"/>
        <v>0</v>
      </c>
      <c r="P17" s="2">
        <f t="shared" ca="1" si="1"/>
        <v>0</v>
      </c>
      <c r="Q17" s="2">
        <f t="shared" ca="1" si="1"/>
        <v>0</v>
      </c>
      <c r="R17" s="2">
        <f t="shared" ca="1" si="1"/>
        <v>0</v>
      </c>
      <c r="S17" s="2">
        <f t="shared" ca="1" si="1"/>
        <v>0</v>
      </c>
      <c r="T17" s="2">
        <f t="shared" ca="1" si="1"/>
        <v>0</v>
      </c>
      <c r="U17" s="2">
        <f t="shared" ca="1" si="1"/>
        <v>0</v>
      </c>
      <c r="V17" s="2">
        <f t="shared" ca="1" si="1"/>
        <v>0</v>
      </c>
      <c r="W17" s="2">
        <f t="shared" ca="1" si="1"/>
        <v>0</v>
      </c>
      <c r="X17" s="2">
        <f t="shared" ca="1" si="1"/>
        <v>0</v>
      </c>
      <c r="Y17" s="2">
        <f t="shared" ca="1" si="1"/>
        <v>0</v>
      </c>
      <c r="Z17" s="2">
        <f t="shared" ca="1" si="1"/>
        <v>0</v>
      </c>
      <c r="AA17" s="2">
        <f t="shared" ca="1" si="1"/>
        <v>0</v>
      </c>
      <c r="AB17" s="2">
        <f t="shared" ca="1" si="1"/>
        <v>0</v>
      </c>
      <c r="AC17" s="2">
        <f t="shared" ca="1" si="1"/>
        <v>0</v>
      </c>
      <c r="AD17" s="2">
        <f t="shared" ca="1" si="1"/>
        <v>0</v>
      </c>
      <c r="AE17" s="2">
        <f t="shared" ca="1" si="1"/>
        <v>0</v>
      </c>
      <c r="AF17" s="2">
        <f t="shared" ca="1" si="1"/>
        <v>0</v>
      </c>
      <c r="AG17" s="2">
        <f t="shared" ca="1" si="1"/>
        <v>0</v>
      </c>
      <c r="AH17" s="2">
        <f t="shared" ca="1" si="1"/>
        <v>0</v>
      </c>
      <c r="AI17" s="2">
        <f t="shared" ca="1" si="1"/>
        <v>0</v>
      </c>
      <c r="AJ17" s="2">
        <f t="shared" ca="1" si="1"/>
        <v>0</v>
      </c>
      <c r="AK17" s="2">
        <f t="shared" ca="1" si="1"/>
        <v>0</v>
      </c>
      <c r="AL17" s="2">
        <f t="shared" ca="1" si="1"/>
        <v>0</v>
      </c>
      <c r="AM17" s="2">
        <f t="shared" ca="1" si="1"/>
        <v>0</v>
      </c>
      <c r="AN17" s="2">
        <f t="shared" ca="1" si="1"/>
        <v>0</v>
      </c>
      <c r="AO17" s="2">
        <f t="shared" ca="1" si="1"/>
        <v>0</v>
      </c>
      <c r="AP17" s="2">
        <f t="shared" ca="1" si="1"/>
        <v>0</v>
      </c>
      <c r="AQ17" s="2">
        <f t="shared" ca="1" si="1"/>
        <v>0</v>
      </c>
      <c r="AR17" s="2">
        <f t="shared" ca="1" si="1"/>
        <v>0</v>
      </c>
      <c r="AS17" s="2">
        <f t="shared" ca="1" si="1"/>
        <v>0</v>
      </c>
      <c r="AT17" s="2">
        <f t="shared" ca="1" si="1"/>
        <v>0</v>
      </c>
      <c r="AU17" s="2">
        <f t="shared" ca="1" si="1"/>
        <v>0</v>
      </c>
      <c r="AV17" s="2">
        <f t="shared" ca="1" si="1"/>
        <v>0</v>
      </c>
      <c r="AW17" s="2">
        <f t="shared" ca="1" si="1"/>
        <v>0</v>
      </c>
      <c r="AX17" s="2">
        <f t="shared" ca="1" si="1"/>
        <v>0</v>
      </c>
      <c r="AY17" s="2">
        <f t="shared" ca="1" si="1"/>
        <v>0</v>
      </c>
      <c r="AZ17" s="2">
        <f t="shared" ca="1" si="1"/>
        <v>0</v>
      </c>
      <c r="BA17" s="2">
        <f t="shared" ca="1" si="1"/>
        <v>0</v>
      </c>
      <c r="BB17" s="2">
        <f t="shared" ca="1" si="1"/>
        <v>0</v>
      </c>
      <c r="BC17" s="2">
        <f t="shared" ca="1" si="1"/>
        <v>0</v>
      </c>
      <c r="BD17" s="2">
        <f t="shared" ca="1" si="1"/>
        <v>0</v>
      </c>
      <c r="BE17" s="2">
        <f t="shared" ca="1" si="1"/>
        <v>0</v>
      </c>
      <c r="BF17" s="2">
        <f t="shared" ca="1" si="1"/>
        <v>0</v>
      </c>
      <c r="BG17" s="2">
        <f t="shared" ca="1" si="1"/>
        <v>0</v>
      </c>
      <c r="BH17" s="2">
        <f t="shared" ca="1" si="1"/>
        <v>0</v>
      </c>
      <c r="BI17" s="2">
        <f t="shared" ca="1" si="1"/>
        <v>0</v>
      </c>
      <c r="BJ17" s="2">
        <f t="shared" ca="1" si="1"/>
        <v>0</v>
      </c>
      <c r="BK17" s="2">
        <f t="shared" ca="1" si="1"/>
        <v>0</v>
      </c>
      <c r="BL17" s="2">
        <f t="shared" ca="1" si="1"/>
        <v>0</v>
      </c>
      <c r="BM17" s="2">
        <f t="shared" ca="1" si="1"/>
        <v>0</v>
      </c>
      <c r="BN17" s="2">
        <f t="shared" ca="1" si="1"/>
        <v>0</v>
      </c>
      <c r="BO17" s="2">
        <f t="shared" ca="1" si="1"/>
        <v>0</v>
      </c>
      <c r="BP17" s="2">
        <f t="shared" ca="1" si="1"/>
        <v>0</v>
      </c>
      <c r="BQ17" s="2">
        <f t="shared" ca="1" si="1"/>
        <v>0</v>
      </c>
    </row>
    <row r="18" spans="2:69" outlineLevel="1"/>
    <row r="19" spans="2:69" outlineLevel="1"/>
    <row r="20" spans="2:69" outlineLevel="1">
      <c r="B20" s="27" t="s">
        <v>84</v>
      </c>
    </row>
    <row r="21" spans="2:69" outlineLevel="2">
      <c r="E21" s="2" t="str">
        <f t="shared" ref="E21:BQ21" si="2" xml:space="preserve">  E$17</f>
        <v>Balance Sheet Balances</v>
      </c>
      <c r="F21" s="2">
        <f t="shared" si="2"/>
        <v>0</v>
      </c>
      <c r="G21" s="2" t="str">
        <f t="shared" si="2"/>
        <v>Check</v>
      </c>
      <c r="H21" s="2">
        <f t="shared" si="2"/>
        <v>0</v>
      </c>
      <c r="I21" s="2">
        <f t="shared" si="2"/>
        <v>0</v>
      </c>
      <c r="J21" s="2">
        <f t="shared" ca="1" si="2"/>
        <v>0</v>
      </c>
      <c r="K21" s="2">
        <f t="shared" ca="1" si="2"/>
        <v>0</v>
      </c>
      <c r="L21" s="2">
        <f t="shared" ca="1" si="2"/>
        <v>0</v>
      </c>
      <c r="M21" s="2">
        <f t="shared" ca="1" si="2"/>
        <v>0</v>
      </c>
      <c r="N21" s="2">
        <f t="shared" ca="1" si="2"/>
        <v>0</v>
      </c>
      <c r="O21" s="2">
        <f t="shared" ca="1" si="2"/>
        <v>0</v>
      </c>
      <c r="P21" s="2">
        <f t="shared" ca="1" si="2"/>
        <v>0</v>
      </c>
      <c r="Q21" s="2">
        <f t="shared" ca="1" si="2"/>
        <v>0</v>
      </c>
      <c r="R21" s="2">
        <f t="shared" ca="1" si="2"/>
        <v>0</v>
      </c>
      <c r="S21" s="2">
        <f t="shared" ca="1" si="2"/>
        <v>0</v>
      </c>
      <c r="T21" s="2">
        <f t="shared" ca="1" si="2"/>
        <v>0</v>
      </c>
      <c r="U21" s="2">
        <f t="shared" ca="1" si="2"/>
        <v>0</v>
      </c>
      <c r="V21" s="2">
        <f t="shared" ca="1" si="2"/>
        <v>0</v>
      </c>
      <c r="W21" s="2">
        <f t="shared" ca="1" si="2"/>
        <v>0</v>
      </c>
      <c r="X21" s="2">
        <f t="shared" ca="1" si="2"/>
        <v>0</v>
      </c>
      <c r="Y21" s="2">
        <f t="shared" ca="1" si="2"/>
        <v>0</v>
      </c>
      <c r="Z21" s="2">
        <f t="shared" ca="1" si="2"/>
        <v>0</v>
      </c>
      <c r="AA21" s="2">
        <f t="shared" ca="1" si="2"/>
        <v>0</v>
      </c>
      <c r="AB21" s="2">
        <f t="shared" ca="1" si="2"/>
        <v>0</v>
      </c>
      <c r="AC21" s="2">
        <f t="shared" ca="1" si="2"/>
        <v>0</v>
      </c>
      <c r="AD21" s="2">
        <f t="shared" ca="1" si="2"/>
        <v>0</v>
      </c>
      <c r="AE21" s="2">
        <f t="shared" ca="1" si="2"/>
        <v>0</v>
      </c>
      <c r="AF21" s="2">
        <f t="shared" ca="1" si="2"/>
        <v>0</v>
      </c>
      <c r="AG21" s="2">
        <f t="shared" ca="1" si="2"/>
        <v>0</v>
      </c>
      <c r="AH21" s="2">
        <f t="shared" ca="1" si="2"/>
        <v>0</v>
      </c>
      <c r="AI21" s="2">
        <f t="shared" ca="1" si="2"/>
        <v>0</v>
      </c>
      <c r="AJ21" s="2">
        <f t="shared" ca="1" si="2"/>
        <v>0</v>
      </c>
      <c r="AK21" s="2">
        <f t="shared" ca="1" si="2"/>
        <v>0</v>
      </c>
      <c r="AL21" s="2">
        <f t="shared" ca="1" si="2"/>
        <v>0</v>
      </c>
      <c r="AM21" s="2">
        <f t="shared" ca="1" si="2"/>
        <v>0</v>
      </c>
      <c r="AN21" s="2">
        <f t="shared" ca="1" si="2"/>
        <v>0</v>
      </c>
      <c r="AO21" s="2">
        <f t="shared" ca="1" si="2"/>
        <v>0</v>
      </c>
      <c r="AP21" s="2">
        <f t="shared" ca="1" si="2"/>
        <v>0</v>
      </c>
      <c r="AQ21" s="2">
        <f t="shared" ca="1" si="2"/>
        <v>0</v>
      </c>
      <c r="AR21" s="2">
        <f t="shared" ca="1" si="2"/>
        <v>0</v>
      </c>
      <c r="AS21" s="2">
        <f t="shared" ca="1" si="2"/>
        <v>0</v>
      </c>
      <c r="AT21" s="2">
        <f t="shared" ca="1" si="2"/>
        <v>0</v>
      </c>
      <c r="AU21" s="2">
        <f t="shared" ca="1" si="2"/>
        <v>0</v>
      </c>
      <c r="AV21" s="2">
        <f t="shared" ca="1" si="2"/>
        <v>0</v>
      </c>
      <c r="AW21" s="2">
        <f t="shared" ca="1" si="2"/>
        <v>0</v>
      </c>
      <c r="AX21" s="2">
        <f t="shared" ca="1" si="2"/>
        <v>0</v>
      </c>
      <c r="AY21" s="2">
        <f t="shared" ca="1" si="2"/>
        <v>0</v>
      </c>
      <c r="AZ21" s="2">
        <f t="shared" ca="1" si="2"/>
        <v>0</v>
      </c>
      <c r="BA21" s="2">
        <f t="shared" ca="1" si="2"/>
        <v>0</v>
      </c>
      <c r="BB21" s="2">
        <f t="shared" ca="1" si="2"/>
        <v>0</v>
      </c>
      <c r="BC21" s="2">
        <f t="shared" ca="1" si="2"/>
        <v>0</v>
      </c>
      <c r="BD21" s="2">
        <f t="shared" ca="1" si="2"/>
        <v>0</v>
      </c>
      <c r="BE21" s="2">
        <f t="shared" ca="1" si="2"/>
        <v>0</v>
      </c>
      <c r="BF21" s="2">
        <f t="shared" ca="1" si="2"/>
        <v>0</v>
      </c>
      <c r="BG21" s="2">
        <f t="shared" ca="1" si="2"/>
        <v>0</v>
      </c>
      <c r="BH21" s="2">
        <f t="shared" ca="1" si="2"/>
        <v>0</v>
      </c>
      <c r="BI21" s="2">
        <f t="shared" ca="1" si="2"/>
        <v>0</v>
      </c>
      <c r="BJ21" s="2">
        <f t="shared" ca="1" si="2"/>
        <v>0</v>
      </c>
      <c r="BK21" s="2">
        <f t="shared" ca="1" si="2"/>
        <v>0</v>
      </c>
      <c r="BL21" s="2">
        <f t="shared" ca="1" si="2"/>
        <v>0</v>
      </c>
      <c r="BM21" s="2">
        <f t="shared" ca="1" si="2"/>
        <v>0</v>
      </c>
      <c r="BN21" s="2">
        <f t="shared" ca="1" si="2"/>
        <v>0</v>
      </c>
      <c r="BO21" s="2">
        <f t="shared" ca="1" si="2"/>
        <v>0</v>
      </c>
      <c r="BP21" s="2">
        <f t="shared" ca="1" si="2"/>
        <v>0</v>
      </c>
      <c r="BQ21" s="2">
        <f t="shared" ca="1" si="2"/>
        <v>0</v>
      </c>
    </row>
    <row r="22" spans="2:69" outlineLevel="2">
      <c r="E22" s="46" t="s">
        <v>84</v>
      </c>
      <c r="F22" s="2">
        <f ca="1" xml:space="preserve">  IF( MAX( $J21:$BQ21 ) &gt; 0, 1, 0 )</f>
        <v>0</v>
      </c>
      <c r="M22" s="2"/>
    </row>
    <row r="23" spans="2:69" outlineLevel="1"/>
    <row r="26" spans="2:69">
      <c r="B26" s="27" t="s">
        <v>265</v>
      </c>
    </row>
  </sheetData>
  <conditionalFormatting sqref="F2:F3 F10">
    <cfRule type="cellIs" dxfId="154" priority="1" stopIfTrue="1" operator="notEqual">
      <formula>0</formula>
    </cfRule>
    <cfRule type="cellIs" dxfId="153" priority="2" stopIfTrue="1" operator="equal">
      <formula>""</formula>
    </cfRule>
  </conditionalFormatting>
  <conditionalFormatting sqref="J3:BQ3">
    <cfRule type="cellIs" dxfId="152" priority="8" operator="equal">
      <formula>"PPA ext."</formula>
    </cfRule>
    <cfRule type="cellIs" dxfId="151" priority="9" operator="equal">
      <formula>"Delay"</formula>
    </cfRule>
    <cfRule type="cellIs" dxfId="150" priority="10" operator="equal">
      <formula>"Fin Close"</formula>
    </cfRule>
    <cfRule type="cellIs" dxfId="149" priority="11" stopIfTrue="1" operator="equal">
      <formula>"Construction"</formula>
    </cfRule>
    <cfRule type="cellIs" dxfId="148" priority="12" stopIfTrue="1" operator="equal">
      <formula>"Operations"</formula>
    </cfRule>
  </conditionalFormatting>
  <printOptions headings="1"/>
  <pageMargins left="0.74803149606299213" right="0.74803149606299213" top="0.98425196850393704" bottom="0.98425196850393704" header="0.51181102362204722" footer="0.51181102362204722"/>
  <pageSetup paperSize="9" scale="49" orientation="landscape" blackAndWhite="1"/>
  <headerFooter>
    <oddHeader>&amp;LPROJECT [XXX]&amp;CSheet:&amp;A&amp;RSTRICTLY CONFIDENTIAL</oddHeader>
    <oddFooter>&amp;L&amp;F ( Printed on &amp;D at &amp;T )&amp;RPage &amp;P of &amp;N</oddFooter>
  </headerFooter>
  <customProperties>
    <customPr name="MMGroup" r:id="rId1"/>
    <customPr name="MMSheetType" r:id="rId2"/>
    <customPr name="MMTimeAxis" r:id="rId3"/>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4F81BD"/>
    <outlinePr summaryBelow="0" summaryRight="0"/>
  </sheetPr>
  <dimension ref="A1:P22"/>
  <sheetViews>
    <sheetView showGridLines="0" tabSelected="1" zoomScale="80" workbookViewId="0">
      <pane xSplit="9" ySplit="5" topLeftCell="J6" activePane="bottomRight" state="frozen"/>
      <selection activeCell="J6" sqref="J6"/>
      <selection pane="topRight" activeCell="J6" sqref="J6"/>
      <selection pane="bottomLeft" activeCell="J6" sqref="J6"/>
      <selection pane="bottomRight" activeCell="L33" sqref="L33"/>
    </sheetView>
  </sheetViews>
  <sheetFormatPr defaultColWidth="0" defaultRowHeight="13.15"/>
  <cols>
    <col min="1" max="2" width="1.453125" style="24" customWidth="1"/>
    <col min="3" max="3" width="1.453125" style="49" customWidth="1"/>
    <col min="4" max="4" width="1.453125" style="76" customWidth="1"/>
    <col min="5" max="5" width="42.7265625" customWidth="1"/>
    <col min="6" max="6" width="20.54296875" bestFit="1" customWidth="1"/>
    <col min="7" max="7" width="15.7265625" bestFit="1" customWidth="1"/>
    <col min="8" max="8" width="14.6328125" style="43" bestFit="1" customWidth="1"/>
    <col min="9" max="9" width="3.453125" customWidth="1"/>
    <col min="10" max="12" width="13.7265625" bestFit="1" customWidth="1"/>
    <col min="13" max="13" width="14.26953125" bestFit="1" customWidth="1"/>
    <col min="14" max="14" width="14.6328125" bestFit="1" customWidth="1"/>
    <col min="15" max="16" width="15.08984375" customWidth="1"/>
    <col min="17" max="17" width="15.08984375" hidden="1" customWidth="1"/>
    <col min="18" max="16384" width="15.08984375" hidden="1"/>
  </cols>
  <sheetData>
    <row r="1" spans="1:16" s="75" customFormat="1" ht="25.15">
      <c r="A1" s="45" t="str">
        <f ca="1" xml:space="preserve"> RIGHT(CELL("filename", A1), LEN(CELL("filename", A1)) - SEARCH("]", CELL("filename", A1)))</f>
        <v>Income Statement Ann</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4" customFormat="1">
      <c r="A3" s="48"/>
      <c r="B3" s="48"/>
      <c r="C3" s="72"/>
      <c r="D3" s="73"/>
      <c r="E3" s="39" t="s">
        <v>203</v>
      </c>
      <c r="F3" s="51"/>
      <c r="G3" s="55" t="s">
        <v>97</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8" customFormat="1">
      <c r="A4" s="48"/>
      <c r="B4" s="48"/>
      <c r="C4" s="72"/>
      <c r="D4" s="73"/>
      <c r="E4" s="22" t="s">
        <v>325</v>
      </c>
      <c r="F4"/>
      <c r="G4"/>
      <c r="H4" s="50"/>
      <c r="I4" s="50"/>
      <c r="J4" s="28">
        <f xml:space="preserve"> Time!J$48</f>
        <v>12</v>
      </c>
      <c r="K4" s="28">
        <f xml:space="preserve"> Time!K$48</f>
        <v>24</v>
      </c>
      <c r="L4" s="28">
        <f xml:space="preserve"> Time!L$48</f>
        <v>36</v>
      </c>
      <c r="M4" s="28">
        <f xml:space="preserve"> Time!M$48</f>
        <v>48</v>
      </c>
      <c r="N4" s="28">
        <f xml:space="preserve"> Time!N$48</f>
        <v>60</v>
      </c>
    </row>
    <row r="5" spans="1:16" s="34" customFormat="1">
      <c r="A5" s="48"/>
      <c r="B5" s="48"/>
      <c r="C5" s="72"/>
      <c r="D5" s="73"/>
      <c r="E5" s="22" t="s">
        <v>305</v>
      </c>
      <c r="F5" s="24" t="s">
        <v>248</v>
      </c>
      <c r="G5" s="24" t="s">
        <v>224</v>
      </c>
      <c r="H5" s="24" t="s">
        <v>202</v>
      </c>
      <c r="I5" s="50"/>
      <c r="J5" s="15"/>
      <c r="K5" s="15"/>
      <c r="L5" s="15"/>
      <c r="M5" s="15"/>
      <c r="N5" s="15"/>
      <c r="O5" s="15"/>
      <c r="P5" s="15"/>
    </row>
    <row r="6" spans="1:16" s="43" customFormat="1">
      <c r="A6" s="24"/>
      <c r="B6" s="24"/>
      <c r="C6" s="49"/>
      <c r="D6" s="70"/>
      <c r="F6" s="24"/>
      <c r="G6" s="24"/>
      <c r="H6" s="24"/>
    </row>
    <row r="8" spans="1:16">
      <c r="E8" s="16" t="str">
        <f xml:space="preserve"> Income!E$18</f>
        <v>Income</v>
      </c>
      <c r="F8" s="16">
        <f xml:space="preserve"> Income!F$18</f>
        <v>0</v>
      </c>
      <c r="G8" s="16" t="str">
        <f xml:space="preserve"> Income!G$18</f>
        <v>GBP</v>
      </c>
      <c r="H8" s="42">
        <f ca="1" xml:space="preserve"> Income!H$18</f>
        <v>36564748.008238308</v>
      </c>
      <c r="I8" s="16">
        <f xml:space="preserve"> Income!I$18</f>
        <v>0</v>
      </c>
      <c r="J8" s="9">
        <f ca="1" xml:space="preserve"> SUMIF( Time!$J291:$BQ291, Time!J$28, Income!$J18:$BQ18)</f>
        <v>289722.98107717151</v>
      </c>
      <c r="K8" s="9">
        <f ca="1" xml:space="preserve"> SUMIF( Time!$J291:$BQ291, Time!K$28, Income!$J18:$BQ18)</f>
        <v>1733082.2399963741</v>
      </c>
      <c r="L8" s="9">
        <f ca="1" xml:space="preserve"> SUMIF( Time!$J291:$BQ291, Time!L$28, Income!$J18:$BQ18)</f>
        <v>4465743.6124945106</v>
      </c>
      <c r="M8" s="9">
        <f ca="1" xml:space="preserve"> SUMIF( Time!$J291:$BQ291, Time!M$28, Income!$J18:$BQ18)</f>
        <v>9784920.3771934006</v>
      </c>
      <c r="N8" s="9">
        <f ca="1" xml:space="preserve"> SUMIF( Time!$J291:$BQ291, Time!N$28, Income!$J18:$BQ18)</f>
        <v>20291278.797476858</v>
      </c>
    </row>
    <row r="9" spans="1:16">
      <c r="E9" s="16" t="str">
        <f xml:space="preserve"> Expense!E$27</f>
        <v xml:space="preserve">Variable Operating expense </v>
      </c>
      <c r="F9" s="16">
        <f xml:space="preserve"> Expense!F$27</f>
        <v>0</v>
      </c>
      <c r="G9" s="16" t="str">
        <f xml:space="preserve"> Expense!G$27</f>
        <v>GBP</v>
      </c>
      <c r="H9" s="42">
        <f ca="1" xml:space="preserve"> Expense!H$27</f>
        <v>-4525517.0946845738</v>
      </c>
      <c r="I9" s="16">
        <f xml:space="preserve"> Expense!I$27</f>
        <v>0</v>
      </c>
      <c r="J9" s="9">
        <f ca="1" xml:space="preserve"> SUMIF( Time!$J291:$BQ291, Time!J$28, Expense!$J27:$BQ27)</f>
        <v>-121298.68799564886</v>
      </c>
      <c r="K9" s="9">
        <f ca="1" xml:space="preserve"> SUMIF( Time!$J291:$BQ291, Time!K$28, Expense!$J27:$BQ27)</f>
        <v>-242739.33839410261</v>
      </c>
      <c r="L9" s="9">
        <f ca="1" xml:space="preserve"> SUMIF( Time!$J291:$BQ291, Time!L$28, Expense!$J27:$BQ27)</f>
        <v>-594575.55325138732</v>
      </c>
      <c r="M9" s="9">
        <f ca="1" xml:space="preserve"> SUMIF( Time!$J291:$BQ291, Time!M$28, Expense!$J27:$BQ27)</f>
        <v>-1189171.9719731824</v>
      </c>
      <c r="N9" s="9">
        <f ca="1" xml:space="preserve"> SUMIF( Time!$J291:$BQ291, Time!N$28, Expense!$J27:$BQ27)</f>
        <v>-2377731.5430702525</v>
      </c>
    </row>
    <row r="10" spans="1:16">
      <c r="E10" s="16" t="str">
        <f xml:space="preserve"> Expense!E$20</f>
        <v xml:space="preserve">Fixed operating expense </v>
      </c>
      <c r="F10" s="16">
        <f xml:space="preserve"> Expense!F$20</f>
        <v>0</v>
      </c>
      <c r="G10" s="16" t="str">
        <f xml:space="preserve"> Expense!G$20</f>
        <v>GBP</v>
      </c>
      <c r="H10" s="42">
        <f xml:space="preserve"> Expense!H$20</f>
        <v>-3419071.4947073567</v>
      </c>
      <c r="I10" s="16">
        <f xml:space="preserve"> Expense!I$20</f>
        <v>0</v>
      </c>
      <c r="J10" s="9">
        <f xml:space="preserve"> SUMIF( Time!$J291:$BQ291, Time!J$28, Expense!$J20:$BQ20)</f>
        <v>-560015.74181995587</v>
      </c>
      <c r="K10" s="9">
        <f xml:space="preserve"> SUMIF( Time!$J291:$BQ291, Time!K$28, Expense!$J20:$BQ20)</f>
        <v>-616059.48877873819</v>
      </c>
      <c r="L10" s="9">
        <f xml:space="preserve"> SUMIF( Time!$J291:$BQ291, Time!L$28, Expense!$J20:$BQ20)</f>
        <v>-677665.77380683355</v>
      </c>
      <c r="M10" s="9">
        <f xml:space="preserve"> SUMIF( Time!$J291:$BQ291, Time!M$28, Expense!$J20:$BQ20)</f>
        <v>-745420.29249841766</v>
      </c>
      <c r="N10" s="9">
        <f xml:space="preserve"> SUMIF( Time!$J291:$BQ291, Time!N$28, Expense!$J20:$BQ20)</f>
        <v>-819910.1978034121</v>
      </c>
    </row>
    <row r="11" spans="1:16">
      <c r="E11" s="12" t="s">
        <v>176</v>
      </c>
      <c r="F11" s="32"/>
      <c r="G11" s="12" t="s">
        <v>252</v>
      </c>
      <c r="H11" s="54">
        <f ca="1" xml:space="preserve"> SUM( J11:BQ11 )</f>
        <v>28620159.418846376</v>
      </c>
      <c r="I11" s="32"/>
      <c r="J11" s="12">
        <f ca="1" xml:space="preserve"> SUMIF( Time!$J291:$BQ291, Time!J$28, 'Income Statement'!$J11:$BQ11)</f>
        <v>-391591.44873843325</v>
      </c>
      <c r="K11" s="12">
        <f ca="1" xml:space="preserve"> SUMIF( Time!$J291:$BQ291, Time!K$28, 'Income Statement'!$J11:$BQ11)</f>
        <v>874283.41282353317</v>
      </c>
      <c r="L11" s="12">
        <f ca="1" xml:space="preserve"> SUMIF( Time!$J291:$BQ291, Time!L$28, 'Income Statement'!$J11:$BQ11)</f>
        <v>3193502.2854362899</v>
      </c>
      <c r="M11" s="12">
        <f ca="1" xml:space="preserve"> SUMIF( Time!$J291:$BQ291, Time!M$28, 'Income Statement'!$J11:$BQ11)</f>
        <v>7850328.1127217989</v>
      </c>
      <c r="N11" s="12">
        <f ca="1" xml:space="preserve"> SUMIF( Time!$J291:$BQ291, Time!N$28, 'Income Statement'!$J11:$BQ11)</f>
        <v>17093637.05660319</v>
      </c>
    </row>
    <row r="13" spans="1:16">
      <c r="E13" s="16" t="str">
        <f xml:space="preserve"> Assets!E$12</f>
        <v xml:space="preserve">Depreciation this period </v>
      </c>
      <c r="F13" s="16">
        <f xml:space="preserve"> Assets!F$12</f>
        <v>0</v>
      </c>
      <c r="G13" s="16" t="str">
        <f xml:space="preserve"> Assets!G$12</f>
        <v>GBP</v>
      </c>
      <c r="H13" s="42">
        <f ca="1" xml:space="preserve"> Assets!H$12</f>
        <v>-3718654.3045475697</v>
      </c>
      <c r="I13" s="16">
        <f xml:space="preserve"> Assets!I$12</f>
        <v>0</v>
      </c>
      <c r="J13" s="9">
        <f ca="1" xml:space="preserve"> SUMIF( Time!$J291:$BQ291, Time!J$28, Assets!$J12:$BQ12)</f>
        <v>-116666.66666666666</v>
      </c>
      <c r="K13" s="9">
        <f ca="1" xml:space="preserve"> SUMIF( Time!$J291:$BQ291, Time!K$28, Assets!$J12:$BQ12)</f>
        <v>-328124.99999999994</v>
      </c>
      <c r="L13" s="9">
        <f ca="1" xml:space="preserve"> SUMIF( Time!$J291:$BQ291, Time!L$28, Assets!$J12:$BQ12)</f>
        <v>-633545.46931534389</v>
      </c>
      <c r="M13" s="9">
        <f ca="1" xml:space="preserve"> SUMIF( Time!$J291:$BQ291, Time!M$28, Assets!$J12:$BQ12)</f>
        <v>-1053985.7271819548</v>
      </c>
      <c r="N13" s="9">
        <f ca="1" xml:space="preserve"> SUMIF( Time!$J291:$BQ291, Time!N$28, Assets!$J12:$BQ12)</f>
        <v>-1586331.4413836035</v>
      </c>
    </row>
    <row r="14" spans="1:16">
      <c r="E14" s="12" t="s">
        <v>63</v>
      </c>
      <c r="F14" s="32"/>
      <c r="G14" s="12" t="s">
        <v>252</v>
      </c>
      <c r="H14" s="54">
        <f ca="1" xml:space="preserve"> SUM( J14:BQ14 )</f>
        <v>24901505.114298813</v>
      </c>
      <c r="I14" s="32"/>
      <c r="J14" s="12">
        <f ca="1" xml:space="preserve"> SUMIF( Time!$J291:$BQ291, Time!J$28, 'Income Statement'!$J14:$BQ14)</f>
        <v>-508258.11540509987</v>
      </c>
      <c r="K14" s="12">
        <f ca="1" xml:space="preserve"> SUMIF( Time!$J291:$BQ291, Time!K$28, 'Income Statement'!$J14:$BQ14)</f>
        <v>546158.41282353329</v>
      </c>
      <c r="L14" s="12">
        <f ca="1" xml:space="preserve"> SUMIF( Time!$J291:$BQ291, Time!L$28, 'Income Statement'!$J14:$BQ14)</f>
        <v>2559956.8161209463</v>
      </c>
      <c r="M14" s="12">
        <f ca="1" xml:space="preserve"> SUMIF( Time!$J291:$BQ291, Time!M$28, 'Income Statement'!$J14:$BQ14)</f>
        <v>6796342.3855398446</v>
      </c>
      <c r="N14" s="12">
        <f ca="1" xml:space="preserve"> SUMIF( Time!$J291:$BQ291, Time!N$28, 'Income Statement'!$J14:$BQ14)</f>
        <v>15507305.615219589</v>
      </c>
    </row>
    <row r="16" spans="1:16">
      <c r="E16" s="16" t="str">
        <f xml:space="preserve"> 'Supply Chain finance'!E$42</f>
        <v xml:space="preserve">Supply Chain Finance interest </v>
      </c>
      <c r="F16" s="16">
        <f xml:space="preserve"> 'Supply Chain finance'!F$42</f>
        <v>0</v>
      </c>
      <c r="G16" s="16" t="str">
        <f xml:space="preserve"> 'Supply Chain finance'!G$42</f>
        <v>GBP</v>
      </c>
      <c r="H16" s="42">
        <f ca="1" xml:space="preserve"> 'Supply Chain finance'!H$42</f>
        <v>0</v>
      </c>
      <c r="I16" s="16">
        <f xml:space="preserve"> 'Supply Chain finance'!I$42</f>
        <v>0</v>
      </c>
      <c r="J16" s="9">
        <f ca="1" xml:space="preserve"> SUMIF( Time!$J291:$BQ291, Time!J$28, 'Supply Chain finance'!$J42:$BQ42)</f>
        <v>0</v>
      </c>
      <c r="K16" s="9">
        <f ca="1" xml:space="preserve"> SUMIF( Time!$J291:$BQ291, Time!K$28, 'Supply Chain finance'!$J42:$BQ42)</f>
        <v>0</v>
      </c>
      <c r="L16" s="9">
        <f ca="1" xml:space="preserve"> SUMIF( Time!$J291:$BQ291, Time!L$28, 'Supply Chain finance'!$J42:$BQ42)</f>
        <v>0</v>
      </c>
      <c r="M16" s="9">
        <f ca="1" xml:space="preserve"> SUMIF( Time!$J291:$BQ291, Time!M$28, 'Supply Chain finance'!$J42:$BQ42)</f>
        <v>0</v>
      </c>
      <c r="N16" s="9">
        <f ca="1" xml:space="preserve"> SUMIF( Time!$J291:$BQ291, Time!N$28, 'Supply Chain finance'!$J42:$BQ42)</f>
        <v>0</v>
      </c>
    </row>
    <row r="17" spans="5:14">
      <c r="E17" s="16" t="str">
        <f xml:space="preserve"> 'Invoice finance'!E$41</f>
        <v xml:space="preserve">Invoice finance interest </v>
      </c>
      <c r="F17" s="16">
        <f xml:space="preserve"> 'Invoice finance'!F$41</f>
        <v>0</v>
      </c>
      <c r="G17" s="16" t="str">
        <f xml:space="preserve"> 'Invoice finance'!G$41</f>
        <v>GBP</v>
      </c>
      <c r="H17" s="42">
        <f ca="1" xml:space="preserve"> 'Invoice finance'!H$41</f>
        <v>0</v>
      </c>
      <c r="I17" s="16">
        <f xml:space="preserve"> 'Invoice finance'!I$41</f>
        <v>0</v>
      </c>
      <c r="J17" s="9">
        <f ca="1" xml:space="preserve"> SUMIF( Time!$J291:$BQ291, Time!J$28, 'Invoice finance'!$J41:$BQ41)</f>
        <v>0</v>
      </c>
      <c r="K17" s="9">
        <f ca="1" xml:space="preserve"> SUMIF( Time!$J291:$BQ291, Time!K$28, 'Invoice finance'!$J41:$BQ41)</f>
        <v>0</v>
      </c>
      <c r="L17" s="9">
        <f ca="1" xml:space="preserve"> SUMIF( Time!$J291:$BQ291, Time!L$28, 'Invoice finance'!$J41:$BQ41)</f>
        <v>0</v>
      </c>
      <c r="M17" s="9">
        <f ca="1" xml:space="preserve"> SUMIF( Time!$J291:$BQ291, Time!M$28, 'Invoice finance'!$J41:$BQ41)</f>
        <v>0</v>
      </c>
      <c r="N17" s="9">
        <f ca="1" xml:space="preserve"> SUMIF( Time!$J291:$BQ291, Time!N$28, 'Invoice finance'!$J41:$BQ41)</f>
        <v>0</v>
      </c>
    </row>
    <row r="18" spans="5:14">
      <c r="E18" s="16" t="str">
        <f xml:space="preserve"> 'Asset Finance'!E$42</f>
        <v xml:space="preserve">Asset Finance interest </v>
      </c>
      <c r="F18" s="16">
        <f xml:space="preserve"> 'Asset Finance'!F$42</f>
        <v>0</v>
      </c>
      <c r="G18" s="16" t="str">
        <f xml:space="preserve"> 'Asset Finance'!G$42</f>
        <v>GBP</v>
      </c>
      <c r="H18" s="42">
        <f ca="1" xml:space="preserve"> 'Asset Finance'!H$42</f>
        <v>-450644.387972205</v>
      </c>
      <c r="I18" s="16">
        <f xml:space="preserve"> 'Asset Finance'!I$42</f>
        <v>0</v>
      </c>
      <c r="J18" s="9">
        <f ca="1" xml:space="preserve"> SUMIF( Time!$J291:$BQ291, Time!J$28, 'Asset Finance'!$J42:$BQ42)</f>
        <v>-15834.690764259174</v>
      </c>
      <c r="K18" s="9">
        <f ca="1" xml:space="preserve"> SUMIF( Time!$J291:$BQ291, Time!K$28, 'Asset Finance'!$J42:$BQ42)</f>
        <v>-37101.134654200752</v>
      </c>
      <c r="L18" s="9">
        <f ca="1" xml:space="preserve"> SUMIF( Time!$J291:$BQ291, Time!L$28, 'Asset Finance'!$J42:$BQ42)</f>
        <v>-69604.996622733452</v>
      </c>
      <c r="M18" s="9">
        <f ca="1" xml:space="preserve"> SUMIF( Time!$J291:$BQ291, Time!M$28, 'Asset Finance'!$J42:$BQ42)</f>
        <v>-124496.65877311684</v>
      </c>
      <c r="N18" s="9">
        <f ca="1" xml:space="preserve"> SUMIF( Time!$J291:$BQ291, Time!N$28, 'Asset Finance'!$J42:$BQ42)</f>
        <v>-203606.90715789475</v>
      </c>
    </row>
    <row r="19" spans="5:14">
      <c r="E19" s="12" t="s">
        <v>177</v>
      </c>
      <c r="F19" s="32"/>
      <c r="G19" s="12" t="s">
        <v>252</v>
      </c>
      <c r="H19" s="54">
        <f ca="1" xml:space="preserve"> SUM( J19:BQ19 )</f>
        <v>24450860.726326607</v>
      </c>
      <c r="I19" s="32"/>
      <c r="J19" s="12">
        <f ca="1" xml:space="preserve"> SUMIF( Time!$J291:$BQ291, Time!J$28, 'Income Statement'!$J19:$BQ19)</f>
        <v>-524092.80616935901</v>
      </c>
      <c r="K19" s="12">
        <f ca="1" xml:space="preserve"> SUMIF( Time!$J291:$BQ291, Time!K$28, 'Income Statement'!$J19:$BQ19)</f>
        <v>509057.27816933248</v>
      </c>
      <c r="L19" s="12">
        <f ca="1" xml:space="preserve"> SUMIF( Time!$J291:$BQ291, Time!L$28, 'Income Statement'!$J19:$BQ19)</f>
        <v>2490351.8194982125</v>
      </c>
      <c r="M19" s="12">
        <f ca="1" xml:space="preserve"> SUMIF( Time!$J291:$BQ291, Time!M$28, 'Income Statement'!$J19:$BQ19)</f>
        <v>6671845.7267667279</v>
      </c>
      <c r="N19" s="12">
        <f ca="1" xml:space="preserve"> SUMIF( Time!$J291:$BQ291, Time!N$28, 'Income Statement'!$J19:$BQ19)</f>
        <v>15303698.708061695</v>
      </c>
    </row>
    <row r="21" spans="5:14">
      <c r="E21" s="16" t="str">
        <f xml:space="preserve"> 'Corporation tax'!E$48</f>
        <v xml:space="preserve">Corporation tax </v>
      </c>
      <c r="F21" s="16">
        <f xml:space="preserve"> 'Corporation tax'!F$48</f>
        <v>0</v>
      </c>
      <c r="G21" s="16" t="str">
        <f xml:space="preserve"> 'Corporation tax'!G$48</f>
        <v>GBP</v>
      </c>
      <c r="H21" s="42">
        <f ca="1" xml:space="preserve"> 'Corporation tax'!H$48</f>
        <v>-5734471.8837692766</v>
      </c>
      <c r="I21" s="16">
        <f xml:space="preserve"> 'Corporation tax'!I$48</f>
        <v>0</v>
      </c>
      <c r="J21" s="9">
        <f ca="1" xml:space="preserve"> SUMIF( Time!$J291:$BQ291, Time!J$28, 'Corporation tax'!$J48:$BQ48)</f>
        <v>0</v>
      </c>
      <c r="K21" s="9">
        <f ca="1" xml:space="preserve"> SUMIF( Time!$J291:$BQ291, Time!K$28, 'Corporation tax'!$J48:$BQ48)</f>
        <v>-106978.39281702002</v>
      </c>
      <c r="L21" s="9">
        <f ca="1" xml:space="preserve"> SUMIF( Time!$J291:$BQ291, Time!L$28, 'Corporation tax'!$J48:$BQ48)</f>
        <v>-638700.45708725823</v>
      </c>
      <c r="M21" s="9">
        <f ca="1" xml:space="preserve"> SUMIF( Time!$J291:$BQ291, Time!M$28, 'Corporation tax'!$J48:$BQ48)</f>
        <v>-1570065.6225443601</v>
      </c>
      <c r="N21" s="9">
        <f ca="1" xml:space="preserve"> SUMIF( Time!$J291:$BQ291, Time!N$28, 'Corporation tax'!$J48:$BQ48)</f>
        <v>-3418727.4113206393</v>
      </c>
    </row>
    <row r="22" spans="5:14">
      <c r="E22" s="12" t="s">
        <v>38</v>
      </c>
      <c r="F22" s="32"/>
      <c r="G22" s="12" t="s">
        <v>252</v>
      </c>
      <c r="H22" s="54">
        <f ca="1" xml:space="preserve"> SUM( J22:BQ22 )</f>
        <v>18716388.842557333</v>
      </c>
      <c r="I22" s="32"/>
      <c r="J22" s="12">
        <f ca="1" xml:space="preserve"> SUMIF( Time!$J291:$BQ291, Time!J$28, 'Income Statement'!$J22:$BQ22)</f>
        <v>-524092.80616935901</v>
      </c>
      <c r="K22" s="12">
        <f ca="1" xml:space="preserve"> SUMIF( Time!$J291:$BQ291, Time!K$28, 'Income Statement'!$J22:$BQ22)</f>
        <v>402078.88535231253</v>
      </c>
      <c r="L22" s="12">
        <f ca="1" xml:space="preserve"> SUMIF( Time!$J291:$BQ291, Time!L$28, 'Income Statement'!$J22:$BQ22)</f>
        <v>1851651.3624109549</v>
      </c>
      <c r="M22" s="12">
        <f ca="1" xml:space="preserve"> SUMIF( Time!$J291:$BQ291, Time!M$28, 'Income Statement'!$J22:$BQ22)</f>
        <v>5101780.1042223684</v>
      </c>
      <c r="N22" s="12">
        <f ca="1" xml:space="preserve"> SUMIF( Time!$J291:$BQ291, Time!N$28, 'Income Statement'!$J22:$BQ22)</f>
        <v>11884971.296741055</v>
      </c>
    </row>
  </sheetData>
  <conditionalFormatting sqref="F2:F3">
    <cfRule type="cellIs" dxfId="147" priority="1" stopIfTrue="1" operator="notEqual">
      <formula>0</formula>
    </cfRule>
    <cfRule type="cellIs" dxfId="146" priority="2" stopIfTrue="1" operator="equal">
      <formula>""</formula>
    </cfRule>
  </conditionalFormatting>
  <conditionalFormatting sqref="J3:P3">
    <cfRule type="cellIs" dxfId="145" priority="3" operator="equal">
      <formula>"PPA ext."</formula>
    </cfRule>
    <cfRule type="cellIs" dxfId="144" priority="4" operator="equal">
      <formula>"Delay"</formula>
    </cfRule>
    <cfRule type="cellIs" dxfId="143" priority="5" operator="equal">
      <formula>"Fin Close"</formula>
    </cfRule>
    <cfRule type="cellIs" dxfId="142" priority="6" stopIfTrue="1" operator="equal">
      <formula>"Construction"</formula>
    </cfRule>
    <cfRule type="cellIs" dxfId="14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08984375"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7.6328125" style="43" bestFit="1" customWidth="1"/>
    <col min="9" max="9" width="3.453125" customWidth="1"/>
    <col min="10" max="12" width="11.81640625" bestFit="1" customWidth="1"/>
    <col min="13" max="14" width="13.1796875" bestFit="1" customWidth="1"/>
    <col min="15" max="16" width="15.08984375" customWidth="1"/>
  </cols>
  <sheetData>
    <row r="1" spans="1:16" s="75" customFormat="1" ht="25.15">
      <c r="A1" s="45" t="str">
        <f ca="1" xml:space="preserve"> RIGHT(CELL("filename", A1), LEN(CELL("filename", A1)) - SEARCH("]", CELL("filename", A1)))</f>
        <v>Balance Sheet Ann</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4" customFormat="1">
      <c r="A3" s="48"/>
      <c r="B3" s="48"/>
      <c r="C3" s="72"/>
      <c r="D3" s="73"/>
      <c r="E3" s="39" t="s">
        <v>203</v>
      </c>
      <c r="F3" s="51"/>
      <c r="G3" s="55" t="s">
        <v>97</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8" customFormat="1">
      <c r="A4" s="48"/>
      <c r="B4" s="48"/>
      <c r="C4" s="72"/>
      <c r="D4" s="73"/>
      <c r="E4" s="22" t="s">
        <v>325</v>
      </c>
      <c r="F4"/>
      <c r="G4"/>
      <c r="H4" s="50"/>
      <c r="I4" s="50"/>
      <c r="J4" s="28">
        <f xml:space="preserve"> Time!J$48</f>
        <v>12</v>
      </c>
      <c r="K4" s="28">
        <f xml:space="preserve"> Time!K$48</f>
        <v>24</v>
      </c>
      <c r="L4" s="28">
        <f xml:space="preserve"> Time!L$48</f>
        <v>36</v>
      </c>
      <c r="M4" s="28">
        <f xml:space="preserve"> Time!M$48</f>
        <v>48</v>
      </c>
      <c r="N4" s="28">
        <f xml:space="preserve"> Time!N$48</f>
        <v>60</v>
      </c>
    </row>
    <row r="5" spans="1:16" s="34" customFormat="1">
      <c r="A5" s="48"/>
      <c r="B5" s="48"/>
      <c r="C5" s="72"/>
      <c r="D5" s="73"/>
      <c r="E5" s="22" t="s">
        <v>305</v>
      </c>
      <c r="F5" s="24" t="s">
        <v>248</v>
      </c>
      <c r="G5" s="24" t="s">
        <v>224</v>
      </c>
      <c r="H5" s="24" t="s">
        <v>202</v>
      </c>
      <c r="I5" s="50"/>
      <c r="J5" s="15"/>
      <c r="K5" s="15"/>
      <c r="L5" s="15"/>
      <c r="M5" s="15"/>
      <c r="N5" s="15"/>
      <c r="O5" s="15"/>
      <c r="P5" s="15"/>
    </row>
    <row r="6" spans="1:16" s="43" customFormat="1">
      <c r="A6" s="24"/>
      <c r="B6" s="24"/>
      <c r="C6" s="49"/>
      <c r="D6" s="70"/>
      <c r="F6" s="24"/>
      <c r="G6" s="24"/>
      <c r="H6" s="24"/>
    </row>
    <row r="8" spans="1:16">
      <c r="E8" s="16" t="str">
        <f xml:space="preserve"> Assets!E$21</f>
        <v>Inventory</v>
      </c>
      <c r="F8" s="16">
        <f xml:space="preserve"> Assets!F$21</f>
        <v>0</v>
      </c>
      <c r="G8" s="16" t="str">
        <f xml:space="preserve"> Assets!G$21</f>
        <v>GBP</v>
      </c>
      <c r="H8" s="42">
        <f xml:space="preserve"> Assets!H$21</f>
        <v>0</v>
      </c>
      <c r="I8" s="16">
        <f xml:space="preserve"> Assets!I$21</f>
        <v>0</v>
      </c>
      <c r="J8" s="9">
        <f ca="1" xml:space="preserve"> SUMIF( Time!$J296:$BQ296, Time!J$28, Assets!$J21:$BQ21)</f>
        <v>350000</v>
      </c>
      <c r="K8" s="9">
        <f ca="1" xml:space="preserve"> SUMIF( Time!$J296:$BQ296, Time!K$28, Assets!$J21:$BQ21)</f>
        <v>1050000</v>
      </c>
      <c r="L8" s="9">
        <f ca="1" xml:space="preserve"> SUMIF( Time!$J296:$BQ296, Time!L$28, Assets!$J21:$BQ21)</f>
        <v>1630176.8000105759</v>
      </c>
      <c r="M8" s="9">
        <f ca="1" xml:space="preserve"> SUMIF( Time!$J296:$BQ296, Time!M$28, Assets!$J21:$BQ21)</f>
        <v>2790185.3525249097</v>
      </c>
      <c r="N8" s="9">
        <f ca="1" xml:space="preserve"> SUMIF( Time!$J296:$BQ296, Time!N$28, Assets!$J21:$BQ21)</f>
        <v>3445036.4383722316</v>
      </c>
    </row>
    <row r="9" spans="1:16">
      <c r="E9" s="16" t="str">
        <f xml:space="preserve"> Assets!E$30</f>
        <v xml:space="preserve">Depreciation </v>
      </c>
      <c r="F9" s="16">
        <f xml:space="preserve"> Assets!F$30</f>
        <v>0</v>
      </c>
      <c r="G9" s="16" t="str">
        <f xml:space="preserve"> Assets!G$30</f>
        <v>GBP</v>
      </c>
      <c r="H9" s="42">
        <f xml:space="preserve"> Assets!H$30</f>
        <v>0</v>
      </c>
      <c r="I9" s="16">
        <f xml:space="preserve"> Assets!I$30</f>
        <v>0</v>
      </c>
      <c r="J9" s="9">
        <f ca="1" xml:space="preserve"> SUMIF( Time!$J296:$BQ296, Time!J$28, Assets!$J30:$BQ30)</f>
        <v>-116666.66666666666</v>
      </c>
      <c r="K9" s="9">
        <f ca="1" xml:space="preserve"> SUMIF( Time!$J296:$BQ296, Time!K$28, Assets!$J30:$BQ30)</f>
        <v>-444791.66666666663</v>
      </c>
      <c r="L9" s="9">
        <f ca="1" xml:space="preserve"> SUMIF( Time!$J296:$BQ296, Time!L$28, Assets!$J30:$BQ30)</f>
        <v>-783513.93599258631</v>
      </c>
      <c r="M9" s="9">
        <f ca="1" xml:space="preserve"> SUMIF( Time!$J296:$BQ296, Time!M$28, Assets!$J30:$BQ30)</f>
        <v>-1247508.2156888754</v>
      </c>
      <c r="N9" s="9">
        <f ca="1" xml:space="preserve"> SUMIF( Time!$J296:$BQ296, Time!N$28, Assets!$J30:$BQ30)</f>
        <v>-1388690.7429198015</v>
      </c>
    </row>
    <row r="10" spans="1:16">
      <c r="E10" s="16" t="str">
        <f xml:space="preserve"> 'Working Capital'!E$45</f>
        <v>Debtors</v>
      </c>
      <c r="F10" s="16">
        <f xml:space="preserve"> 'Working Capital'!F$45</f>
        <v>0</v>
      </c>
      <c r="G10" s="16" t="str">
        <f xml:space="preserve"> 'Working Capital'!G$45</f>
        <v>GBP</v>
      </c>
      <c r="H10" s="42">
        <f xml:space="preserve"> 'Working Capital'!H$45</f>
        <v>0</v>
      </c>
      <c r="I10" s="16">
        <f xml:space="preserve"> 'Working Capital'!I$45</f>
        <v>0</v>
      </c>
      <c r="J10" s="9">
        <f ca="1" xml:space="preserve"> SUMIF( Time!$J296:$BQ296, Time!J$28, 'Working Capital'!$J45:$BQ45)</f>
        <v>-6.3664629124104977E-11</v>
      </c>
      <c r="K10" s="9">
        <f ca="1" xml:space="preserve"> SUMIF( Time!$J296:$BQ296, Time!K$28, 'Working Capital'!$J45:$BQ45)</f>
        <v>864000</v>
      </c>
      <c r="L10" s="9">
        <f ca="1" xml:space="preserve"> SUMIF( Time!$J296:$BQ296, Time!L$28, 'Working Capital'!$J45:$BQ45)</f>
        <v>2327752.7966961241</v>
      </c>
      <c r="M10" s="9">
        <f ca="1" xml:space="preserve"> SUMIF( Time!$J296:$BQ296, Time!M$28, 'Working Capital'!$J45:$BQ45)</f>
        <v>3527977.4326262358</v>
      </c>
      <c r="N10" s="9">
        <f ca="1" xml:space="preserve"> SUMIF( Time!$J296:$BQ296, Time!N$28, 'Working Capital'!$J45:$BQ45)</f>
        <v>6731994.6507732924</v>
      </c>
    </row>
    <row r="11" spans="1:16">
      <c r="E11" s="16" t="str">
        <f xml:space="preserve"> Financials!E$13</f>
        <v>Cash</v>
      </c>
      <c r="F11" s="16">
        <f xml:space="preserve"> Financials!F$13</f>
        <v>0</v>
      </c>
      <c r="G11" s="16" t="str">
        <f xml:space="preserve"> Financials!G$13</f>
        <v>GBP</v>
      </c>
      <c r="H11" s="42">
        <f xml:space="preserve"> Financials!H$13</f>
        <v>0</v>
      </c>
      <c r="I11" s="16">
        <f xml:space="preserve"> Financials!I$13</f>
        <v>0</v>
      </c>
      <c r="J11" s="9">
        <f ca="1" xml:space="preserve"> SUMIF( Time!$J296:$BQ296, Time!J$28, Financials!$J13:$BQ13)</f>
        <v>85687.307120060359</v>
      </c>
      <c r="K11" s="9">
        <f ca="1" xml:space="preserve"> SUMIF( Time!$J296:$BQ296, Time!K$28, Financials!$J13:$BQ13)</f>
        <v>1270059.1436541709</v>
      </c>
      <c r="L11" s="9">
        <f ca="1" xml:space="preserve"> SUMIF( Time!$J296:$BQ296, Time!L$28, Financials!$J13:$BQ13)</f>
        <v>5417962.1105279103</v>
      </c>
      <c r="M11" s="9">
        <f ca="1" xml:space="preserve"> SUMIF( Time!$J296:$BQ296, Time!M$28, Financials!$J13:$BQ13)</f>
        <v>14984790.399722619</v>
      </c>
      <c r="N11" s="9">
        <f ca="1" xml:space="preserve"> SUMIF( Time!$J296:$BQ296, Time!N$28, Financials!$J13:$BQ13)</f>
        <v>34145444.452532314</v>
      </c>
    </row>
    <row r="12" spans="1:16">
      <c r="E12" s="12" t="s">
        <v>85</v>
      </c>
      <c r="F12" s="32"/>
      <c r="G12" s="12" t="s">
        <v>252</v>
      </c>
      <c r="H12" s="54"/>
      <c r="I12" s="32"/>
      <c r="J12" s="12">
        <f ca="1" xml:space="preserve"> SUMIF( Time!$J296:$BQ296, Time!J$28, 'Balance Sheet'!$J12:$BQ12)</f>
        <v>319020.64045339363</v>
      </c>
      <c r="K12" s="12">
        <f ca="1" xml:space="preserve"> SUMIF( Time!$J296:$BQ296, Time!K$28, 'Balance Sheet'!$J12:$BQ12)</f>
        <v>2739267.4769875044</v>
      </c>
      <c r="L12" s="12">
        <f ca="1" xml:space="preserve"> SUMIF( Time!$J296:$BQ296, Time!L$28, 'Balance Sheet'!$J12:$BQ12)</f>
        <v>8592377.7712420244</v>
      </c>
      <c r="M12" s="12">
        <f ca="1" xml:space="preserve"> SUMIF( Time!$J296:$BQ296, Time!M$28, 'Balance Sheet'!$J12:$BQ12)</f>
        <v>20055444.96918489</v>
      </c>
      <c r="N12" s="12">
        <f ca="1" xml:space="preserve"> SUMIF( Time!$J296:$BQ296, Time!N$28, 'Balance Sheet'!$J12:$BQ12)</f>
        <v>42933784.798758037</v>
      </c>
    </row>
    <row r="14" spans="1:16">
      <c r="E14" s="16" t="str">
        <f xml:space="preserve"> Income!E$27</f>
        <v>Deferred Income</v>
      </c>
      <c r="F14" s="16">
        <f xml:space="preserve"> Income!F$27</f>
        <v>0</v>
      </c>
      <c r="G14" s="16" t="str">
        <f xml:space="preserve"> Income!G$27</f>
        <v>GBP</v>
      </c>
      <c r="H14" s="42">
        <f xml:space="preserve"> Income!H$27</f>
        <v>0</v>
      </c>
      <c r="I14" s="16">
        <f xml:space="preserve"> Income!I$27</f>
        <v>0</v>
      </c>
      <c r="J14" s="9">
        <f ca="1" xml:space="preserve"> SUMIF( Time!$J296:$BQ296, Time!J$28, Income!$J27:$BQ27)</f>
        <v>430277.01892282837</v>
      </c>
      <c r="K14" s="9">
        <f ca="1" xml:space="preserve"> SUMIF( Time!$J296:$BQ296, Time!K$28, Income!$J27:$BQ27)</f>
        <v>1577194.7789264543</v>
      </c>
      <c r="L14" s="9">
        <f ca="1" xml:space="preserve"> SUMIF( Time!$J296:$BQ296, Time!L$28, Income!$J27:$BQ27)</f>
        <v>4305331.5949776452</v>
      </c>
      <c r="M14" s="9">
        <f ca="1" xml:space="preserve"> SUMIF( Time!$J296:$BQ296, Time!M$28, Income!$J27:$BQ27)</f>
        <v>8456697.2648357581</v>
      </c>
      <c r="N14" s="9">
        <f ca="1" xml:space="preserve"> SUMIF( Time!$J296:$BQ296, Time!N$28, Income!$J27:$BQ27)</f>
        <v>16810162.851556987</v>
      </c>
    </row>
    <row r="15" spans="1:16">
      <c r="E15" s="16" t="str">
        <f xml:space="preserve"> 'Working Capital'!E$36</f>
        <v>Creditors</v>
      </c>
      <c r="F15" s="16">
        <f xml:space="preserve"> 'Working Capital'!F$36</f>
        <v>0</v>
      </c>
      <c r="G15" s="16" t="str">
        <f xml:space="preserve"> 'Working Capital'!G$36</f>
        <v>GBP</v>
      </c>
      <c r="H15" s="42">
        <f xml:space="preserve"> 'Working Capital'!H$36</f>
        <v>0</v>
      </c>
      <c r="I15" s="16">
        <f xml:space="preserve"> 'Working Capital'!I$36</f>
        <v>0</v>
      </c>
      <c r="J15" s="9">
        <f ca="1" xml:space="preserve"> SUMIF( Time!$J296:$BQ296, Time!J$28, 'Working Capital'!$J36:$BQ36)</f>
        <v>168000</v>
      </c>
      <c r="K15" s="9">
        <f ca="1" xml:space="preserve"> SUMIF( Time!$J296:$BQ296, Time!K$28, 'Working Capital'!$J36:$BQ36)</f>
        <v>357000</v>
      </c>
      <c r="L15" s="9">
        <f ca="1" xml:space="preserve"> SUMIF( Time!$J296:$BQ296, Time!L$28, 'Working Capital'!$J36:$BQ36)</f>
        <v>556500.00000000012</v>
      </c>
      <c r="M15" s="9">
        <f ca="1" xml:space="preserve"> SUMIF( Time!$J296:$BQ296, Time!M$28, 'Working Capital'!$J36:$BQ36)</f>
        <v>1102500</v>
      </c>
      <c r="N15" s="9">
        <f ca="1" xml:space="preserve"> SUMIF( Time!$J296:$BQ296, Time!N$28, 'Working Capital'!$J36:$BQ36)</f>
        <v>1228499.9999999986</v>
      </c>
    </row>
    <row r="16" spans="1:16">
      <c r="E16" s="16" t="str">
        <f xml:space="preserve"> 'Supply Chain finance'!E$15</f>
        <v>Supply Chain Finance balance</v>
      </c>
      <c r="F16" s="16">
        <f xml:space="preserve"> 'Supply Chain finance'!F$15</f>
        <v>0</v>
      </c>
      <c r="G16" s="16" t="str">
        <f xml:space="preserve"> 'Supply Chain finance'!G$15</f>
        <v>GBP</v>
      </c>
      <c r="H16" s="42">
        <f xml:space="preserve"> 'Supply Chain finance'!H$15</f>
        <v>0</v>
      </c>
      <c r="I16" s="16">
        <f xml:space="preserve"> 'Supply Chain finance'!I$15</f>
        <v>0</v>
      </c>
      <c r="J16" s="9">
        <f ca="1" xml:space="preserve"> SUMIF( Time!$J296:$BQ296, Time!J$28, 'Supply Chain finance'!$J15:$BQ15)</f>
        <v>0</v>
      </c>
      <c r="K16" s="9">
        <f ca="1" xml:space="preserve"> SUMIF( Time!$J296:$BQ296, Time!K$28, 'Supply Chain finance'!$J15:$BQ15)</f>
        <v>0</v>
      </c>
      <c r="L16" s="9">
        <f ca="1" xml:space="preserve"> SUMIF( Time!$J296:$BQ296, Time!L$28, 'Supply Chain finance'!$J15:$BQ15)</f>
        <v>0</v>
      </c>
      <c r="M16" s="9">
        <f ca="1" xml:space="preserve"> SUMIF( Time!$J296:$BQ296, Time!M$28, 'Supply Chain finance'!$J15:$BQ15)</f>
        <v>0</v>
      </c>
      <c r="N16" s="9">
        <f ca="1" xml:space="preserve"> SUMIF( Time!$J296:$BQ296, Time!N$28, 'Supply Chain finance'!$J15:$BQ15)</f>
        <v>0</v>
      </c>
    </row>
    <row r="17" spans="5:16384">
      <c r="E17" s="16" t="str">
        <f xml:space="preserve"> 'Invoice finance'!E$15</f>
        <v>Invoice finance balance</v>
      </c>
      <c r="F17" s="16">
        <f xml:space="preserve"> 'Invoice finance'!F$15</f>
        <v>0</v>
      </c>
      <c r="G17" s="16" t="str">
        <f xml:space="preserve"> 'Invoice finance'!G$15</f>
        <v>GBP</v>
      </c>
      <c r="H17" s="42">
        <f xml:space="preserve"> 'Invoice finance'!H$15</f>
        <v>0</v>
      </c>
      <c r="I17" s="16">
        <f xml:space="preserve"> 'Invoice finance'!I$15</f>
        <v>0</v>
      </c>
      <c r="J17" s="9">
        <f ca="1" xml:space="preserve"> SUMIF( Time!$J296:$BQ296, Time!J$28, 'Invoice finance'!$J15:$BQ15)</f>
        <v>0</v>
      </c>
      <c r="K17" s="9">
        <f ca="1" xml:space="preserve"> SUMIF( Time!$J296:$BQ296, Time!K$28, 'Invoice finance'!$J15:$BQ15)</f>
        <v>0</v>
      </c>
      <c r="L17" s="9">
        <f ca="1" xml:space="preserve"> SUMIF( Time!$J296:$BQ296, Time!L$28, 'Invoice finance'!$J15:$BQ15)</f>
        <v>0</v>
      </c>
      <c r="M17" s="9">
        <f ca="1" xml:space="preserve"> SUMIF( Time!$J296:$BQ296, Time!M$28, 'Invoice finance'!$J15:$BQ15)</f>
        <v>0</v>
      </c>
      <c r="N17" s="9">
        <f ca="1" xml:space="preserve"> SUMIF( Time!$J296:$BQ296, Time!N$28, 'Invoice finance'!$J15:$BQ15)</f>
        <v>0</v>
      </c>
    </row>
    <row r="18" spans="5:16384">
      <c r="E18" s="16" t="str">
        <f xml:space="preserve"> 'Asset Finance'!E$15</f>
        <v>Asset Finance balance</v>
      </c>
      <c r="F18" s="16">
        <f xml:space="preserve"> 'Asset Finance'!F$15</f>
        <v>0</v>
      </c>
      <c r="G18" s="16" t="str">
        <f xml:space="preserve"> 'Asset Finance'!G$15</f>
        <v>GBP</v>
      </c>
      <c r="H18" s="42">
        <f xml:space="preserve"> 'Asset Finance'!H$15</f>
        <v>0</v>
      </c>
      <c r="I18" s="16">
        <f xml:space="preserve"> 'Asset Finance'!I$15</f>
        <v>0</v>
      </c>
      <c r="J18" s="9">
        <f ca="1" xml:space="preserve"> SUMIF( Time!$J296:$BQ296, Time!J$28, 'Asset Finance'!$J15:$BQ15)</f>
        <v>251033.18272338025</v>
      </c>
      <c r="K18" s="9">
        <f ca="1" xml:space="preserve"> SUMIF( Time!$J296:$BQ296, Time!K$28, 'Asset Finance'!$J15:$BQ15)</f>
        <v>719151.09113462572</v>
      </c>
      <c r="L18" s="9">
        <f ca="1" xml:space="preserve"> SUMIF( Time!$J296:$BQ296, Time!L$28, 'Asset Finance'!$J15:$BQ15)</f>
        <v>1159119.8622425417</v>
      </c>
      <c r="M18" s="9">
        <f ca="1" xml:space="preserve"> SUMIF( Time!$J296:$BQ296, Time!M$28, 'Asset Finance'!$J15:$BQ15)</f>
        <v>2131015.7449105619</v>
      </c>
      <c r="N18" s="9">
        <f ca="1" xml:space="preserve"> SUMIF( Time!$J296:$BQ296, Time!N$28, 'Asset Finance'!$J15:$BQ15)</f>
        <v>2958472.5751737203</v>
      </c>
    </row>
    <row r="19" spans="5:16384">
      <c r="E19" s="16" t="str">
        <f xml:space="preserve"> VAT!E$32</f>
        <v>VAT balance</v>
      </c>
      <c r="F19" s="16">
        <f xml:space="preserve"> VAT!F$32</f>
        <v>0</v>
      </c>
      <c r="G19" s="16" t="str">
        <f xml:space="preserve"> VAT!G$32</f>
        <v>GBP</v>
      </c>
      <c r="H19" s="42">
        <f xml:space="preserve"> VAT!H$32</f>
        <v>0</v>
      </c>
      <c r="I19" s="16">
        <f xml:space="preserve"> VAT!I$32</f>
        <v>0</v>
      </c>
      <c r="J19" s="9">
        <f ca="1" xml:space="preserve"> SUMIF( Time!$J296:$BQ296, Time!J$28, VAT!$J32:$BQ32)</f>
        <v>-6196.7550234558857</v>
      </c>
      <c r="K19" s="9">
        <f ca="1" xml:space="preserve"> SUMIF( Time!$J296:$BQ296, Time!K$28, VAT!$J32:$BQ32)</f>
        <v>100957.13492645105</v>
      </c>
      <c r="L19" s="9">
        <f ca="1" xml:space="preserve"> SUMIF( Time!$J296:$BQ296, Time!L$28, VAT!$J32:$BQ32)</f>
        <v>291795.14847907308</v>
      </c>
      <c r="M19" s="9">
        <f ca="1" xml:space="preserve"> SUMIF( Time!$J296:$BQ296, Time!M$28, VAT!$J32:$BQ32)</f>
        <v>243216.41597105563</v>
      </c>
      <c r="N19" s="9">
        <f ca="1" xml:space="preserve"> SUMIF( Time!$J296:$BQ296, Time!N$28, VAT!$J32:$BQ32)</f>
        <v>429412.62476073159</v>
      </c>
    </row>
    <row r="20" spans="5:16384">
      <c r="E20" s="16" t="str">
        <f xml:space="preserve"> 'Corporation tax'!E$78</f>
        <v>Corporation tax creditor</v>
      </c>
      <c r="F20" s="16">
        <f xml:space="preserve"> 'Corporation tax'!F$78</f>
        <v>0</v>
      </c>
      <c r="G20" s="16" t="str">
        <f xml:space="preserve"> 'Corporation tax'!G$78</f>
        <v>GBP</v>
      </c>
      <c r="H20" s="42">
        <f xml:space="preserve"> 'Corporation tax'!H$78</f>
        <v>0</v>
      </c>
      <c r="I20" s="16">
        <f xml:space="preserve"> 'Corporation tax'!I$78</f>
        <v>0</v>
      </c>
      <c r="J20" s="9">
        <f ca="1" xml:space="preserve"> SUMIF( Time!$J296:$BQ296, Time!J$28, 'Corporation tax'!$J78:$BQ78)</f>
        <v>0</v>
      </c>
      <c r="K20" s="9">
        <f ca="1" xml:space="preserve"> SUMIF( Time!$J296:$BQ296, Time!K$28, 'Corporation tax'!$J78:$BQ78)</f>
        <v>106978.39281702002</v>
      </c>
      <c r="L20" s="9">
        <f ca="1" xml:space="preserve"> SUMIF( Time!$J296:$BQ296, Time!L$28, 'Corporation tax'!$J78:$BQ78)</f>
        <v>549993.72394885693</v>
      </c>
      <c r="M20" s="9">
        <f ca="1" xml:space="preserve"> SUMIF( Time!$J296:$BQ296, Time!M$28, 'Corporation tax'!$J78:$BQ78)</f>
        <v>1290597.9976512392</v>
      </c>
      <c r="N20" s="9">
        <f ca="1" xml:space="preserve"> SUMIF( Time!$J296:$BQ296, Time!N$28, 'Corporation tax'!$J78:$BQ78)</f>
        <v>2790847.9047092618</v>
      </c>
    </row>
    <row r="21" spans="5:16384">
      <c r="E21" s="12" t="s">
        <v>222</v>
      </c>
      <c r="F21" s="32"/>
      <c r="G21" s="12" t="s">
        <v>252</v>
      </c>
      <c r="H21" s="54"/>
      <c r="I21" s="32"/>
      <c r="J21" s="12">
        <f ca="1" xml:space="preserve"> SUMIF( Time!$J296:$BQ296, Time!J$28, 'Balance Sheet'!$J21:$BQ21)</f>
        <v>843113.44662275282</v>
      </c>
      <c r="K21" s="12">
        <f ca="1" xml:space="preserve"> SUMIF( Time!$J296:$BQ296, Time!K$28, 'Balance Sheet'!$J21:$BQ21)</f>
        <v>2861281.3978045508</v>
      </c>
      <c r="L21" s="12">
        <f ca="1" xml:space="preserve"> SUMIF( Time!$J296:$BQ296, Time!L$28, 'Balance Sheet'!$J21:$BQ21)</f>
        <v>6862740.3296481175</v>
      </c>
      <c r="M21" s="12">
        <f ca="1" xml:space="preserve"> SUMIF( Time!$J296:$BQ296, Time!M$28, 'Balance Sheet'!$J21:$BQ21)</f>
        <v>13224027.423368616</v>
      </c>
      <c r="N21" s="12">
        <f ca="1" xml:space="preserve"> SUMIF( Time!$J296:$BQ296, Time!N$28, 'Balance Sheet'!$J21:$BQ21)</f>
        <v>24217395.9562007</v>
      </c>
    </row>
    <row r="23" spans="5:16384">
      <c r="E23" s="67" t="str">
        <f xml:space="preserve"> Financials!E$24</f>
        <v>Net Assets</v>
      </c>
      <c r="F23" s="67"/>
      <c r="G23" s="67" t="str">
        <f xml:space="preserve"> Financials!G$24</f>
        <v>GBP</v>
      </c>
      <c r="H23" s="110">
        <f xml:space="preserve"> Financials!H$24</f>
        <v>0</v>
      </c>
      <c r="I23" s="67">
        <f xml:space="preserve"> Financials!I$24</f>
        <v>0</v>
      </c>
      <c r="J23" s="17">
        <f ca="1" xml:space="preserve"> SUMIF( Time!$J296:$BQ296, Time!J$28, Financials!$J24:$BQ24)</f>
        <v>-524092.80616935919</v>
      </c>
      <c r="K23" s="17">
        <f ca="1" xml:space="preserve"> SUMIF( Time!$J296:$BQ296, Time!K$28, Financials!$J24:$BQ24)</f>
        <v>-122013.92081704643</v>
      </c>
      <c r="L23" s="17">
        <f ca="1" xml:space="preserve"> SUMIF( Time!$J296:$BQ296, Time!L$28, Financials!$J24:$BQ24)</f>
        <v>1729637.4415939068</v>
      </c>
      <c r="M23" s="17">
        <f ca="1" xml:space="preserve"> SUMIF( Time!$J296:$BQ296, Time!M$28, Financials!$J24:$BQ24)</f>
        <v>6831417.5458162744</v>
      </c>
      <c r="N23" s="17">
        <f ca="1" xml:space="preserve"> SUMIF( Time!$J296:$BQ296, Time!N$28, Financials!$J24:$BQ24)</f>
        <v>18716388.842557337</v>
      </c>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6" t="str">
        <f xml:space="preserve"> Financials!E$38</f>
        <v>Retained Earnings</v>
      </c>
      <c r="F25" s="16">
        <f xml:space="preserve"> Financials!F$38</f>
        <v>0</v>
      </c>
      <c r="G25" s="16" t="str">
        <f xml:space="preserve"> Financials!G$38</f>
        <v>GBP</v>
      </c>
      <c r="H25" s="42">
        <f xml:space="preserve"> Financials!H$38</f>
        <v>0</v>
      </c>
      <c r="I25" s="16">
        <f xml:space="preserve"> Financials!I$38</f>
        <v>0</v>
      </c>
      <c r="J25" s="9">
        <f ca="1" xml:space="preserve"> SUMIF( Time!$J296:$BQ296, Time!J$28, Financials!$J38:$BQ38)</f>
        <v>-524092.80616935901</v>
      </c>
      <c r="K25" s="9">
        <f ca="1" xml:space="preserve"> SUMIF( Time!$J296:$BQ296, Time!K$28, Financials!$J38:$BQ38)</f>
        <v>-122013.92081704651</v>
      </c>
      <c r="L25" s="9">
        <f ca="1" xml:space="preserve"> SUMIF( Time!$J296:$BQ296, Time!L$28, Financials!$J38:$BQ38)</f>
        <v>1729637.4415939085</v>
      </c>
      <c r="M25" s="9">
        <f ca="1" xml:space="preserve"> SUMIF( Time!$J296:$BQ296, Time!M$28, Financials!$J38:$BQ38)</f>
        <v>6831417.5458162762</v>
      </c>
      <c r="N25" s="9">
        <f ca="1" xml:space="preserve"> SUMIF( Time!$J296:$BQ296, Time!N$28, Financials!$J38:$BQ38)</f>
        <v>18716388.84255733</v>
      </c>
    </row>
    <row r="26" spans="5:16384">
      <c r="E26" s="16" t="str">
        <f xml:space="preserve"> Equity!E$13</f>
        <v>Share Capital</v>
      </c>
      <c r="F26" s="16">
        <f xml:space="preserve"> Equity!F$13</f>
        <v>0</v>
      </c>
      <c r="G26" s="16" t="str">
        <f xml:space="preserve"> Equity!G$13</f>
        <v>GBP</v>
      </c>
      <c r="H26" s="42">
        <f xml:space="preserve"> Equity!H$13</f>
        <v>0</v>
      </c>
      <c r="I26" s="16">
        <f xml:space="preserve"> Equity!I$13</f>
        <v>0</v>
      </c>
      <c r="J26" s="9">
        <f xml:space="preserve"> SUMIF( Time!$J296:$BQ296, Time!J$28, Equity!$J13:$BQ13)</f>
        <v>0</v>
      </c>
      <c r="K26" s="9">
        <f xml:space="preserve"> SUMIF( Time!$J296:$BQ296, Time!K$28, Equity!$J13:$BQ13)</f>
        <v>0</v>
      </c>
      <c r="L26" s="9">
        <f xml:space="preserve"> SUMIF( Time!$J296:$BQ296, Time!L$28, Equity!$J13:$BQ13)</f>
        <v>0</v>
      </c>
      <c r="M26" s="9">
        <f xml:space="preserve"> SUMIF( Time!$J296:$BQ296, Time!M$28, Equity!$J13:$BQ13)</f>
        <v>0</v>
      </c>
      <c r="N26" s="9">
        <f xml:space="preserve"> SUMIF( Time!$J296:$BQ296, Time!N$28, Equity!$J13:$BQ13)</f>
        <v>0</v>
      </c>
    </row>
    <row r="27" spans="5:16384">
      <c r="E27" s="67" t="str">
        <f xml:space="preserve"> Financials!E$30</f>
        <v>Shareholder Equity</v>
      </c>
      <c r="F27" s="67"/>
      <c r="G27" s="67" t="str">
        <f xml:space="preserve"> Financials!G$30</f>
        <v>GBP</v>
      </c>
      <c r="H27" s="110">
        <f xml:space="preserve"> Financials!H$30</f>
        <v>0</v>
      </c>
      <c r="I27" s="67">
        <f xml:space="preserve"> Financials!I$30</f>
        <v>0</v>
      </c>
      <c r="J27" s="17">
        <f ca="1" xml:space="preserve"> SUMIF( Time!$J296:$BQ296, Time!J$28, Financials!$J30:$BQ30)</f>
        <v>-524092.80616935901</v>
      </c>
      <c r="K27" s="17">
        <f ca="1" xml:space="preserve"> SUMIF( Time!$J296:$BQ296, Time!K$28, Financials!$J30:$BQ30)</f>
        <v>-122013.92081704651</v>
      </c>
      <c r="L27" s="17">
        <f ca="1" xml:space="preserve"> SUMIF( Time!$J296:$BQ296, Time!L$28, Financials!$J30:$BQ30)</f>
        <v>1729637.4415939085</v>
      </c>
      <c r="M27" s="17">
        <f ca="1" xml:space="preserve"> SUMIF( Time!$J296:$BQ296, Time!M$28, Financials!$J30:$BQ30)</f>
        <v>6831417.5458162762</v>
      </c>
      <c r="N27" s="17">
        <f ca="1" xml:space="preserve"> SUMIF( Time!$J296:$BQ296, Time!N$28, Financials!$J30:$BQ30)</f>
        <v>18716388.84255733</v>
      </c>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140" priority="1" stopIfTrue="1" operator="notEqual">
      <formula>0</formula>
    </cfRule>
    <cfRule type="cellIs" dxfId="139" priority="2" stopIfTrue="1" operator="equal">
      <formula>""</formula>
    </cfRule>
  </conditionalFormatting>
  <conditionalFormatting sqref="J3:P3">
    <cfRule type="cellIs" dxfId="138" priority="3" operator="equal">
      <formula>"PPA ext."</formula>
    </cfRule>
    <cfRule type="cellIs" dxfId="137" priority="4" operator="equal">
      <formula>"Delay"</formula>
    </cfRule>
    <cfRule type="cellIs" dxfId="136" priority="5" operator="equal">
      <formula>"Fin Close"</formula>
    </cfRule>
    <cfRule type="cellIs" dxfId="135" priority="6" stopIfTrue="1" operator="equal">
      <formula>"Construction"</formula>
    </cfRule>
    <cfRule type="cellIs" dxfId="13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4F81BD"/>
    <outlinePr summaryBelow="0" summaryRight="0"/>
  </sheetPr>
  <dimension ref="A1:P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44" bestFit="1" customWidth="1"/>
    <col min="6" max="6" width="20.54296875" bestFit="1" customWidth="1"/>
    <col min="7" max="7" width="13.1796875" bestFit="1" customWidth="1"/>
    <col min="8" max="8" width="13.1796875" style="43" bestFit="1" customWidth="1"/>
    <col min="9" max="9" width="3.453125" customWidth="1"/>
    <col min="10" max="11" width="11.81640625" bestFit="1" customWidth="1"/>
    <col min="12" max="12" width="12.453125" bestFit="1" customWidth="1"/>
    <col min="13" max="14" width="13.1796875" bestFit="1" customWidth="1"/>
    <col min="15" max="16" width="15.08984375" customWidth="1"/>
    <col min="17" max="17" width="15.08984375" hidden="1" customWidth="1"/>
    <col min="18" max="16384" width="15.08984375" hidden="1"/>
  </cols>
  <sheetData>
    <row r="1" spans="1:16" s="75" customFormat="1" ht="25.15">
      <c r="A1" s="45" t="str">
        <f ca="1" xml:space="preserve"> RIGHT(CELL("filename", A1), LEN(CELL("filename", A1)) - SEARCH("]", CELL("filename", A1)))</f>
        <v>Cashflow Ann</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4" customFormat="1">
      <c r="A3" s="48"/>
      <c r="B3" s="48"/>
      <c r="C3" s="72"/>
      <c r="D3" s="73"/>
      <c r="E3" s="39" t="s">
        <v>203</v>
      </c>
      <c r="F3" s="51"/>
      <c r="G3" s="55" t="s">
        <v>97</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8" customFormat="1">
      <c r="A4" s="48"/>
      <c r="B4" s="48"/>
      <c r="C4" s="72"/>
      <c r="D4" s="73"/>
      <c r="E4" s="22" t="s">
        <v>325</v>
      </c>
      <c r="F4"/>
      <c r="G4"/>
      <c r="H4" s="50"/>
      <c r="I4" s="50"/>
      <c r="J4" s="28">
        <f xml:space="preserve"> Time!J$48</f>
        <v>12</v>
      </c>
      <c r="K4" s="28">
        <f xml:space="preserve"> Time!K$48</f>
        <v>24</v>
      </c>
      <c r="L4" s="28">
        <f xml:space="preserve"> Time!L$48</f>
        <v>36</v>
      </c>
      <c r="M4" s="28">
        <f xml:space="preserve"> Time!M$48</f>
        <v>48</v>
      </c>
      <c r="N4" s="28">
        <f xml:space="preserve"> Time!N$48</f>
        <v>60</v>
      </c>
    </row>
    <row r="5" spans="1:16" s="34" customFormat="1">
      <c r="A5" s="48"/>
      <c r="B5" s="48"/>
      <c r="C5" s="72"/>
      <c r="D5" s="73"/>
      <c r="E5" s="22" t="s">
        <v>305</v>
      </c>
      <c r="F5" s="24" t="s">
        <v>248</v>
      </c>
      <c r="G5" s="24" t="s">
        <v>224</v>
      </c>
      <c r="H5" s="24" t="s">
        <v>202</v>
      </c>
      <c r="I5" s="50"/>
      <c r="J5" s="15"/>
      <c r="K5" s="15"/>
      <c r="L5" s="15"/>
      <c r="M5" s="15"/>
      <c r="N5" s="15"/>
      <c r="O5" s="15"/>
      <c r="P5" s="15"/>
    </row>
    <row r="6" spans="1:16" s="43" customFormat="1">
      <c r="A6" s="24"/>
      <c r="B6" s="24"/>
      <c r="C6" s="49"/>
      <c r="D6" s="70"/>
      <c r="F6" s="24"/>
      <c r="G6" s="24"/>
      <c r="H6" s="24"/>
    </row>
    <row r="8" spans="1:16">
      <c r="E8" s="16" t="str">
        <f xml:space="preserve"> 'Working Capital'!E$22</f>
        <v>Cash in from Sales</v>
      </c>
      <c r="F8" s="16">
        <f xml:space="preserve"> 'Working Capital'!F$22</f>
        <v>0</v>
      </c>
      <c r="G8" s="16" t="str">
        <f xml:space="preserve"> 'Working Capital'!G$22</f>
        <v>GBP</v>
      </c>
      <c r="H8" s="42">
        <f ca="1" xml:space="preserve"> 'Working Capital'!H$22</f>
        <v>57317898.380981073</v>
      </c>
      <c r="I8" s="16">
        <f xml:space="preserve"> 'Working Capital'!I$22</f>
        <v>0</v>
      </c>
      <c r="J8" s="9">
        <f ca="1" xml:space="preserve"> SUMIF( Time!$J291:$BQ291, Time!J$28, 'Working Capital'!$J22:$BQ22)</f>
        <v>864000</v>
      </c>
      <c r="K8" s="9">
        <f ca="1" xml:space="preserve"> SUMIF( Time!$J291:$BQ291, Time!K$28, 'Working Capital'!$J22:$BQ22)</f>
        <v>2592000</v>
      </c>
      <c r="L8" s="9">
        <f ca="1" xml:space="preserve"> SUMIF( Time!$J291:$BQ291, Time!L$28, 'Working Capital'!$J22:$BQ22)</f>
        <v>7168903.7175587183</v>
      </c>
      <c r="M8" s="9">
        <f ca="1" xml:space="preserve"> SUMIF( Time!$J291:$BQ291, Time!M$28, 'Working Capital'!$J22:$BQ22)</f>
        <v>15523318.620531706</v>
      </c>
      <c r="N8" s="9">
        <f ca="1" xml:space="preserve"> SUMIF( Time!$J291:$BQ291, Time!N$28, 'Working Capital'!$J22:$BQ22)</f>
        <v>31169676.042890649</v>
      </c>
    </row>
    <row r="9" spans="1:16">
      <c r="E9" s="16" t="str">
        <f xml:space="preserve"> 'Working Capital'!E$52</f>
        <v xml:space="preserve">Cash out on Operating Expense </v>
      </c>
      <c r="F9" s="16">
        <f xml:space="preserve"> 'Working Capital'!F$52</f>
        <v>0</v>
      </c>
      <c r="G9" s="16" t="str">
        <f xml:space="preserve"> 'Working Capital'!G$52</f>
        <v>GBP</v>
      </c>
      <c r="H9" s="42">
        <f ca="1" xml:space="preserve"> 'Working Capital'!H$52</f>
        <v>-8739047.4483311232</v>
      </c>
      <c r="I9" s="16">
        <f xml:space="preserve"> 'Working Capital'!I$52</f>
        <v>0</v>
      </c>
      <c r="J9" s="9">
        <f ca="1" xml:space="preserve"> SUMIF( Time!$J291:$BQ291, Time!J$28, 'Working Capital'!$J52:$BQ52)</f>
        <v>-749445.87279716518</v>
      </c>
      <c r="K9" s="9">
        <f ca="1" xml:space="preserve"> SUMIF( Time!$J291:$BQ291, Time!K$28, 'Working Capital'!$J52:$BQ52)</f>
        <v>-944678.70989012497</v>
      </c>
      <c r="L9" s="9">
        <f ca="1" xml:space="preserve"> SUMIF( Time!$J291:$BQ291, Time!L$28, 'Working Capital'!$J52:$BQ52)</f>
        <v>-1399465.4597640429</v>
      </c>
      <c r="M9" s="9">
        <f ca="1" xml:space="preserve"> SUMIF( Time!$J291:$BQ291, Time!M$28, 'Working Capital'!$J52:$BQ52)</f>
        <v>-2128051.4909187597</v>
      </c>
      <c r="N9" s="9">
        <f ca="1" xml:space="preserve"> SUMIF( Time!$J291:$BQ291, Time!N$28, 'Working Capital'!$J52:$BQ52)</f>
        <v>-3517405.9149610312</v>
      </c>
    </row>
    <row r="10" spans="1:16">
      <c r="E10" s="16" t="str">
        <f xml:space="preserve"> VAT!E$38</f>
        <v xml:space="preserve">VAT paid </v>
      </c>
      <c r="F10" s="16">
        <f xml:space="preserve"> VAT!F$38</f>
        <v>0</v>
      </c>
      <c r="G10" s="16" t="str">
        <f xml:space="preserve"> VAT!G$38</f>
        <v>GBP</v>
      </c>
      <c r="H10" s="42">
        <f ca="1" xml:space="preserve"> VAT!H$38</f>
        <v>-8296110.6882591359</v>
      </c>
      <c r="I10" s="16">
        <f xml:space="preserve"> VAT!I$38</f>
        <v>0</v>
      </c>
      <c r="J10" s="9">
        <f ca="1" xml:space="preserve"> SUMIF( Time!$J291:$BQ291, Time!J$28, VAT!$J38:$BQ38)</f>
        <v>-12065.312041895391</v>
      </c>
      <c r="K10" s="9">
        <f ca="1" xml:space="preserve"> SUMIF( Time!$J291:$BQ291, Time!K$28, VAT!$J38:$BQ38)</f>
        <v>-242966.22733280898</v>
      </c>
      <c r="L10" s="9">
        <f ca="1" xml:space="preserve"> SUMIF( Time!$J291:$BQ291, Time!L$28, VAT!$J38:$BQ38)</f>
        <v>-945713.93945069634</v>
      </c>
      <c r="M10" s="9">
        <f ca="1" xml:space="preserve"> SUMIF( Time!$J291:$BQ291, Time!M$28, VAT!$J38:$BQ38)</f>
        <v>-2292376.7154711601</v>
      </c>
      <c r="N10" s="9">
        <f ca="1" xml:space="preserve"> SUMIF( Time!$J291:$BQ291, Time!N$28, VAT!$J38:$BQ38)</f>
        <v>-4802988.4939625757</v>
      </c>
    </row>
    <row r="11" spans="1:16">
      <c r="E11" s="16" t="str">
        <f xml:space="preserve"> 'Corporation tax'!E$69</f>
        <v xml:space="preserve">Corporation tax paid </v>
      </c>
      <c r="F11" s="16">
        <f xml:space="preserve"> 'Corporation tax'!F$69</f>
        <v>0</v>
      </c>
      <c r="G11" s="16" t="str">
        <f xml:space="preserve"> 'Corporation tax'!G$69</f>
        <v>GBP</v>
      </c>
      <c r="H11" s="42">
        <f ca="1" xml:space="preserve"> 'Corporation tax'!H$69</f>
        <v>-2943623.9790600152</v>
      </c>
      <c r="I11" s="16">
        <f xml:space="preserve"> 'Corporation tax'!I$69</f>
        <v>0</v>
      </c>
      <c r="J11" s="9">
        <f ca="1" xml:space="preserve"> SUMIF( Time!$J291:$BQ291, Time!J$28, 'Corporation tax'!$J69:$BQ69)</f>
        <v>0</v>
      </c>
      <c r="K11" s="9">
        <f ca="1" xml:space="preserve"> SUMIF( Time!$J291:$BQ291, Time!K$28, 'Corporation tax'!$J69:$BQ69)</f>
        <v>0</v>
      </c>
      <c r="L11" s="9">
        <f ca="1" xml:space="preserve"> SUMIF( Time!$J291:$BQ291, Time!L$28, 'Corporation tax'!$J69:$BQ69)</f>
        <v>-195685.12595542119</v>
      </c>
      <c r="M11" s="9">
        <f ca="1" xml:space="preserve"> SUMIF( Time!$J291:$BQ291, Time!M$28, 'Corporation tax'!$J69:$BQ69)</f>
        <v>-829461.348841978</v>
      </c>
      <c r="N11" s="9">
        <f ca="1" xml:space="preserve"> SUMIF( Time!$J291:$BQ291, Time!N$28, 'Corporation tax'!$J69:$BQ69)</f>
        <v>-1918477.5042626159</v>
      </c>
    </row>
    <row r="12" spans="1:16">
      <c r="E12" s="12" t="s">
        <v>113</v>
      </c>
      <c r="F12" s="32"/>
      <c r="G12" s="12" t="s">
        <v>252</v>
      </c>
      <c r="H12" s="54">
        <f ca="1" xml:space="preserve"> SUM( J12:BQ12 )</f>
        <v>37339116.265330791</v>
      </c>
      <c r="I12" s="32"/>
      <c r="J12" s="12">
        <f ca="1" xml:space="preserve"> SUMIF( Time!$J291:$BQ291, Time!J$28, Cashflow!$J12:$BQ12)</f>
        <v>102488.8151609393</v>
      </c>
      <c r="K12" s="12">
        <f ca="1" xml:space="preserve"> SUMIF( Time!$J291:$BQ291, Time!K$28, Cashflow!$J12:$BQ12)</f>
        <v>1404355.0627770659</v>
      </c>
      <c r="L12" s="12">
        <f ca="1" xml:space="preserve"> SUMIF( Time!$J291:$BQ291, Time!L$28, Cashflow!$J12:$BQ12)</f>
        <v>4628039.1923885569</v>
      </c>
      <c r="M12" s="12">
        <f ca="1" xml:space="preserve"> SUMIF( Time!$J291:$BQ291, Time!M$28, Cashflow!$J12:$BQ12)</f>
        <v>10273429.065299805</v>
      </c>
      <c r="N12" s="12">
        <f ca="1" xml:space="preserve"> SUMIF( Time!$J291:$BQ291, Time!N$28, Cashflow!$J12:$BQ12)</f>
        <v>20930804.129704427</v>
      </c>
    </row>
    <row r="14" spans="1:16">
      <c r="E14" s="16" t="str">
        <f xml:space="preserve"> 'Working Capital'!E$15</f>
        <v xml:space="preserve">Cash out on Inventory </v>
      </c>
      <c r="F14" s="16">
        <f xml:space="preserve"> 'Working Capital'!F$15</f>
        <v>0</v>
      </c>
      <c r="G14" s="16" t="str">
        <f xml:space="preserve"> 'Working Capital'!G$15</f>
        <v>GBP</v>
      </c>
      <c r="H14" s="42">
        <f ca="1" xml:space="preserve"> 'Working Capital'!H$15</f>
        <v>-5701499.9999999991</v>
      </c>
      <c r="I14" s="16">
        <f xml:space="preserve"> 'Working Capital'!I$15</f>
        <v>0</v>
      </c>
      <c r="J14" s="9">
        <f ca="1" xml:space="preserve"> SUMIF( Time!$J291:$BQ291, Time!J$28, 'Working Capital'!$J15:$BQ15)</f>
        <v>-251999.99999999997</v>
      </c>
      <c r="K14" s="9">
        <f ca="1" xml:space="preserve"> SUMIF( Time!$J291:$BQ291, Time!K$28, 'Working Capital'!$J15:$BQ15)</f>
        <v>-650999.99999999988</v>
      </c>
      <c r="L14" s="9">
        <f ca="1" xml:space="preserve"> SUMIF( Time!$J291:$BQ291, Time!L$28, 'Working Capital'!$J15:$BQ15)</f>
        <v>-850499.99999999988</v>
      </c>
      <c r="M14" s="9">
        <f ca="1" xml:space="preserve"> SUMIF( Time!$J291:$BQ291, Time!M$28, 'Working Capital'!$J15:$BQ15)</f>
        <v>-1553999.9999999998</v>
      </c>
      <c r="N14" s="9">
        <f ca="1" xml:space="preserve"> SUMIF( Time!$J291:$BQ291, Time!N$28, 'Working Capital'!$J15:$BQ15)</f>
        <v>-2393999.9999999995</v>
      </c>
    </row>
    <row r="15" spans="1:16">
      <c r="E15" s="12" t="s">
        <v>20</v>
      </c>
      <c r="F15" s="32"/>
      <c r="G15" s="12" t="s">
        <v>252</v>
      </c>
      <c r="H15" s="54">
        <f ca="1" xml:space="preserve"> SUM( J15:BQ15 )</f>
        <v>31637616.265330799</v>
      </c>
      <c r="I15" s="32"/>
      <c r="J15" s="12">
        <f ca="1" xml:space="preserve"> SUMIF( Time!$J291:$BQ291, Time!J$28, Cashflow!$J15:$BQ15)</f>
        <v>-149511.18483906068</v>
      </c>
      <c r="K15" s="12">
        <f ca="1" xml:space="preserve"> SUMIF( Time!$J291:$BQ291, Time!K$28, Cashflow!$J15:$BQ15)</f>
        <v>753355.06277706625</v>
      </c>
      <c r="L15" s="12">
        <f ca="1" xml:space="preserve"> SUMIF( Time!$J291:$BQ291, Time!L$28, Cashflow!$J15:$BQ15)</f>
        <v>3777539.1923885574</v>
      </c>
      <c r="M15" s="12">
        <f ca="1" xml:space="preserve"> SUMIF( Time!$J291:$BQ291, Time!M$28, Cashflow!$J15:$BQ15)</f>
        <v>8719429.0652998071</v>
      </c>
      <c r="N15" s="12">
        <f ca="1" xml:space="preserve"> SUMIF( Time!$J291:$BQ291, Time!N$28, Cashflow!$J15:$BQ15)</f>
        <v>18536804.129704427</v>
      </c>
    </row>
    <row r="17" spans="5:14">
      <c r="E17" s="16" t="str">
        <f xml:space="preserve"> 'Supply Chain finance'!E$22</f>
        <v>Supply Chain Finance drawdown</v>
      </c>
      <c r="F17" s="16">
        <f xml:space="preserve"> 'Supply Chain finance'!F$22</f>
        <v>0</v>
      </c>
      <c r="G17" s="16" t="str">
        <f xml:space="preserve"> 'Supply Chain finance'!G$22</f>
        <v>GBP</v>
      </c>
      <c r="H17" s="42">
        <f ca="1" xml:space="preserve"> 'Supply Chain finance'!H$22</f>
        <v>0</v>
      </c>
      <c r="I17" s="16">
        <f xml:space="preserve"> 'Supply Chain finance'!I$22</f>
        <v>0</v>
      </c>
      <c r="J17" s="9">
        <f ca="1" xml:space="preserve"> SUMIF( Time!$J291:$BQ291, Time!J$28, 'Supply Chain finance'!$J22:$BQ22)</f>
        <v>0</v>
      </c>
      <c r="K17" s="9">
        <f ca="1" xml:space="preserve"> SUMIF( Time!$J291:$BQ291, Time!K$28, 'Supply Chain finance'!$J22:$BQ22)</f>
        <v>0</v>
      </c>
      <c r="L17" s="9">
        <f ca="1" xml:space="preserve"> SUMIF( Time!$J291:$BQ291, Time!L$28, 'Supply Chain finance'!$J22:$BQ22)</f>
        <v>0</v>
      </c>
      <c r="M17" s="9">
        <f ca="1" xml:space="preserve"> SUMIF( Time!$J291:$BQ291, Time!M$28, 'Supply Chain finance'!$J22:$BQ22)</f>
        <v>0</v>
      </c>
      <c r="N17" s="9">
        <f ca="1" xml:space="preserve"> SUMIF( Time!$J291:$BQ291, Time!N$28, 'Supply Chain finance'!$J22:$BQ22)</f>
        <v>0</v>
      </c>
    </row>
    <row r="18" spans="5:14">
      <c r="E18" s="16" t="str">
        <f xml:space="preserve"> 'Supply Chain finance'!E$29</f>
        <v xml:space="preserve">Supply Chain Finance principal repayment </v>
      </c>
      <c r="F18" s="16">
        <f xml:space="preserve"> 'Supply Chain finance'!F$29</f>
        <v>0</v>
      </c>
      <c r="G18" s="16" t="str">
        <f xml:space="preserve"> 'Supply Chain finance'!G$29</f>
        <v>GBP</v>
      </c>
      <c r="H18" s="42">
        <f ca="1" xml:space="preserve"> 'Supply Chain finance'!H$29</f>
        <v>0</v>
      </c>
      <c r="I18" s="16">
        <f xml:space="preserve"> 'Supply Chain finance'!I$29</f>
        <v>0</v>
      </c>
      <c r="J18" s="9">
        <f ca="1" xml:space="preserve"> SUMIF( Time!$J291:$BQ291, Time!J$28, 'Supply Chain finance'!$J29:$BQ29)</f>
        <v>0</v>
      </c>
      <c r="K18" s="9">
        <f ca="1" xml:space="preserve"> SUMIF( Time!$J291:$BQ291, Time!K$28, 'Supply Chain finance'!$J29:$BQ29)</f>
        <v>0</v>
      </c>
      <c r="L18" s="9">
        <f ca="1" xml:space="preserve"> SUMIF( Time!$J291:$BQ291, Time!L$28, 'Supply Chain finance'!$J29:$BQ29)</f>
        <v>0</v>
      </c>
      <c r="M18" s="9">
        <f ca="1" xml:space="preserve"> SUMIF( Time!$J291:$BQ291, Time!M$28, 'Supply Chain finance'!$J29:$BQ29)</f>
        <v>0</v>
      </c>
      <c r="N18" s="9">
        <f ca="1" xml:space="preserve"> SUMIF( Time!$J291:$BQ291, Time!N$28, 'Supply Chain finance'!$J29:$BQ29)</f>
        <v>0</v>
      </c>
    </row>
    <row r="19" spans="5:14">
      <c r="E19" s="16" t="str">
        <f xml:space="preserve"> 'Invoice finance'!E$21</f>
        <v>Invoice finance drawdown</v>
      </c>
      <c r="F19" s="16">
        <f xml:space="preserve"> 'Invoice finance'!F$21</f>
        <v>0</v>
      </c>
      <c r="G19" s="16" t="str">
        <f xml:space="preserve"> 'Invoice finance'!G$21</f>
        <v>GBP</v>
      </c>
      <c r="H19" s="42">
        <f ca="1" xml:space="preserve"> 'Invoice finance'!H$21</f>
        <v>0</v>
      </c>
      <c r="I19" s="16">
        <f xml:space="preserve"> 'Invoice finance'!I$21</f>
        <v>0</v>
      </c>
      <c r="J19" s="9">
        <f ca="1" xml:space="preserve"> SUMIF( Time!$J291:$BQ291, Time!J$28, 'Invoice finance'!$J21:$BQ21)</f>
        <v>0</v>
      </c>
      <c r="K19" s="9">
        <f ca="1" xml:space="preserve"> SUMIF( Time!$J291:$BQ291, Time!K$28, 'Invoice finance'!$J21:$BQ21)</f>
        <v>0</v>
      </c>
      <c r="L19" s="9">
        <f ca="1" xml:space="preserve"> SUMIF( Time!$J291:$BQ291, Time!L$28, 'Invoice finance'!$J21:$BQ21)</f>
        <v>0</v>
      </c>
      <c r="M19" s="9">
        <f ca="1" xml:space="preserve"> SUMIF( Time!$J291:$BQ291, Time!M$28, 'Invoice finance'!$J21:$BQ21)</f>
        <v>0</v>
      </c>
      <c r="N19" s="9">
        <f ca="1" xml:space="preserve"> SUMIF( Time!$J291:$BQ291, Time!N$28, 'Invoice finance'!$J21:$BQ21)</f>
        <v>0</v>
      </c>
    </row>
    <row r="20" spans="5:14">
      <c r="E20" s="16" t="str">
        <f xml:space="preserve"> 'Invoice finance'!E$28</f>
        <v xml:space="preserve">Invoice finance principal repayment </v>
      </c>
      <c r="F20" s="16">
        <f xml:space="preserve"> 'Invoice finance'!F$28</f>
        <v>0</v>
      </c>
      <c r="G20" s="16" t="str">
        <f xml:space="preserve"> 'Invoice finance'!G$28</f>
        <v>GBP</v>
      </c>
      <c r="H20" s="42">
        <f ca="1" xml:space="preserve"> 'Invoice finance'!H$28</f>
        <v>0</v>
      </c>
      <c r="I20" s="16">
        <f xml:space="preserve"> 'Invoice finance'!I$28</f>
        <v>0</v>
      </c>
      <c r="J20" s="9">
        <f ca="1" xml:space="preserve"> SUMIF( Time!$J291:$BQ291, Time!J$28, 'Invoice finance'!$J28:$BQ28)</f>
        <v>0</v>
      </c>
      <c r="K20" s="9">
        <f ca="1" xml:space="preserve"> SUMIF( Time!$J291:$BQ291, Time!K$28, 'Invoice finance'!$J28:$BQ28)</f>
        <v>0</v>
      </c>
      <c r="L20" s="9">
        <f ca="1" xml:space="preserve"> SUMIF( Time!$J291:$BQ291, Time!L$28, 'Invoice finance'!$J28:$BQ28)</f>
        <v>0</v>
      </c>
      <c r="M20" s="9">
        <f ca="1" xml:space="preserve"> SUMIF( Time!$J291:$BQ291, Time!M$28, 'Invoice finance'!$J28:$BQ28)</f>
        <v>0</v>
      </c>
      <c r="N20" s="9">
        <f ca="1" xml:space="preserve"> SUMIF( Time!$J291:$BQ291, Time!N$28, 'Invoice finance'!$J28:$BQ28)</f>
        <v>0</v>
      </c>
    </row>
    <row r="21" spans="5:14">
      <c r="E21" s="16" t="str">
        <f xml:space="preserve"> 'Asset Finance'!E$22</f>
        <v>Asset Finance drawdown</v>
      </c>
      <c r="F21" s="16">
        <f xml:space="preserve"> 'Asset Finance'!F$22</f>
        <v>0</v>
      </c>
      <c r="G21" s="16" t="str">
        <f xml:space="preserve"> 'Asset Finance'!G$22</f>
        <v>GBP</v>
      </c>
      <c r="H21" s="42">
        <f ca="1" xml:space="preserve"> 'Asset Finance'!H$22</f>
        <v>5775000</v>
      </c>
      <c r="I21" s="16">
        <f xml:space="preserve"> 'Asset Finance'!I$22</f>
        <v>0</v>
      </c>
      <c r="J21" s="9">
        <f ca="1" xml:space="preserve"> SUMIF( Time!$J291:$BQ291, Time!J$28, 'Asset Finance'!$J22:$BQ22)</f>
        <v>350000</v>
      </c>
      <c r="K21" s="9">
        <f ca="1" xml:space="preserve"> SUMIF( Time!$J291:$BQ291, Time!K$28, 'Asset Finance'!$J22:$BQ22)</f>
        <v>700000</v>
      </c>
      <c r="L21" s="9">
        <f ca="1" xml:space="preserve"> SUMIF( Time!$J291:$BQ291, Time!L$28, 'Asset Finance'!$J22:$BQ22)</f>
        <v>875000</v>
      </c>
      <c r="M21" s="9">
        <f ca="1" xml:space="preserve"> SUMIF( Time!$J291:$BQ291, Time!M$28, 'Asset Finance'!$J22:$BQ22)</f>
        <v>1750000</v>
      </c>
      <c r="N21" s="9">
        <f ca="1" xml:space="preserve"> SUMIF( Time!$J291:$BQ291, Time!N$28, 'Asset Finance'!$J22:$BQ22)</f>
        <v>2100000</v>
      </c>
    </row>
    <row r="22" spans="5:14">
      <c r="E22" s="16" t="str">
        <f xml:space="preserve"> 'Asset Finance'!E$29</f>
        <v xml:space="preserve">Asset Finance principal repayment </v>
      </c>
      <c r="F22" s="16">
        <f xml:space="preserve"> 'Asset Finance'!F$29</f>
        <v>0</v>
      </c>
      <c r="G22" s="16" t="str">
        <f xml:space="preserve"> 'Asset Finance'!G$29</f>
        <v>GBP</v>
      </c>
      <c r="H22" s="42">
        <f ca="1" xml:space="preserve"> 'Asset Finance'!H$29</f>
        <v>-2816527.4248262797</v>
      </c>
      <c r="I22" s="16">
        <f xml:space="preserve"> 'Asset Finance'!I$29</f>
        <v>0</v>
      </c>
      <c r="J22" s="9">
        <f ca="1" xml:space="preserve"> SUMIF( Time!$J291:$BQ291, Time!J$28, 'Asset Finance'!$J29:$BQ29)</f>
        <v>-98966.81727661984</v>
      </c>
      <c r="K22" s="9">
        <f ca="1" xml:space="preserve"> SUMIF( Time!$J291:$BQ291, Time!K$28, 'Asset Finance'!$J29:$BQ29)</f>
        <v>-231882.09158875467</v>
      </c>
      <c r="L22" s="9">
        <f ca="1" xml:space="preserve"> SUMIF( Time!$J291:$BQ291, Time!L$28, 'Asset Finance'!$J29:$BQ29)</f>
        <v>-435031.22889208398</v>
      </c>
      <c r="M22" s="9">
        <f ca="1" xml:space="preserve"> SUMIF( Time!$J291:$BQ291, Time!M$28, 'Asset Finance'!$J29:$BQ29)</f>
        <v>-778104.11733198015</v>
      </c>
      <c r="N22" s="9">
        <f ca="1" xml:space="preserve"> SUMIF( Time!$J291:$BQ291, Time!N$28, 'Asset Finance'!$J29:$BQ29)</f>
        <v>-1272543.1697368422</v>
      </c>
    </row>
    <row r="23" spans="5:14">
      <c r="E23" s="16" t="str">
        <f xml:space="preserve"> 'Supply Chain finance'!E$48</f>
        <v xml:space="preserve">Supply Chain Finance interest paid </v>
      </c>
      <c r="F23" s="16">
        <f xml:space="preserve"> 'Supply Chain finance'!F$48</f>
        <v>0</v>
      </c>
      <c r="G23" s="16" t="str">
        <f xml:space="preserve"> 'Supply Chain finance'!G$48</f>
        <v>GBP</v>
      </c>
      <c r="H23" s="42">
        <f ca="1" xml:space="preserve"> 'Supply Chain finance'!H$48</f>
        <v>0</v>
      </c>
      <c r="I23" s="16">
        <f xml:space="preserve"> 'Supply Chain finance'!I$48</f>
        <v>0</v>
      </c>
      <c r="J23" s="9">
        <f ca="1" xml:space="preserve"> SUMIF( Time!$J291:$BQ291, Time!J$28, 'Supply Chain finance'!$J48:$BQ48)</f>
        <v>0</v>
      </c>
      <c r="K23" s="9">
        <f ca="1" xml:space="preserve"> SUMIF( Time!$J291:$BQ291, Time!K$28, 'Supply Chain finance'!$J48:$BQ48)</f>
        <v>0</v>
      </c>
      <c r="L23" s="9">
        <f ca="1" xml:space="preserve"> SUMIF( Time!$J291:$BQ291, Time!L$28, 'Supply Chain finance'!$J48:$BQ48)</f>
        <v>0</v>
      </c>
      <c r="M23" s="9">
        <f ca="1" xml:space="preserve"> SUMIF( Time!$J291:$BQ291, Time!M$28, 'Supply Chain finance'!$J48:$BQ48)</f>
        <v>0</v>
      </c>
      <c r="N23" s="9">
        <f ca="1" xml:space="preserve"> SUMIF( Time!$J291:$BQ291, Time!N$28, 'Supply Chain finance'!$J48:$BQ48)</f>
        <v>0</v>
      </c>
    </row>
    <row r="24" spans="5:14">
      <c r="E24" s="16" t="str">
        <f xml:space="preserve"> 'Invoice finance'!E$47</f>
        <v xml:space="preserve">Invoice finance interest paid </v>
      </c>
      <c r="F24" s="16">
        <f xml:space="preserve"> 'Invoice finance'!F$47</f>
        <v>0</v>
      </c>
      <c r="G24" s="16" t="str">
        <f xml:space="preserve"> 'Invoice finance'!G$47</f>
        <v>GBP</v>
      </c>
      <c r="H24" s="42">
        <f ca="1" xml:space="preserve"> 'Invoice finance'!H$47</f>
        <v>0</v>
      </c>
      <c r="I24" s="16">
        <f xml:space="preserve"> 'Invoice finance'!I$47</f>
        <v>0</v>
      </c>
      <c r="J24" s="9">
        <f ca="1" xml:space="preserve"> SUMIF( Time!$J291:$BQ291, Time!J$28, 'Invoice finance'!$J47:$BQ47)</f>
        <v>0</v>
      </c>
      <c r="K24" s="9">
        <f ca="1" xml:space="preserve"> SUMIF( Time!$J291:$BQ291, Time!K$28, 'Invoice finance'!$J47:$BQ47)</f>
        <v>0</v>
      </c>
      <c r="L24" s="9">
        <f ca="1" xml:space="preserve"> SUMIF( Time!$J291:$BQ291, Time!L$28, 'Invoice finance'!$J47:$BQ47)</f>
        <v>0</v>
      </c>
      <c r="M24" s="9">
        <f ca="1" xml:space="preserve"> SUMIF( Time!$J291:$BQ291, Time!M$28, 'Invoice finance'!$J47:$BQ47)</f>
        <v>0</v>
      </c>
      <c r="N24" s="9">
        <f ca="1" xml:space="preserve"> SUMIF( Time!$J291:$BQ291, Time!N$28, 'Invoice finance'!$J47:$BQ47)</f>
        <v>0</v>
      </c>
    </row>
    <row r="25" spans="5:14">
      <c r="E25" s="16" t="str">
        <f xml:space="preserve"> 'Asset Finance'!E$48</f>
        <v xml:space="preserve">Asset Finance interest paid </v>
      </c>
      <c r="F25" s="16">
        <f xml:space="preserve"> 'Asset Finance'!F$48</f>
        <v>0</v>
      </c>
      <c r="G25" s="16" t="str">
        <f xml:space="preserve"> 'Asset Finance'!G$48</f>
        <v>GBP</v>
      </c>
      <c r="H25" s="42">
        <f ca="1" xml:space="preserve"> 'Asset Finance'!H$48</f>
        <v>-450644.387972205</v>
      </c>
      <c r="I25" s="16">
        <f xml:space="preserve"> 'Asset Finance'!I$48</f>
        <v>0</v>
      </c>
      <c r="J25" s="9">
        <f ca="1" xml:space="preserve"> SUMIF( Time!$J291:$BQ291, Time!J$28, 'Asset Finance'!$J48:$BQ48)</f>
        <v>-15834.690764259174</v>
      </c>
      <c r="K25" s="9">
        <f ca="1" xml:space="preserve"> SUMIF( Time!$J291:$BQ291, Time!K$28, 'Asset Finance'!$J48:$BQ48)</f>
        <v>-37101.134654200752</v>
      </c>
      <c r="L25" s="9">
        <f ca="1" xml:space="preserve"> SUMIF( Time!$J291:$BQ291, Time!L$28, 'Asset Finance'!$J48:$BQ48)</f>
        <v>-69604.996622733452</v>
      </c>
      <c r="M25" s="9">
        <f ca="1" xml:space="preserve"> SUMIF( Time!$J291:$BQ291, Time!M$28, 'Asset Finance'!$J48:$BQ48)</f>
        <v>-124496.65877311684</v>
      </c>
      <c r="N25" s="9">
        <f ca="1" xml:space="preserve"> SUMIF( Time!$J291:$BQ291, Time!N$28, 'Asset Finance'!$J48:$BQ48)</f>
        <v>-203606.90715789475</v>
      </c>
    </row>
    <row r="26" spans="5:14">
      <c r="E26" s="12" t="s">
        <v>178</v>
      </c>
      <c r="F26" s="32"/>
      <c r="G26" s="12" t="s">
        <v>252</v>
      </c>
      <c r="H26" s="54">
        <f ca="1" xml:space="preserve"> SUM( J26:BQ26 )</f>
        <v>34145444.452532314</v>
      </c>
      <c r="I26" s="32"/>
      <c r="J26" s="12">
        <f ca="1" xml:space="preserve"> SUMIF( Time!$J291:$BQ291, Time!J$28, Cashflow!$J26:$BQ26)</f>
        <v>85687.307120060359</v>
      </c>
      <c r="K26" s="12">
        <f ca="1" xml:space="preserve"> SUMIF( Time!$J291:$BQ291, Time!K$28, Cashflow!$J26:$BQ26)</f>
        <v>1184371.8365341108</v>
      </c>
      <c r="L26" s="12">
        <f ca="1" xml:space="preserve"> SUMIF( Time!$J291:$BQ291, Time!L$28, Cashflow!$J26:$BQ26)</f>
        <v>4147902.9668737403</v>
      </c>
      <c r="M26" s="12">
        <f ca="1" xml:space="preserve"> SUMIF( Time!$J291:$BQ291, Time!M$28, Cashflow!$J26:$BQ26)</f>
        <v>9566828.2891947106</v>
      </c>
      <c r="N26" s="12">
        <f ca="1" xml:space="preserve"> SUMIF( Time!$J291:$BQ291, Time!N$28, Cashflow!$J26:$BQ26)</f>
        <v>19160654.052809693</v>
      </c>
    </row>
    <row r="28" spans="5:14">
      <c r="E28" s="16" t="str">
        <f xml:space="preserve"> InpS!E$11</f>
        <v>New share capital issued</v>
      </c>
      <c r="F28" s="16">
        <f xml:space="preserve"> InpS!F$11</f>
        <v>0</v>
      </c>
      <c r="G28" s="16" t="str">
        <f xml:space="preserve"> InpS!G$11</f>
        <v>GBP</v>
      </c>
      <c r="H28" s="42">
        <f xml:space="preserve"> InpS!H$11</f>
        <v>0</v>
      </c>
      <c r="I28" s="16">
        <f xml:space="preserve"> InpS!I$11</f>
        <v>0</v>
      </c>
      <c r="J28" s="9">
        <f xml:space="preserve"> SUMIF( Time!$J291:$BQ291, Time!J$28, InpS!$J11:$BQ11)</f>
        <v>0</v>
      </c>
      <c r="K28" s="9">
        <f xml:space="preserve"> SUMIF( Time!$J291:$BQ291, Time!K$28, InpS!$J11:$BQ11)</f>
        <v>0</v>
      </c>
      <c r="L28" s="9">
        <f xml:space="preserve"> SUMIF( Time!$J291:$BQ291, Time!L$28, InpS!$J11:$BQ11)</f>
        <v>0</v>
      </c>
      <c r="M28" s="9">
        <f xml:space="preserve"> SUMIF( Time!$J291:$BQ291, Time!M$28, InpS!$J11:$BQ11)</f>
        <v>0</v>
      </c>
      <c r="N28" s="9">
        <f xml:space="preserve"> SUMIF( Time!$J291:$BQ291, Time!N$28, InpS!$J11:$BQ11)</f>
        <v>0</v>
      </c>
    </row>
    <row r="29" spans="5:14">
      <c r="E29" s="12" t="s">
        <v>114</v>
      </c>
      <c r="F29" s="32"/>
      <c r="G29" s="12" t="s">
        <v>252</v>
      </c>
      <c r="H29" s="54">
        <f ca="1" xml:space="preserve"> SUM( J29:BQ29 )</f>
        <v>34145444.452532314</v>
      </c>
      <c r="I29" s="32"/>
      <c r="J29" s="12">
        <f ca="1" xml:space="preserve"> SUMIF( Time!$J291:$BQ291, Time!J$28, Cashflow!$J29:$BQ29)</f>
        <v>85687.307120060359</v>
      </c>
      <c r="K29" s="12">
        <f ca="1" xml:space="preserve"> SUMIF( Time!$J291:$BQ291, Time!K$28, Cashflow!$J29:$BQ29)</f>
        <v>1184371.8365341108</v>
      </c>
      <c r="L29" s="12">
        <f ca="1" xml:space="preserve"> SUMIF( Time!$J291:$BQ291, Time!L$28, Cashflow!$J29:$BQ29)</f>
        <v>4147902.9668737403</v>
      </c>
      <c r="M29" s="12">
        <f ca="1" xml:space="preserve"> SUMIF( Time!$J291:$BQ291, Time!M$28, Cashflow!$J29:$BQ29)</f>
        <v>9566828.2891947106</v>
      </c>
      <c r="N29" s="12">
        <f ca="1" xml:space="preserve"> SUMIF( Time!$J291:$BQ291, Time!N$28, Cashflow!$J29:$BQ29)</f>
        <v>19160654.052809693</v>
      </c>
    </row>
  </sheetData>
  <conditionalFormatting sqref="F2:F3">
    <cfRule type="cellIs" dxfId="133" priority="1" stopIfTrue="1" operator="notEqual">
      <formula>0</formula>
    </cfRule>
    <cfRule type="cellIs" dxfId="132" priority="2" stopIfTrue="1" operator="equal">
      <formula>""</formula>
    </cfRule>
  </conditionalFormatting>
  <conditionalFormatting sqref="J3:P3">
    <cfRule type="cellIs" dxfId="131" priority="3" operator="equal">
      <formula>"PPA ext."</formula>
    </cfRule>
    <cfRule type="cellIs" dxfId="130" priority="4" operator="equal">
      <formula>"Delay"</formula>
    </cfRule>
    <cfRule type="cellIs" dxfId="129" priority="5" operator="equal">
      <formula>"Fin Close"</formula>
    </cfRule>
    <cfRule type="cellIs" dxfId="128" priority="6" stopIfTrue="1" operator="equal">
      <formula>"Construction"</formula>
    </cfRule>
    <cfRule type="cellIs" dxfId="12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4F81BD"/>
    <outlinePr summaryBelow="0" summaryRight="0"/>
  </sheetPr>
  <dimension ref="A1:P1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8.6328125" bestFit="1" customWidth="1"/>
    <col min="6" max="6" width="20.54296875" bestFit="1" customWidth="1"/>
    <col min="7" max="7" width="13.1796875" bestFit="1" customWidth="1"/>
    <col min="8" max="8" width="10" style="43" bestFit="1" customWidth="1"/>
    <col min="9" max="9" width="3.453125" customWidth="1"/>
    <col min="10" max="14" width="11.81640625" bestFit="1" customWidth="1"/>
    <col min="15" max="16" width="15.08984375" customWidth="1"/>
    <col min="17" max="17" width="15.08984375" hidden="1" customWidth="1"/>
    <col min="18" max="16384" width="15.08984375" hidden="1"/>
  </cols>
  <sheetData>
    <row r="1" spans="1:16" s="75" customFormat="1" ht="25.15">
      <c r="A1" s="45" t="str">
        <f ca="1" xml:space="preserve"> RIGHT(CELL("filename", A1), LEN(CELL("filename", A1)) - SEARCH("]", CELL("filename", A1)))</f>
        <v>Inventory Report Ann</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f xml:space="preserve"> Time!J$35</f>
        <v>45412</v>
      </c>
      <c r="K2" s="6">
        <f xml:space="preserve"> Time!K$35</f>
        <v>45777</v>
      </c>
      <c r="L2" s="6">
        <f xml:space="preserve"> Time!L$35</f>
        <v>46142</v>
      </c>
      <c r="M2" s="6">
        <f xml:space="preserve"> Time!M$35</f>
        <v>46507</v>
      </c>
      <c r="N2" s="6">
        <f xml:space="preserve"> Time!N$35</f>
        <v>46873</v>
      </c>
      <c r="O2" s="6"/>
      <c r="P2" s="6"/>
    </row>
    <row r="3" spans="1:16" s="34" customFormat="1">
      <c r="A3" s="48"/>
      <c r="B3" s="48"/>
      <c r="C3" s="72"/>
      <c r="D3" s="73"/>
      <c r="E3" s="39" t="s">
        <v>203</v>
      </c>
      <c r="F3" s="51"/>
      <c r="G3" s="55" t="s">
        <v>97</v>
      </c>
      <c r="H3" s="50"/>
      <c r="I3" s="50"/>
      <c r="J3" s="7" t="str">
        <f xml:space="preserve"> Time!J$42</f>
        <v>Month12</v>
      </c>
      <c r="K3" s="7" t="str">
        <f xml:space="preserve"> Time!K$42</f>
        <v>Month24</v>
      </c>
      <c r="L3" s="7" t="str">
        <f xml:space="preserve"> Time!L$42</f>
        <v>Month36</v>
      </c>
      <c r="M3" s="7" t="str">
        <f xml:space="preserve"> Time!M$42</f>
        <v>Month48</v>
      </c>
      <c r="N3" s="7" t="str">
        <f xml:space="preserve"> Time!N$42</f>
        <v>Month60</v>
      </c>
      <c r="O3" s="7"/>
      <c r="P3" s="7"/>
    </row>
    <row r="4" spans="1:16" s="28" customFormat="1">
      <c r="A4" s="48"/>
      <c r="B4" s="48"/>
      <c r="C4" s="72"/>
      <c r="D4" s="73"/>
      <c r="E4" s="22" t="s">
        <v>325</v>
      </c>
      <c r="F4"/>
      <c r="G4"/>
      <c r="H4" s="50"/>
      <c r="I4" s="50"/>
      <c r="J4" s="28">
        <f xml:space="preserve"> Time!J$48</f>
        <v>12</v>
      </c>
      <c r="K4" s="28">
        <f xml:space="preserve"> Time!K$48</f>
        <v>24</v>
      </c>
      <c r="L4" s="28">
        <f xml:space="preserve"> Time!L$48</f>
        <v>36</v>
      </c>
      <c r="M4" s="28">
        <f xml:space="preserve"> Time!M$48</f>
        <v>48</v>
      </c>
      <c r="N4" s="28">
        <f xml:space="preserve"> Time!N$48</f>
        <v>60</v>
      </c>
    </row>
    <row r="5" spans="1:16" s="34" customFormat="1">
      <c r="A5" s="48"/>
      <c r="B5" s="48"/>
      <c r="C5" s="72"/>
      <c r="D5" s="73"/>
      <c r="E5" s="22" t="s">
        <v>305</v>
      </c>
      <c r="F5" s="24" t="s">
        <v>248</v>
      </c>
      <c r="G5" s="24" t="s">
        <v>224</v>
      </c>
      <c r="H5" s="24" t="s">
        <v>202</v>
      </c>
      <c r="I5" s="50"/>
      <c r="J5" s="15"/>
      <c r="K5" s="15"/>
      <c r="L5" s="15"/>
      <c r="M5" s="15"/>
      <c r="N5" s="15"/>
      <c r="O5" s="15"/>
      <c r="P5" s="15"/>
    </row>
    <row r="6" spans="1:16" s="43" customFormat="1">
      <c r="A6" s="24"/>
      <c r="B6" s="24"/>
      <c r="C6" s="49"/>
      <c r="D6" s="70"/>
      <c r="F6" s="24"/>
      <c r="G6" s="24"/>
      <c r="H6" s="24"/>
    </row>
    <row r="8" spans="1:16">
      <c r="E8" s="16" t="str">
        <f xml:space="preserve"> Customers!E$11</f>
        <v>New customers orders</v>
      </c>
      <c r="F8" s="16">
        <f xml:space="preserve"> Customers!F$11</f>
        <v>0</v>
      </c>
      <c r="G8" s="16" t="str">
        <f xml:space="preserve"> Customers!G$11</f>
        <v>Units</v>
      </c>
      <c r="H8" s="42">
        <f xml:space="preserve"> Customers!H$11</f>
        <v>261181.72293639058</v>
      </c>
      <c r="I8" s="16">
        <f xml:space="preserve"> Customers!I$11</f>
        <v>0</v>
      </c>
      <c r="J8" s="9">
        <f xml:space="preserve"> SUMIF( Time!$J291:$BQ291, Time!J$28, Customers!$J11:$BQ11)</f>
        <v>8423.5199996978354</v>
      </c>
      <c r="K8" s="9">
        <f xml:space="preserve"> SUMIF( Time!$J291:$BQ291, Time!K$28, Customers!$J11:$BQ11)</f>
        <v>16856.898499590458</v>
      </c>
      <c r="L8" s="9">
        <f xml:space="preserve"> SUMIF( Time!$J291:$BQ291, Time!L$28, Customers!$J11:$BQ11)</f>
        <v>33708.800976062739</v>
      </c>
      <c r="M8" s="9">
        <f xml:space="preserve"> SUMIF( Time!$J291:$BQ291, Time!M$28, Customers!$J11:$BQ11)</f>
        <v>67410.178292950688</v>
      </c>
      <c r="N8" s="9">
        <f xml:space="preserve"> SUMIF( Time!$J291:$BQ291, Time!N$28, Customers!$J11:$BQ11)</f>
        <v>134782.32516808886</v>
      </c>
    </row>
    <row r="9" spans="1:16">
      <c r="E9" s="16" t="str">
        <f xml:space="preserve"> Customers!E$32</f>
        <v>Renewing Customer Orders</v>
      </c>
      <c r="F9" s="16">
        <f xml:space="preserve"> Customers!F$32</f>
        <v>0</v>
      </c>
      <c r="G9" s="16" t="str">
        <f xml:space="preserve"> Customers!G$32</f>
        <v>Units</v>
      </c>
      <c r="H9" s="42">
        <f ca="1" xml:space="preserve"> Customers!H$32</f>
        <v>53090.297527815921</v>
      </c>
      <c r="I9" s="16">
        <f xml:space="preserve"> Customers!I$32</f>
        <v>0</v>
      </c>
      <c r="J9" s="9">
        <f ca="1" xml:space="preserve"> SUMIF( Time!$J291:$BQ291, Time!J$28, Customers!$J32:$BQ32)</f>
        <v>0</v>
      </c>
      <c r="K9" s="9">
        <f ca="1" xml:space="preserve"> SUMIF( Time!$J291:$BQ291, Time!K$28, Customers!$J32:$BQ32)</f>
        <v>0</v>
      </c>
      <c r="L9" s="9">
        <f ca="1" xml:space="preserve"> SUMIF( Time!$J291:$BQ291, Time!L$28, Customers!$J32:$BQ32)</f>
        <v>7581.1679997280535</v>
      </c>
      <c r="M9" s="9">
        <f ca="1" xml:space="preserve"> SUMIF( Time!$J291:$BQ291, Time!M$28, Customers!$J32:$BQ32)</f>
        <v>15171.208649631413</v>
      </c>
      <c r="N9" s="9">
        <f ca="1" xml:space="preserve"> SUMIF( Time!$J291:$BQ291, Time!N$28, Customers!$J32:$BQ32)</f>
        <v>30337.920878456462</v>
      </c>
    </row>
    <row r="10" spans="1:16">
      <c r="E10" s="16" t="str">
        <f xml:space="preserve"> Customers!E$21</f>
        <v>Customer Orders Awaiting Fullfilment</v>
      </c>
      <c r="F10" s="16">
        <f xml:space="preserve"> Customers!F$21</f>
        <v>0</v>
      </c>
      <c r="G10" s="16" t="str">
        <f xml:space="preserve"> Customers!G$21</f>
        <v>Units</v>
      </c>
      <c r="H10" s="42">
        <f xml:space="preserve"> Customers!H$21</f>
        <v>0</v>
      </c>
      <c r="I10" s="16">
        <f xml:space="preserve"> Customers!I$21</f>
        <v>0</v>
      </c>
      <c r="J10" s="9">
        <f ca="1" xml:space="preserve"> SUMIF( Time!$J296:$BQ296, Time!J$28, Customers!$J21:$BQ21)</f>
        <v>3423.5199996978349</v>
      </c>
      <c r="K10" s="9">
        <f ca="1" xml:space="preserve"> SUMIF( Time!$J296:$BQ296, Time!K$28, Customers!$J21:$BQ21)</f>
        <v>5280.4184992882947</v>
      </c>
      <c r="L10" s="9">
        <f ca="1" xml:space="preserve"> SUMIF( Time!$J296:$BQ296, Time!L$28, Customers!$J21:$BQ21)</f>
        <v>11612.884499067255</v>
      </c>
      <c r="M10" s="9">
        <f ca="1" xml:space="preserve"> SUMIF( Time!$J296:$BQ296, Time!M$28, Customers!$J21:$BQ21)</f>
        <v>32372.010202025675</v>
      </c>
      <c r="N10" s="9">
        <f ca="1" xml:space="preserve"> SUMIF( Time!$J296:$BQ296, Time!N$28, Customers!$J21:$BQ21)</f>
        <v>60392.68148681907</v>
      </c>
    </row>
    <row r="11" spans="1:16">
      <c r="E11" s="16" t="str">
        <f xml:space="preserve"> Inventory!E$26</f>
        <v>Units ordered</v>
      </c>
      <c r="F11" s="16">
        <f xml:space="preserve"> Inventory!F$26</f>
        <v>0</v>
      </c>
      <c r="G11" s="16" t="str">
        <f xml:space="preserve"> Inventory!G$26</f>
        <v>Units</v>
      </c>
      <c r="H11" s="42">
        <f ca="1" xml:space="preserve"> Inventory!H$26</f>
        <v>165000</v>
      </c>
      <c r="I11" s="16">
        <f xml:space="preserve"> Inventory!I$26</f>
        <v>0</v>
      </c>
      <c r="J11" s="9">
        <f ca="1" xml:space="preserve"> SUMIF( Time!$J291:$BQ291, Time!J$28, Inventory!$J26:$BQ26)</f>
        <v>10000</v>
      </c>
      <c r="K11" s="9">
        <f ca="1" xml:space="preserve"> SUMIF( Time!$J291:$BQ291, Time!K$28, Inventory!$J26:$BQ26)</f>
        <v>20000</v>
      </c>
      <c r="L11" s="9">
        <f ca="1" xml:space="preserve"> SUMIF( Time!$J291:$BQ291, Time!L$28, Inventory!$J26:$BQ26)</f>
        <v>25000</v>
      </c>
      <c r="M11" s="9">
        <f ca="1" xml:space="preserve"> SUMIF( Time!$J291:$BQ291, Time!M$28, Inventory!$J26:$BQ26)</f>
        <v>50000</v>
      </c>
      <c r="N11" s="9">
        <f ca="1" xml:space="preserve"> SUMIF( Time!$J291:$BQ291, Time!N$28, Inventory!$J26:$BQ26)</f>
        <v>60000</v>
      </c>
    </row>
    <row r="12" spans="1:16">
      <c r="E12" s="16" t="str">
        <f xml:space="preserve"> Inventory!E$41</f>
        <v>Units on order</v>
      </c>
      <c r="F12" s="16">
        <f xml:space="preserve"> Inventory!F$41</f>
        <v>0</v>
      </c>
      <c r="G12" s="16" t="str">
        <f xml:space="preserve"> Inventory!G$41</f>
        <v>Units</v>
      </c>
      <c r="H12" s="42">
        <f xml:space="preserve"> Inventory!H$41</f>
        <v>0</v>
      </c>
      <c r="I12" s="16">
        <f xml:space="preserve"> Inventory!I$41</f>
        <v>0</v>
      </c>
      <c r="J12" s="9">
        <f ca="1" xml:space="preserve"> SUMIF( Time!$J296:$BQ296, Time!J$28, Inventory!$J41:$BQ41)</f>
        <v>5000</v>
      </c>
      <c r="K12" s="9">
        <f ca="1" xml:space="preserve"> SUMIF( Time!$J296:$BQ296, Time!K$28, Inventory!$J41:$BQ41)</f>
        <v>10000</v>
      </c>
      <c r="L12" s="9">
        <f ca="1" xml:space="preserve"> SUMIF( Time!$J296:$BQ296, Time!L$28, Inventory!$J41:$BQ41)</f>
        <v>15000</v>
      </c>
      <c r="M12" s="9">
        <f ca="1" xml:space="preserve"> SUMIF( Time!$J296:$BQ296, Time!M$28, Inventory!$J41:$BQ41)</f>
        <v>30000</v>
      </c>
      <c r="N12" s="9">
        <f ca="1" xml:space="preserve"> SUMIF( Time!$J296:$BQ296, Time!N$28, Inventory!$J41:$BQ41)</f>
        <v>30000</v>
      </c>
    </row>
    <row r="13" spans="1:16">
      <c r="E13" s="16" t="str">
        <f xml:space="preserve"> Inventory!E$32</f>
        <v>Units delivered</v>
      </c>
      <c r="F13" s="16">
        <f xml:space="preserve"> Inventory!F$32</f>
        <v>0</v>
      </c>
      <c r="G13" s="16" t="str">
        <f xml:space="preserve"> Inventory!G$32</f>
        <v>Units</v>
      </c>
      <c r="H13" s="42">
        <f ca="1" xml:space="preserve"> Inventory!H$32</f>
        <v>135000</v>
      </c>
      <c r="I13" s="16">
        <f xml:space="preserve"> Inventory!I$32</f>
        <v>0</v>
      </c>
      <c r="J13" s="9">
        <f ca="1" xml:space="preserve"> SUMIF( Time!$J291:$BQ291, Time!J$28, Inventory!$J32:$BQ32)</f>
        <v>5000</v>
      </c>
      <c r="K13" s="9">
        <f ca="1" xml:space="preserve"> SUMIF( Time!$J291:$BQ291, Time!K$28, Inventory!$J32:$BQ32)</f>
        <v>15000</v>
      </c>
      <c r="L13" s="9">
        <f ca="1" xml:space="preserve"> SUMIF( Time!$J291:$BQ291, Time!L$28, Inventory!$J32:$BQ32)</f>
        <v>20000</v>
      </c>
      <c r="M13" s="9">
        <f ca="1" xml:space="preserve"> SUMIF( Time!$J291:$BQ291, Time!M$28, Inventory!$J32:$BQ32)</f>
        <v>35000</v>
      </c>
      <c r="N13" s="9">
        <f ca="1" xml:space="preserve"> SUMIF( Time!$J291:$BQ291, Time!N$28, Inventory!$J32:$BQ32)</f>
        <v>60000</v>
      </c>
    </row>
    <row r="14" spans="1:16">
      <c r="E14" s="16" t="str">
        <f xml:space="preserve"> Inventory!E$18</f>
        <v>Deployed units returned</v>
      </c>
      <c r="F14" s="16">
        <f xml:space="preserve"> Inventory!F$18</f>
        <v>0</v>
      </c>
      <c r="G14" s="16" t="str">
        <f xml:space="preserve"> Inventory!G$18</f>
        <v>Units</v>
      </c>
      <c r="H14" s="42">
        <f ca="1" xml:space="preserve"> Inventory!H$18</f>
        <v>66570.387475079086</v>
      </c>
      <c r="I14" s="16">
        <f xml:space="preserve"> Inventory!I$18</f>
        <v>0</v>
      </c>
      <c r="J14" s="9">
        <f ca="1" xml:space="preserve"> SUMIF( Time!$J291:$BQ291, Time!J$28, Inventory!$J18:$BQ18)</f>
        <v>0</v>
      </c>
      <c r="K14" s="9">
        <f ca="1" xml:space="preserve"> SUMIF( Time!$J291:$BQ291, Time!K$28, Inventory!$J18:$BQ18)</f>
        <v>0</v>
      </c>
      <c r="L14" s="9">
        <f ca="1" xml:space="preserve"> SUMIF( Time!$J291:$BQ291, Time!L$28, Inventory!$J18:$BQ18)</f>
        <v>8423.5199996978354</v>
      </c>
      <c r="M14" s="9">
        <f ca="1" xml:space="preserve"> SUMIF( Time!$J291:$BQ291, Time!M$28, Inventory!$J18:$BQ18)</f>
        <v>16856.898499590458</v>
      </c>
      <c r="N14" s="9">
        <f ca="1" xml:space="preserve"> SUMIF( Time!$J291:$BQ291, Time!N$28, Inventory!$J18:$BQ18)</f>
        <v>41289.968975790784</v>
      </c>
    </row>
    <row r="15" spans="1:16">
      <c r="E15" s="16" t="str">
        <f xml:space="preserve"> Inventory!E$56</f>
        <v>Units in stock</v>
      </c>
      <c r="F15" s="16">
        <f xml:space="preserve"> Inventory!F$56</f>
        <v>0</v>
      </c>
      <c r="G15" s="16" t="str">
        <f xml:space="preserve"> Inventory!G$56</f>
        <v>Units</v>
      </c>
      <c r="H15" s="42">
        <f xml:space="preserve"> Inventory!H$56</f>
        <v>0</v>
      </c>
      <c r="I15" s="16">
        <f xml:space="preserve"> Inventory!I$56</f>
        <v>0</v>
      </c>
      <c r="J15" s="9">
        <f ca="1" xml:space="preserve"> SUMIF( Time!$J296:$BQ296, Time!J$28, Inventory!$J56:$BQ56)</f>
        <v>0</v>
      </c>
      <c r="K15" s="9">
        <f ca="1" xml:space="preserve"> SUMIF( Time!$J296:$BQ296, Time!K$28, Inventory!$J56:$BQ56)</f>
        <v>0</v>
      </c>
      <c r="L15" s="9">
        <f ca="1" xml:space="preserve"> SUMIF( Time!$J296:$BQ296, Time!L$28, Inventory!$J56:$BQ56)</f>
        <v>1889.5370233838521</v>
      </c>
      <c r="M15" s="9">
        <f ca="1" xml:space="preserve"> SUMIF( Time!$J296:$BQ296, Time!M$28, Inventory!$J56:$BQ56)</f>
        <v>8781.0727829410807</v>
      </c>
      <c r="N15" s="9">
        <f ca="1" xml:space="preserve"> SUMIF( Time!$J296:$BQ296, Time!N$28, Inventory!$J56:$BQ56)</f>
        <v>14261.435972770712</v>
      </c>
    </row>
    <row r="16" spans="1:16">
      <c r="E16" s="16" t="str">
        <f xml:space="preserve"> Inventory!E$45</f>
        <v>Units deployed</v>
      </c>
      <c r="F16" s="16">
        <f xml:space="preserve"> Inventory!F$45</f>
        <v>0</v>
      </c>
      <c r="G16" s="16" t="str">
        <f xml:space="preserve"> Inventory!G$45</f>
        <v>Units</v>
      </c>
      <c r="H16" s="42">
        <f ca="1" xml:space="preserve"> Inventory!H$45</f>
        <v>253879.33897738747</v>
      </c>
      <c r="I16" s="16">
        <f xml:space="preserve"> Inventory!I$45</f>
        <v>0</v>
      </c>
      <c r="J16" s="9">
        <f ca="1" xml:space="preserve"> SUMIF( Time!$J291:$BQ291, Time!J$28, Inventory!$J45:$BQ45)</f>
        <v>5000</v>
      </c>
      <c r="K16" s="9">
        <f ca="1" xml:space="preserve"> SUMIF( Time!$J291:$BQ291, Time!K$28, Inventory!$J45:$BQ45)</f>
        <v>15000</v>
      </c>
      <c r="L16" s="9">
        <f ca="1" xml:space="preserve"> SUMIF( Time!$J291:$BQ291, Time!L$28, Inventory!$J45:$BQ45)</f>
        <v>34957.50297601182</v>
      </c>
      <c r="M16" s="9">
        <f ca="1" xml:space="preserve"> SUMIF( Time!$J291:$BQ291, Time!M$28, Inventory!$J45:$BQ45)</f>
        <v>61822.261239623687</v>
      </c>
      <c r="N16" s="9">
        <f ca="1" xml:space="preserve"> SUMIF( Time!$J291:$BQ291, Time!N$28, Inventory!$J45:$BQ45)</f>
        <v>137099.57476175195</v>
      </c>
    </row>
    <row r="17" spans="5:14">
      <c r="E17" s="16" t="str">
        <f xml:space="preserve"> Inventory!E$64</f>
        <v>Units in use</v>
      </c>
      <c r="F17" s="16">
        <f xml:space="preserve"> Inventory!F$64</f>
        <v>0</v>
      </c>
      <c r="G17" s="16" t="str">
        <f xml:space="preserve"> Inventory!G$64</f>
        <v>Units</v>
      </c>
      <c r="H17" s="42">
        <f xml:space="preserve"> Inventory!H$64</f>
        <v>0</v>
      </c>
      <c r="I17" s="16">
        <f xml:space="preserve"> Inventory!I$64</f>
        <v>0</v>
      </c>
      <c r="J17" s="9">
        <f ca="1" xml:space="preserve"> SUMIF( Time!$J296:$BQ296, Time!J$28, Inventory!$J64:$BQ64)</f>
        <v>5000</v>
      </c>
      <c r="K17" s="9">
        <f ca="1" xml:space="preserve"> SUMIF( Time!$J296:$BQ296, Time!K$28, Inventory!$J64:$BQ64)</f>
        <v>20000</v>
      </c>
      <c r="L17" s="9">
        <f ca="1" xml:space="preserve"> SUMIF( Time!$J296:$BQ296, Time!L$28, Inventory!$J64:$BQ64)</f>
        <v>46533.982976313979</v>
      </c>
      <c r="M17" s="9">
        <f ca="1" xml:space="preserve"> SUMIF( Time!$J296:$BQ296, Time!M$28, Inventory!$J64:$BQ64)</f>
        <v>91499.34571634719</v>
      </c>
      <c r="N17" s="9">
        <f ca="1" xml:space="preserve"> SUMIF( Time!$J296:$BQ296, Time!N$28, Inventory!$J64:$BQ64)</f>
        <v>187308.95150230839</v>
      </c>
    </row>
    <row r="18" spans="5:14">
      <c r="E18" s="16" t="str">
        <f xml:space="preserve"> Inventory!E$68</f>
        <v>Units retired</v>
      </c>
      <c r="F18" s="16">
        <f xml:space="preserve"> Inventory!F$68</f>
        <v>0</v>
      </c>
      <c r="G18" s="16" t="str">
        <f xml:space="preserve"> Inventory!G$68</f>
        <v>Units</v>
      </c>
      <c r="H18" s="42">
        <f ca="1" xml:space="preserve"> Inventory!H$68</f>
        <v>66570.387475079086</v>
      </c>
      <c r="I18" s="16">
        <f xml:space="preserve"> Inventory!I$68</f>
        <v>0</v>
      </c>
      <c r="J18" s="9">
        <f ca="1" xml:space="preserve"> SUMIF( Time!$J291:$BQ291, Time!J$28, Inventory!$J68:$BQ68)</f>
        <v>0</v>
      </c>
      <c r="K18" s="9">
        <f ca="1" xml:space="preserve"> SUMIF( Time!$J291:$BQ291, Time!K$28, Inventory!$J68:$BQ68)</f>
        <v>0</v>
      </c>
      <c r="L18" s="9">
        <f ca="1" xml:space="preserve"> SUMIF( Time!$J291:$BQ291, Time!L$28, Inventory!$J68:$BQ68)</f>
        <v>8423.5199996978354</v>
      </c>
      <c r="M18" s="9">
        <f ca="1" xml:space="preserve"> SUMIF( Time!$J291:$BQ291, Time!M$28, Inventory!$J68:$BQ68)</f>
        <v>16856.898499590458</v>
      </c>
      <c r="N18" s="9">
        <f ca="1" xml:space="preserve"> SUMIF( Time!$J291:$BQ291, Time!N$28, Inventory!$J68:$BQ68)</f>
        <v>41289.968975790784</v>
      </c>
    </row>
  </sheetData>
  <conditionalFormatting sqref="F2:F3">
    <cfRule type="cellIs" dxfId="126" priority="1" stopIfTrue="1" operator="notEqual">
      <formula>0</formula>
    </cfRule>
    <cfRule type="cellIs" dxfId="125" priority="2" stopIfTrue="1" operator="equal">
      <formula>""</formula>
    </cfRule>
  </conditionalFormatting>
  <conditionalFormatting sqref="J3:P3">
    <cfRule type="cellIs" dxfId="124" priority="3" operator="equal">
      <formula>"PPA ext."</formula>
    </cfRule>
    <cfRule type="cellIs" dxfId="123" priority="4" operator="equal">
      <formula>"Delay"</formula>
    </cfRule>
    <cfRule type="cellIs" dxfId="122" priority="5" operator="equal">
      <formula>"Fin Close"</formula>
    </cfRule>
    <cfRule type="cellIs" dxfId="121" priority="6" stopIfTrue="1" operator="equal">
      <formula>"Construction"</formula>
    </cfRule>
    <cfRule type="cellIs" dxfId="12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4F81BD"/>
    <outlinePr summaryBelow="0" summaryRight="0"/>
  </sheetPr>
  <dimension ref="A1:P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23.36328125" bestFit="1" customWidth="1"/>
    <col min="6" max="6" width="20.54296875" bestFit="1" customWidth="1"/>
    <col min="7" max="7" width="13.1796875" bestFit="1" customWidth="1"/>
    <col min="8" max="8" width="7.6328125" style="43" bestFit="1" customWidth="1"/>
    <col min="9" max="9" width="3.453125" customWidth="1"/>
    <col min="10" max="14" width="11.81640625" bestFit="1" customWidth="1"/>
    <col min="15" max="16" width="15.08984375" customWidth="1"/>
    <col min="17" max="17" width="15.08984375" hidden="1" customWidth="1"/>
    <col min="18" max="16384" width="15.08984375" hidden="1"/>
  </cols>
  <sheetData>
    <row r="1" spans="1:16" s="75" customFormat="1" ht="25.15">
      <c r="A1" s="45" t="str">
        <f ca="1" xml:space="preserve"> RIGHT(CELL("filename", A1), LEN(CELL("filename", A1)) - SEARCH("]", CELL("filename", A1)))</f>
        <v>Metrics Report Ann</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f xml:space="preserve"> Time!J$55</f>
        <v>45412</v>
      </c>
      <c r="K2" s="6">
        <f xml:space="preserve"> Time!K$55</f>
        <v>45777</v>
      </c>
      <c r="L2" s="6">
        <f xml:space="preserve"> Time!L$55</f>
        <v>46142</v>
      </c>
      <c r="M2" s="6">
        <f xml:space="preserve"> Time!M$55</f>
        <v>46507</v>
      </c>
      <c r="N2" s="6">
        <f xml:space="preserve"> Time!N$55</f>
        <v>46873</v>
      </c>
      <c r="O2" s="6"/>
      <c r="P2" s="6"/>
    </row>
    <row r="3" spans="1:16" s="34" customFormat="1">
      <c r="A3" s="48"/>
      <c r="B3" s="48"/>
      <c r="C3" s="72"/>
      <c r="D3" s="73"/>
      <c r="E3" s="39" t="s">
        <v>203</v>
      </c>
      <c r="F3" s="51"/>
      <c r="G3" s="55" t="s">
        <v>97</v>
      </c>
      <c r="H3" s="50"/>
      <c r="I3" s="50"/>
      <c r="J3" s="7" t="str">
        <f xml:space="preserve"> Time!J$62</f>
        <v>Month12</v>
      </c>
      <c r="K3" s="7" t="str">
        <f xml:space="preserve"> Time!K$62</f>
        <v>Month24</v>
      </c>
      <c r="L3" s="7" t="str">
        <f xml:space="preserve"> Time!L$62</f>
        <v>Month36</v>
      </c>
      <c r="M3" s="7" t="str">
        <f xml:space="preserve"> Time!M$62</f>
        <v>Month48</v>
      </c>
      <c r="N3" s="7" t="str">
        <f xml:space="preserve"> Time!N$62</f>
        <v>Month60</v>
      </c>
      <c r="O3" s="7"/>
      <c r="P3" s="7"/>
    </row>
    <row r="4" spans="1:16" s="28" customFormat="1">
      <c r="A4" s="48"/>
      <c r="B4" s="48"/>
      <c r="C4" s="72"/>
      <c r="D4" s="73"/>
      <c r="E4" s="22" t="s">
        <v>325</v>
      </c>
      <c r="F4"/>
      <c r="G4"/>
      <c r="H4" s="50"/>
      <c r="I4" s="50"/>
      <c r="J4" s="28">
        <f xml:space="preserve"> Time!J$68</f>
        <v>12</v>
      </c>
      <c r="K4" s="28">
        <f xml:space="preserve"> Time!K$68</f>
        <v>24</v>
      </c>
      <c r="L4" s="28">
        <f xml:space="preserve"> Time!L$68</f>
        <v>36</v>
      </c>
      <c r="M4" s="28">
        <f xml:space="preserve"> Time!M$68</f>
        <v>48</v>
      </c>
      <c r="N4" s="28">
        <f xml:space="preserve"> Time!N$68</f>
        <v>60</v>
      </c>
    </row>
    <row r="5" spans="1:16" s="34" customFormat="1">
      <c r="A5" s="48"/>
      <c r="B5" s="48"/>
      <c r="C5" s="72"/>
      <c r="D5" s="73"/>
      <c r="E5" s="22" t="s">
        <v>305</v>
      </c>
      <c r="F5" s="24" t="s">
        <v>248</v>
      </c>
      <c r="G5" s="24" t="s">
        <v>224</v>
      </c>
      <c r="H5" s="24" t="s">
        <v>202</v>
      </c>
      <c r="I5" s="50"/>
      <c r="J5" s="15"/>
      <c r="K5" s="15"/>
      <c r="L5" s="15"/>
      <c r="M5" s="15"/>
      <c r="N5" s="15"/>
      <c r="O5" s="15"/>
      <c r="P5" s="15"/>
    </row>
    <row r="6" spans="1:16" s="43" customFormat="1">
      <c r="A6" s="24"/>
      <c r="B6" s="24"/>
      <c r="C6" s="49"/>
      <c r="D6" s="70"/>
      <c r="F6" s="24"/>
      <c r="G6" s="24"/>
      <c r="H6" s="24"/>
    </row>
    <row r="8" spans="1:16">
      <c r="E8" s="16" t="str">
        <f xml:space="preserve"> Metrics!E$10</f>
        <v>Cash Low</v>
      </c>
      <c r="F8" s="16">
        <f ca="1" xml:space="preserve"> Metrics!$F$10</f>
        <v>-531500.75634385983</v>
      </c>
      <c r="G8" s="16" t="str">
        <f xml:space="preserve"> Metrics!G$10</f>
        <v>GBP</v>
      </c>
      <c r="H8" s="42"/>
      <c r="I8" s="16"/>
      <c r="J8" s="9"/>
      <c r="K8" s="9"/>
      <c r="L8" s="9"/>
      <c r="M8" s="9"/>
      <c r="N8" s="9"/>
    </row>
  </sheetData>
  <conditionalFormatting sqref="F2:F3">
    <cfRule type="cellIs" dxfId="119" priority="1" stopIfTrue="1" operator="notEqual">
      <formula>0</formula>
    </cfRule>
    <cfRule type="cellIs" dxfId="118" priority="2" stopIfTrue="1" operator="equal">
      <formula>""</formula>
    </cfRule>
  </conditionalFormatting>
  <conditionalFormatting sqref="J3:P3">
    <cfRule type="cellIs" dxfId="117" priority="3" operator="equal">
      <formula>"PPA ext."</formula>
    </cfRule>
    <cfRule type="cellIs" dxfId="116" priority="4" operator="equal">
      <formula>"Delay"</formula>
    </cfRule>
    <cfRule type="cellIs" dxfId="115" priority="5" operator="equal">
      <formula>"Fin Close"</formula>
    </cfRule>
    <cfRule type="cellIs" dxfId="114" priority="6" stopIfTrue="1" operator="equal">
      <formula>"Construction"</formula>
    </cfRule>
    <cfRule type="cellIs" dxfId="11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4F81BD"/>
    <outlinePr summaryBelow="0" summaryRight="0"/>
  </sheetPr>
  <dimension ref="A1:BQ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13.1796875" style="43" bestFit="1" customWidth="1"/>
    <col min="9" max="9" width="3.453125" customWidth="1"/>
    <col min="10" max="10" width="12.36328125" bestFit="1" customWidth="1"/>
    <col min="11" max="11" width="12.08984375" bestFit="1" customWidth="1"/>
    <col min="12" max="12" width="11.1796875" bestFit="1" customWidth="1"/>
    <col min="13" max="13" width="12.36328125" bestFit="1" customWidth="1"/>
    <col min="14" max="14" width="12.1796875" bestFit="1" customWidth="1"/>
    <col min="15" max="15" width="11.81640625" bestFit="1" customWidth="1"/>
    <col min="16" max="16" width="12.36328125" bestFit="1" customWidth="1"/>
    <col min="17" max="17" width="12.1796875" bestFit="1" customWidth="1"/>
    <col min="18" max="18" width="11.90625" bestFit="1" customWidth="1"/>
    <col min="19" max="19" width="12.08984375" bestFit="1" customWidth="1"/>
    <col min="20" max="20" width="12" bestFit="1" customWidth="1"/>
    <col min="21" max="21" width="11.81640625" bestFit="1" customWidth="1"/>
    <col min="22" max="22" width="12.36328125" bestFit="1" customWidth="1"/>
    <col min="23" max="23" width="12.08984375" bestFit="1" customWidth="1"/>
    <col min="24" max="24" width="11.1796875" bestFit="1" customWidth="1"/>
    <col min="25" max="25" width="12.36328125" bestFit="1" customWidth="1"/>
    <col min="26" max="26" width="12.1796875" bestFit="1" customWidth="1"/>
    <col min="27" max="27" width="11.81640625" bestFit="1" customWidth="1"/>
    <col min="28" max="28" width="12.36328125" bestFit="1" customWidth="1"/>
    <col min="29" max="29" width="12.1796875" bestFit="1" customWidth="1"/>
    <col min="30" max="30" width="11.90625" bestFit="1" customWidth="1"/>
    <col min="31" max="31" width="12.08984375" bestFit="1" customWidth="1"/>
    <col min="32" max="32" width="12" bestFit="1" customWidth="1"/>
    <col min="33" max="33" width="11.81640625" bestFit="1" customWidth="1"/>
    <col min="34" max="34" width="12.36328125" bestFit="1" customWidth="1"/>
    <col min="35" max="35" width="12.08984375" bestFit="1" customWidth="1"/>
    <col min="36" max="36" width="11.1796875" bestFit="1" customWidth="1"/>
    <col min="37" max="37" width="12.36328125" bestFit="1" customWidth="1"/>
    <col min="38" max="38" width="12.1796875" bestFit="1" customWidth="1"/>
    <col min="39" max="39" width="11.81640625" bestFit="1" customWidth="1"/>
    <col min="40" max="40" width="12.36328125" bestFit="1" customWidth="1"/>
    <col min="41" max="41" width="12.1796875" bestFit="1" customWidth="1"/>
    <col min="42" max="42" width="11.90625" bestFit="1" customWidth="1"/>
    <col min="43" max="43" width="12.08984375" bestFit="1" customWidth="1"/>
    <col min="44" max="44" width="12" bestFit="1" customWidth="1"/>
    <col min="45" max="45" width="11.81640625" bestFit="1" customWidth="1"/>
    <col min="46" max="46" width="12.36328125" bestFit="1" customWidth="1"/>
    <col min="47" max="47" width="12.08984375" bestFit="1" customWidth="1"/>
    <col min="48" max="48" width="11.1796875" bestFit="1" customWidth="1"/>
    <col min="49" max="49" width="12.36328125" bestFit="1" customWidth="1"/>
    <col min="50" max="50" width="12.1796875" bestFit="1" customWidth="1"/>
    <col min="51" max="51" width="11.81640625" bestFit="1" customWidth="1"/>
    <col min="52" max="52" width="12.36328125" bestFit="1" customWidth="1"/>
    <col min="53" max="53" width="12.1796875" bestFit="1" customWidth="1"/>
    <col min="54" max="54" width="11.90625" bestFit="1" customWidth="1"/>
    <col min="55" max="55" width="12.08984375" bestFit="1" customWidth="1"/>
    <col min="56" max="56" width="12" bestFit="1" customWidth="1"/>
    <col min="57" max="57" width="11.81640625" bestFit="1" customWidth="1"/>
    <col min="58" max="58" width="12.36328125" bestFit="1" customWidth="1"/>
    <col min="59" max="59" width="12.08984375" bestFit="1" customWidth="1"/>
    <col min="60" max="60" width="11.81640625" bestFit="1" customWidth="1"/>
    <col min="61" max="61" width="12.36328125" bestFit="1" customWidth="1"/>
    <col min="62" max="62" width="12.1796875" bestFit="1" customWidth="1"/>
    <col min="63" max="63" width="11.81640625" bestFit="1" customWidth="1"/>
    <col min="64" max="64" width="12.36328125" bestFit="1" customWidth="1"/>
    <col min="65" max="65" width="12.1796875" bestFit="1" customWidth="1"/>
    <col min="66" max="66" width="11.90625" bestFit="1" customWidth="1"/>
    <col min="67" max="67" width="12.08984375" bestFit="1" customWidth="1"/>
    <col min="68" max="68" width="12" bestFit="1" customWidth="1"/>
    <col min="69" max="69" width="11.81640625" bestFit="1" customWidth="1"/>
    <col min="70" max="70" width="15.08984375" hidden="1" customWidth="1"/>
    <col min="71" max="16384" width="15.08984375" hidden="1"/>
  </cols>
  <sheetData>
    <row r="1" spans="1:69" s="75" customFormat="1" ht="25.15">
      <c r="A1" s="45" t="str">
        <f ca="1" xml:space="preserve"> RIGHT(CELL("filename", A1), LEN(CELL("filename", A1)) - SEARCH("]", CELL("filename", A1)))</f>
        <v>Income Statement</v>
      </c>
      <c r="B1" s="69"/>
      <c r="C1" s="74"/>
      <c r="D1" s="71"/>
      <c r="F1" s="52" t="str">
        <f>HYPERLINK("#Contents!A1","Go to contents")</f>
        <v>Go to contents</v>
      </c>
      <c r="H1" s="47"/>
      <c r="J1" s="47"/>
    </row>
    <row r="2" spans="1:69" s="53" customFormat="1">
      <c r="A2" s="48"/>
      <c r="B2" s="48"/>
      <c r="C2" s="72"/>
      <c r="D2" s="73"/>
      <c r="E2" s="22" t="s">
        <v>324</v>
      </c>
      <c r="F2" s="51">
        <f ca="1" xml:space="preserve"> 'Model Checks and Alerts'!F11</f>
        <v>0</v>
      </c>
      <c r="G2" s="55"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48"/>
      <c r="B3" s="48"/>
      <c r="C3" s="72"/>
      <c r="D3" s="73"/>
      <c r="E3" s="39" t="s">
        <v>203</v>
      </c>
      <c r="F3" s="51"/>
      <c r="G3" s="55" t="s">
        <v>97</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48"/>
      <c r="B4" s="48"/>
      <c r="C4" s="72"/>
      <c r="D4" s="73"/>
      <c r="E4" s="22" t="s">
        <v>325</v>
      </c>
      <c r="F4"/>
      <c r="G4"/>
      <c r="H4" s="50"/>
      <c r="I4" s="50"/>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48"/>
      <c r="B5" s="48"/>
      <c r="C5" s="72"/>
      <c r="D5" s="73"/>
      <c r="E5" s="22" t="s">
        <v>305</v>
      </c>
      <c r="F5" s="24" t="s">
        <v>248</v>
      </c>
      <c r="G5" s="24" t="s">
        <v>224</v>
      </c>
      <c r="H5" s="24" t="s">
        <v>202</v>
      </c>
      <c r="I5" s="50"/>
      <c r="J5" s="15"/>
      <c r="K5" s="15"/>
      <c r="L5" s="15"/>
      <c r="M5" s="15"/>
      <c r="N5" s="15"/>
      <c r="O5" s="15"/>
      <c r="P5" s="15"/>
    </row>
    <row r="6" spans="1:69" s="43" customFormat="1">
      <c r="A6" s="24"/>
      <c r="B6" s="24"/>
      <c r="C6" s="49"/>
      <c r="D6" s="70"/>
      <c r="F6" s="24"/>
      <c r="G6" s="24"/>
      <c r="H6" s="24"/>
    </row>
    <row r="8" spans="1:69">
      <c r="E8" s="16" t="str">
        <f xml:space="preserve"> Income!E$18</f>
        <v>Income</v>
      </c>
      <c r="F8" s="16">
        <f xml:space="preserve"> Income!F$18</f>
        <v>0</v>
      </c>
      <c r="G8" s="16" t="str">
        <f xml:space="preserve"> Income!G$18</f>
        <v>GBP</v>
      </c>
      <c r="H8" s="42">
        <f ca="1" xml:space="preserve"> Income!H$18</f>
        <v>36564748.008238308</v>
      </c>
      <c r="I8" s="16">
        <f xml:space="preserve"> Income!I$18</f>
        <v>0</v>
      </c>
      <c r="J8" s="9">
        <f ca="1" xml:space="preserve"> Income!J$18</f>
        <v>0</v>
      </c>
      <c r="K8" s="9">
        <f ca="1" xml:space="preserve"> Income!K$18</f>
        <v>0</v>
      </c>
      <c r="L8" s="9">
        <f ca="1" xml:space="preserve"> Income!L$18</f>
        <v>0</v>
      </c>
      <c r="M8" s="9">
        <f ca="1" xml:space="preserve"> Income!M$18</f>
        <v>0</v>
      </c>
      <c r="N8" s="9">
        <f ca="1" xml:space="preserve"> Income!N$18</f>
        <v>0</v>
      </c>
      <c r="O8" s="9">
        <f ca="1" xml:space="preserve"> Income!O$18</f>
        <v>0</v>
      </c>
      <c r="P8" s="9">
        <f ca="1" xml:space="preserve"> Income!P$18</f>
        <v>0</v>
      </c>
      <c r="Q8" s="9">
        <f ca="1" xml:space="preserve"> Income!Q$18</f>
        <v>50357.312450014142</v>
      </c>
      <c r="R8" s="9">
        <f ca="1" xml:space="preserve"> Income!R$18</f>
        <v>59365.6686271574</v>
      </c>
      <c r="S8" s="9">
        <f ca="1" xml:space="preserve"> Income!S$18</f>
        <v>60000</v>
      </c>
      <c r="T8" s="9">
        <f ca="1" xml:space="preserve"> Income!T$18</f>
        <v>60000</v>
      </c>
      <c r="U8" s="9">
        <f ca="1" xml:space="preserve"> Income!U$18</f>
        <v>60000</v>
      </c>
      <c r="V8" s="9">
        <f ca="1" xml:space="preserve"> Income!V$18</f>
        <v>60000</v>
      </c>
      <c r="W8" s="9">
        <f ca="1" xml:space="preserve"> Income!W$18</f>
        <v>113082.23999637403</v>
      </c>
      <c r="X8" s="9">
        <f ca="1" xml:space="preserve"> Income!X$18</f>
        <v>120000</v>
      </c>
      <c r="Y8" s="9">
        <f ca="1" xml:space="preserve"> Income!Y$18</f>
        <v>120000</v>
      </c>
      <c r="Z8" s="9">
        <f ca="1" xml:space="preserve"> Income!Z$18</f>
        <v>120000</v>
      </c>
      <c r="AA8" s="9">
        <f ca="1" xml:space="preserve"> Income!AA$18</f>
        <v>120000</v>
      </c>
      <c r="AB8" s="9">
        <f ca="1" xml:space="preserve"> Income!AB$18</f>
        <v>120000</v>
      </c>
      <c r="AC8" s="9">
        <f ca="1" xml:space="preserve"> Income!AC$18</f>
        <v>180000</v>
      </c>
      <c r="AD8" s="9">
        <f ca="1" xml:space="preserve"> Income!AD$18</f>
        <v>180000</v>
      </c>
      <c r="AE8" s="9">
        <f ca="1" xml:space="preserve"> Income!AE$18</f>
        <v>180000</v>
      </c>
      <c r="AF8" s="9">
        <f ca="1" xml:space="preserve"> Income!AF$18</f>
        <v>180000</v>
      </c>
      <c r="AG8" s="9">
        <f ca="1" xml:space="preserve"> Income!AG$18</f>
        <v>240000</v>
      </c>
      <c r="AH8" s="9">
        <f ca="1" xml:space="preserve"> Income!AH$18</f>
        <v>234000</v>
      </c>
      <c r="AI8" s="9">
        <f ca="1" xml:space="preserve"> Income!AI$18</f>
        <v>239636.17568683118</v>
      </c>
      <c r="AJ8" s="9">
        <f ca="1" xml:space="preserve"> Income!AJ$18</f>
        <v>245626.92009305855</v>
      </c>
      <c r="AK8" s="9">
        <f ca="1" xml:space="preserve"> Income!AK$18</f>
        <v>311955.31605470786</v>
      </c>
      <c r="AL8" s="9">
        <f ca="1" xml:space="preserve"> Income!AL$18</f>
        <v>318667.44940205838</v>
      </c>
      <c r="AM8" s="9">
        <f ca="1" xml:space="preserve"> Income!AM$18</f>
        <v>325801.83937475621</v>
      </c>
      <c r="AN8" s="9">
        <f ca="1" xml:space="preserve"> Income!AN$18</f>
        <v>393338.33928704081</v>
      </c>
      <c r="AO8" s="9">
        <f ca="1" xml:space="preserve"> Income!AO$18</f>
        <v>401348.95627287088</v>
      </c>
      <c r="AP8" s="9">
        <f ca="1" xml:space="preserve"> Income!AP$18</f>
        <v>469811.06928352593</v>
      </c>
      <c r="AQ8" s="9">
        <f ca="1" xml:space="preserve"> Income!AQ$18</f>
        <v>478786.30270319071</v>
      </c>
      <c r="AR8" s="9">
        <f ca="1" xml:space="preserve"> Income!AR$18</f>
        <v>488363.44862070272</v>
      </c>
      <c r="AS8" s="9">
        <f ca="1" xml:space="preserve"> Income!AS$18</f>
        <v>558407.79571576777</v>
      </c>
      <c r="AT8" s="9">
        <f ca="1" xml:space="preserve"> Income!AT$18</f>
        <v>569082.239996374</v>
      </c>
      <c r="AU8" s="9">
        <f ca="1" xml:space="preserve"> Income!AU$18</f>
        <v>580343.54299793672</v>
      </c>
      <c r="AV8" s="9">
        <f ca="1" xml:space="preserve"> Income!AV$18</f>
        <v>652336.48343181284</v>
      </c>
      <c r="AW8" s="9">
        <f ca="1" xml:space="preserve"> Income!AW$18</f>
        <v>665004.42673942214</v>
      </c>
      <c r="AX8" s="9">
        <f ca="1" xml:space="preserve"> Income!AX$18</f>
        <v>738439.43899624969</v>
      </c>
      <c r="AY8" s="9">
        <f ca="1" xml:space="preserve"> Income!AY$18</f>
        <v>752718.44357102388</v>
      </c>
      <c r="AZ8" s="9">
        <f ca="1" xml:space="preserve"> Income!AZ$18</f>
        <v>827801.11836955743</v>
      </c>
      <c r="BA8" s="9">
        <f ca="1" xml:space="preserve"> Income!BA$18</f>
        <v>903831.29224146029</v>
      </c>
      <c r="BB8" s="9">
        <f ca="1" xml:space="preserve"> Income!BB$18</f>
        <v>920753.59080051072</v>
      </c>
      <c r="BC8" s="9">
        <f ca="1" xml:space="preserve"> Income!BC$18</f>
        <v>998720.23832714895</v>
      </c>
      <c r="BD8" s="9">
        <f ca="1" xml:space="preserve"> Income!BD$18</f>
        <v>1077897.4131257366</v>
      </c>
      <c r="BE8" s="9">
        <f ca="1" xml:space="preserve"> Income!BE$18</f>
        <v>1097992.1485961662</v>
      </c>
      <c r="BF8" s="9">
        <f ca="1" xml:space="preserve"> Income!BF$18</f>
        <v>1173949.8387853671</v>
      </c>
      <c r="BG8" s="9">
        <f ca="1" xml:space="preserve"> Income!BG$18</f>
        <v>1261582.7303092666</v>
      </c>
      <c r="BH8" s="9">
        <f ca="1" xml:space="preserve"> Income!BH$18</f>
        <v>1350952.6513025677</v>
      </c>
      <c r="BI8" s="9">
        <f ca="1" xml:space="preserve"> Income!BI$18</f>
        <v>1441976.6646725067</v>
      </c>
      <c r="BJ8" s="9">
        <f ca="1" xml:space="preserve"> Income!BJ$18</f>
        <v>1534880.4501635674</v>
      </c>
      <c r="BK8" s="9">
        <f ca="1" xml:space="preserve"> Income!BK$18</f>
        <v>1629852.5985074346</v>
      </c>
      <c r="BL8" s="9">
        <f ca="1" xml:space="preserve"> Income!BL$18</f>
        <v>1726794.3526011482</v>
      </c>
      <c r="BM8" s="9">
        <f ca="1" xml:space="preserve"> Income!BM$18</f>
        <v>1826058.3000804824</v>
      </c>
      <c r="BN8" s="9">
        <f ca="1" xml:space="preserve"> Income!BN$18</f>
        <v>1927517.4107336544</v>
      </c>
      <c r="BO8" s="9">
        <f ca="1" xml:space="preserve"> Income!BO$18</f>
        <v>2031520.3283493733</v>
      </c>
      <c r="BP8" s="9">
        <f ca="1" xml:space="preserve"> Income!BP$18</f>
        <v>2138486.0539437877</v>
      </c>
      <c r="BQ8" s="9">
        <f ca="1" xml:space="preserve"> Income!BQ$18</f>
        <v>2247707.4180277009</v>
      </c>
    </row>
    <row r="9" spans="1:69">
      <c r="E9" s="16" t="str">
        <f xml:space="preserve"> Expense!E$27</f>
        <v xml:space="preserve">Variable Operating expense </v>
      </c>
      <c r="F9" s="16">
        <f xml:space="preserve"> Expense!F$27</f>
        <v>0</v>
      </c>
      <c r="G9" s="16" t="str">
        <f xml:space="preserve"> Expense!G$27</f>
        <v>GBP</v>
      </c>
      <c r="H9" s="42">
        <f ca="1" xml:space="preserve"> Expense!H$27</f>
        <v>-4525517.0946845738</v>
      </c>
      <c r="I9" s="16">
        <f xml:space="preserve"> Expense!I$27</f>
        <v>0</v>
      </c>
      <c r="J9" s="9">
        <f ca="1">Expense!J$27</f>
        <v>-7200</v>
      </c>
      <c r="K9" s="9">
        <f ca="1">Expense!K$27</f>
        <v>-7636.5891758025509</v>
      </c>
      <c r="L9" s="9">
        <f ca="1">Expense!L$27</f>
        <v>-8084.2850641322384</v>
      </c>
      <c r="M9" s="9">
        <f ca="1">Expense!M$27</f>
        <v>-8574.4949742853441</v>
      </c>
      <c r="N9" s="9">
        <f ca="1">Expense!N$27</f>
        <v>-9094.4299317501118</v>
      </c>
      <c r="O9" s="9">
        <f ca="1">Expense!O$27</f>
        <v>-9627.5918962627675</v>
      </c>
      <c r="P9" s="9">
        <f ca="1">Expense!P$27</f>
        <v>-10211.383897783971</v>
      </c>
      <c r="Q9" s="9">
        <f ca="1">Expense!Q$27</f>
        <v>-10810.027412571899</v>
      </c>
      <c r="R9" s="9">
        <f ca="1">Expense!R$27</f>
        <v>-11465.519212357696</v>
      </c>
      <c r="S9" s="9">
        <f ca="1">Expense!S$27</f>
        <v>-12160.758321117633</v>
      </c>
      <c r="T9" s="9">
        <f ca="1">Expense!T$27</f>
        <v>-12828.941541220887</v>
      </c>
      <c r="U9" s="9">
        <f ca="1">Expense!U$27</f>
        <v>-13604.666568363735</v>
      </c>
      <c r="V9" s="9">
        <f ca="1">Expense!V$27</f>
        <v>-14400</v>
      </c>
      <c r="W9" s="9">
        <f ca="1">Expense!W$27</f>
        <v>-15286.43639812469</v>
      </c>
      <c r="X9" s="9">
        <f ca="1">Expense!X$27</f>
        <v>-16181.344275598138</v>
      </c>
      <c r="Y9" s="9">
        <f ca="1">Expense!Y$27</f>
        <v>-17161.156582065021</v>
      </c>
      <c r="Z9" s="9">
        <f ca="1">Expense!Z$27</f>
        <v>-18200.298455936998</v>
      </c>
      <c r="AA9" s="9">
        <f ca="1">Expense!AA$27</f>
        <v>-19265.791422144866</v>
      </c>
      <c r="AB9" s="9">
        <f ca="1">Expense!AB$27</f>
        <v>-20432.373086049545</v>
      </c>
      <c r="AC9" s="9">
        <f ca="1">Expense!AC$27</f>
        <v>-21628.537525815598</v>
      </c>
      <c r="AD9" s="9">
        <f ca="1">Expense!AD$27</f>
        <v>-22950.316780770718</v>
      </c>
      <c r="AE9" s="9">
        <f ca="1">Expense!AE$27</f>
        <v>-24340.656529575466</v>
      </c>
      <c r="AF9" s="9">
        <f ca="1">Expense!AF$27</f>
        <v>-25668.703300845769</v>
      </c>
      <c r="AG9" s="9">
        <f ca="1">Expense!AG$27</f>
        <v>-27223.724037175791</v>
      </c>
      <c r="AH9" s="9">
        <f ca="1">Expense!AH$27</f>
        <v>-35298.219847310618</v>
      </c>
      <c r="AI9" s="9">
        <f ca="1">Expense!AI$27</f>
        <v>-37436.969865941661</v>
      </c>
      <c r="AJ9" s="9">
        <f ca="1">Expense!AJ$27</f>
        <v>-39630.034539922111</v>
      </c>
      <c r="AK9" s="9">
        <f ca="1">Expense!AK$27</f>
        <v>-42031.253035917427</v>
      </c>
      <c r="AL9" s="9">
        <f ca="1">Expense!AL$27</f>
        <v>-44577.963482561958</v>
      </c>
      <c r="AM9" s="9">
        <f ca="1">Expense!AM$27</f>
        <v>-47189.348952483386</v>
      </c>
      <c r="AN9" s="9">
        <f ca="1">Expense!AN$27</f>
        <v>-50048.592992511149</v>
      </c>
      <c r="AO9" s="9">
        <f ca="1">Expense!AO$27</f>
        <v>-52980.449009821335</v>
      </c>
      <c r="AP9" s="9">
        <f ca="1">Expense!AP$27</f>
        <v>-56209.965235836076</v>
      </c>
      <c r="AQ9" s="9">
        <f ca="1">Expense!AQ$27</f>
        <v>-59616.42933280985</v>
      </c>
      <c r="AR9" s="9">
        <f ca="1">Expense!AR$27</f>
        <v>-62873.987952322634</v>
      </c>
      <c r="AS9" s="9">
        <f ca="1">Expense!AS$27</f>
        <v>-66682.33900394915</v>
      </c>
      <c r="AT9" s="9">
        <f ca="1">Expense!AT$27</f>
        <v>-70587.333846708134</v>
      </c>
      <c r="AU9" s="9">
        <f ca="1">Expense!AU$27</f>
        <v>-74877.03465515186</v>
      </c>
      <c r="AV9" s="9">
        <f ca="1">Expense!AV$27</f>
        <v>-79263.051098438416</v>
      </c>
      <c r="AW9" s="9">
        <f ca="1">Expense!AW$27</f>
        <v>-84065.346325966166</v>
      </c>
      <c r="AX9" s="9">
        <f ca="1">Expense!AX$27</f>
        <v>-89158.597312183934</v>
      </c>
      <c r="AY9" s="9">
        <f ca="1">Expense!AY$27</f>
        <v>-94381.174309272974</v>
      </c>
      <c r="AZ9" s="9">
        <f ca="1">Expense!AZ$27</f>
        <v>-100099.42843134473</v>
      </c>
      <c r="BA9" s="9">
        <f ca="1">Expense!BA$27</f>
        <v>-105962.87842355632</v>
      </c>
      <c r="BB9" s="9">
        <f ca="1">Expense!BB$27</f>
        <v>-112425.71597327135</v>
      </c>
      <c r="BC9" s="9">
        <f ca="1">Expense!BC$27</f>
        <v>-119238.60272028444</v>
      </c>
      <c r="BD9" s="9">
        <f ca="1">Expense!BD$27</f>
        <v>-125746.35238671978</v>
      </c>
      <c r="BE9" s="9">
        <f ca="1">Expense!BE$27</f>
        <v>-133366.45649028415</v>
      </c>
      <c r="BF9" s="9">
        <f ca="1">Expense!BF$27</f>
        <v>-141180.13593087136</v>
      </c>
      <c r="BG9" s="9">
        <f ca="1">Expense!BG$27</f>
        <v>-149735.51201368691</v>
      </c>
      <c r="BH9" s="9">
        <f ca="1">Expense!BH$27</f>
        <v>-158508.22237370175</v>
      </c>
      <c r="BI9" s="9">
        <f ca="1">Expense!BI$27</f>
        <v>-168113.66331561311</v>
      </c>
      <c r="BJ9" s="9">
        <f ca="1">Expense!BJ$27</f>
        <v>-178301.18445665308</v>
      </c>
      <c r="BK9" s="9">
        <f ca="1">Expense!BK$27</f>
        <v>-188747.50165063617</v>
      </c>
      <c r="BL9" s="9">
        <f ca="1">Expense!BL$27</f>
        <v>-200185.41294255387</v>
      </c>
      <c r="BM9" s="9">
        <f ca="1">Expense!BM$27</f>
        <v>-211913.88425111026</v>
      </c>
      <c r="BN9" s="9">
        <f ca="1">Expense!BN$27</f>
        <v>-224556.41343663895</v>
      </c>
      <c r="BO9" s="9">
        <f ca="1">Expense!BO$27</f>
        <v>-238160.7223027338</v>
      </c>
      <c r="BP9" s="9">
        <f ca="1">Expense!BP$27</f>
        <v>-251544.77291546759</v>
      </c>
      <c r="BQ9" s="9">
        <f ca="1">Expense!BQ$27</f>
        <v>-266784.11748058593</v>
      </c>
    </row>
    <row r="10" spans="1:69">
      <c r="E10" s="16" t="str">
        <f xml:space="preserve"> Expense!E$20</f>
        <v xml:space="preserve">Fixed operating expense </v>
      </c>
      <c r="F10" s="16">
        <f xml:space="preserve"> Expense!F$20</f>
        <v>0</v>
      </c>
      <c r="G10" s="16" t="str">
        <f xml:space="preserve"> Expense!G$20</f>
        <v>GBP</v>
      </c>
      <c r="H10" s="42">
        <f xml:space="preserve"> Expense!H$20</f>
        <v>-3419071.4947073567</v>
      </c>
      <c r="I10" s="16">
        <f xml:space="preserve"> Expense!I$20</f>
        <v>0</v>
      </c>
      <c r="J10" s="9">
        <f>Expense!J$20</f>
        <v>-45000</v>
      </c>
      <c r="K10" s="9">
        <f>Expense!K$20</f>
        <v>-45000</v>
      </c>
      <c r="L10" s="9">
        <f>Expense!L$20</f>
        <v>-45000</v>
      </c>
      <c r="M10" s="9">
        <f>Expense!M$20</f>
        <v>-46094.142332421929</v>
      </c>
      <c r="N10" s="9">
        <f>Expense!N$20</f>
        <v>-46094.142332421929</v>
      </c>
      <c r="O10" s="9">
        <f>Expense!O$20</f>
        <v>-46094.142332421929</v>
      </c>
      <c r="P10" s="9">
        <f>Expense!P$20</f>
        <v>-47214.887941368259</v>
      </c>
      <c r="Q10" s="9">
        <f>Expense!Q$20</f>
        <v>-47214.887941368259</v>
      </c>
      <c r="R10" s="9">
        <f>Expense!R$20</f>
        <v>-47214.887941368259</v>
      </c>
      <c r="S10" s="9">
        <f>Expense!S$20</f>
        <v>-48362.883666195121</v>
      </c>
      <c r="T10" s="9">
        <f>Expense!T$20</f>
        <v>-48362.883666195121</v>
      </c>
      <c r="U10" s="9">
        <f>Expense!U$20</f>
        <v>-48362.883666195121</v>
      </c>
      <c r="V10" s="9">
        <f>Expense!V$20</f>
        <v>-49500.000000000007</v>
      </c>
      <c r="W10" s="9">
        <f>Expense!W$20</f>
        <v>-49500.000000000007</v>
      </c>
      <c r="X10" s="9">
        <f>Expense!X$20</f>
        <v>-49500.000000000007</v>
      </c>
      <c r="Y10" s="9">
        <f>Expense!Y$20</f>
        <v>-50708.501394855797</v>
      </c>
      <c r="Z10" s="9">
        <f>Expense!Z$20</f>
        <v>-50708.501394855797</v>
      </c>
      <c r="AA10" s="9">
        <f>Expense!AA$20</f>
        <v>-50708.501394855797</v>
      </c>
      <c r="AB10" s="9">
        <f>Expense!AB$20</f>
        <v>-51939.73483307648</v>
      </c>
      <c r="AC10" s="9">
        <f>Expense!AC$20</f>
        <v>-51939.73483307648</v>
      </c>
      <c r="AD10" s="9">
        <f>Expense!AD$20</f>
        <v>-51939.73483307648</v>
      </c>
      <c r="AE10" s="9">
        <f>Expense!AE$20</f>
        <v>-53204.926698313757</v>
      </c>
      <c r="AF10" s="9">
        <f>Expense!AF$20</f>
        <v>-53204.926698313757</v>
      </c>
      <c r="AG10" s="9">
        <f>Expense!AG$20</f>
        <v>-53204.926698313757</v>
      </c>
      <c r="AH10" s="9">
        <f>Expense!AH$20</f>
        <v>-54454.735278236491</v>
      </c>
      <c r="AI10" s="9">
        <f>Expense!AI$20</f>
        <v>-54454.735278236491</v>
      </c>
      <c r="AJ10" s="9">
        <f>Expense!AJ$20</f>
        <v>-54454.735278236491</v>
      </c>
      <c r="AK10" s="9">
        <f>Expense!AK$20</f>
        <v>-55777.540025685339</v>
      </c>
      <c r="AL10" s="9">
        <f>Expense!AL$20</f>
        <v>-55777.540025685339</v>
      </c>
      <c r="AM10" s="9">
        <f>Expense!AM$20</f>
        <v>-55777.540025685339</v>
      </c>
      <c r="AN10" s="9">
        <f>Expense!AN$20</f>
        <v>-57132.478110867487</v>
      </c>
      <c r="AO10" s="9">
        <f>Expense!AO$20</f>
        <v>-57132.478110867487</v>
      </c>
      <c r="AP10" s="9">
        <f>Expense!AP$20</f>
        <v>-57132.478110867487</v>
      </c>
      <c r="AQ10" s="9">
        <f>Expense!AQ$20</f>
        <v>-58523.837854155172</v>
      </c>
      <c r="AR10" s="9">
        <f>Expense!AR$20</f>
        <v>-58523.837854155172</v>
      </c>
      <c r="AS10" s="9">
        <f>Expense!AS$20</f>
        <v>-58523.837854155172</v>
      </c>
      <c r="AT10" s="9">
        <f>Expense!AT$20</f>
        <v>-59898.907453406857</v>
      </c>
      <c r="AU10" s="9">
        <f>Expense!AU$20</f>
        <v>-59898.907453406857</v>
      </c>
      <c r="AV10" s="9">
        <f>Expense!AV$20</f>
        <v>-59898.907453406857</v>
      </c>
      <c r="AW10" s="9">
        <f>Expense!AW$20</f>
        <v>-61354.297040832636</v>
      </c>
      <c r="AX10" s="9">
        <f>Expense!AX$20</f>
        <v>-61354.297040832636</v>
      </c>
      <c r="AY10" s="9">
        <f>Expense!AY$20</f>
        <v>-61354.297040832636</v>
      </c>
      <c r="AZ10" s="9">
        <f>Expense!AZ$20</f>
        <v>-62845.048856740366</v>
      </c>
      <c r="BA10" s="9">
        <f>Expense!BA$20</f>
        <v>-62845.048856740366</v>
      </c>
      <c r="BB10" s="9">
        <f>Expense!BB$20</f>
        <v>-62845.048856740366</v>
      </c>
      <c r="BC10" s="9">
        <f>Expense!BC$20</f>
        <v>-64375.177481826024</v>
      </c>
      <c r="BD10" s="9">
        <f>Expense!BD$20</f>
        <v>-64375.177481826024</v>
      </c>
      <c r="BE10" s="9">
        <f>Expense!BE$20</f>
        <v>-64375.177481826024</v>
      </c>
      <c r="BF10" s="9">
        <f>Expense!BF$20</f>
        <v>-65887.939007352761</v>
      </c>
      <c r="BG10" s="9">
        <f>Expense!BG$20</f>
        <v>-65887.939007352761</v>
      </c>
      <c r="BH10" s="9">
        <f>Expense!BH$20</f>
        <v>-65887.939007352761</v>
      </c>
      <c r="BI10" s="9">
        <f>Expense!BI$20</f>
        <v>-67489.068501538102</v>
      </c>
      <c r="BJ10" s="9">
        <f>Expense!BJ$20</f>
        <v>-67489.068501538102</v>
      </c>
      <c r="BK10" s="9">
        <f>Expense!BK$20</f>
        <v>-67489.068501538102</v>
      </c>
      <c r="BL10" s="9">
        <f>Expense!BL$20</f>
        <v>-69129.106720078344</v>
      </c>
      <c r="BM10" s="9">
        <f>Expense!BM$20</f>
        <v>-69129.106720078344</v>
      </c>
      <c r="BN10" s="9">
        <f>Expense!BN$20</f>
        <v>-69129.106720078344</v>
      </c>
      <c r="BO10" s="9">
        <f>Expense!BO$20</f>
        <v>-70797.285038834758</v>
      </c>
      <c r="BP10" s="9">
        <f>Expense!BP$20</f>
        <v>-70797.285038834758</v>
      </c>
      <c r="BQ10" s="9">
        <f>Expense!BQ$20</f>
        <v>-70797.285038834758</v>
      </c>
    </row>
    <row r="11" spans="1:69">
      <c r="E11" s="12" t="s">
        <v>176</v>
      </c>
      <c r="F11" s="32"/>
      <c r="G11" s="12" t="s">
        <v>252</v>
      </c>
      <c r="H11" s="54">
        <f ca="1" xml:space="preserve"> SUM( J11:BQ11 )</f>
        <v>28620159.418846376</v>
      </c>
      <c r="I11" s="32"/>
      <c r="J11" s="12">
        <f t="shared" ref="J11:BQ11" ca="1" si="0" xml:space="preserve"> SUM( J8:J10 )</f>
        <v>-52200</v>
      </c>
      <c r="K11" s="12">
        <f t="shared" ca="1" si="0"/>
        <v>-52636.589175802554</v>
      </c>
      <c r="L11" s="12">
        <f t="shared" ca="1" si="0"/>
        <v>-53084.285064132237</v>
      </c>
      <c r="M11" s="12">
        <f t="shared" ca="1" si="0"/>
        <v>-54668.637306707271</v>
      </c>
      <c r="N11" s="12">
        <f t="shared" ca="1" si="0"/>
        <v>-55188.572264172042</v>
      </c>
      <c r="O11" s="12">
        <f t="shared" ca="1" si="0"/>
        <v>-55721.734228684698</v>
      </c>
      <c r="P11" s="12">
        <f t="shared" ca="1" si="0"/>
        <v>-57426.271839152228</v>
      </c>
      <c r="Q11" s="12">
        <f t="shared" ca="1" si="0"/>
        <v>-7667.6029039260175</v>
      </c>
      <c r="R11" s="12">
        <f t="shared" ca="1" si="0"/>
        <v>685.26147343144112</v>
      </c>
      <c r="S11" s="12">
        <f t="shared" ca="1" si="0"/>
        <v>-523.64198731275246</v>
      </c>
      <c r="T11" s="12">
        <f t="shared" ca="1" si="0"/>
        <v>-1191.8252074160118</v>
      </c>
      <c r="U11" s="12">
        <f t="shared" ca="1" si="0"/>
        <v>-1967.5502345588538</v>
      </c>
      <c r="V11" s="12">
        <f t="shared" ca="1" si="0"/>
        <v>-3900.0000000000073</v>
      </c>
      <c r="W11" s="12">
        <f t="shared" ca="1" si="0"/>
        <v>48295.803598249338</v>
      </c>
      <c r="X11" s="12">
        <f t="shared" ca="1" si="0"/>
        <v>54318.655724401855</v>
      </c>
      <c r="Y11" s="12">
        <f t="shared" ca="1" si="0"/>
        <v>52130.342023079189</v>
      </c>
      <c r="Z11" s="12">
        <f t="shared" ca="1" si="0"/>
        <v>51091.200149207209</v>
      </c>
      <c r="AA11" s="12">
        <f t="shared" ca="1" si="0"/>
        <v>50025.707182999344</v>
      </c>
      <c r="AB11" s="12">
        <f t="shared" ca="1" si="0"/>
        <v>47627.892080873979</v>
      </c>
      <c r="AC11" s="12">
        <f t="shared" ca="1" si="0"/>
        <v>106431.72764110792</v>
      </c>
      <c r="AD11" s="12">
        <f t="shared" ca="1" si="0"/>
        <v>105109.9483861528</v>
      </c>
      <c r="AE11" s="12">
        <f t="shared" ca="1" si="0"/>
        <v>102454.41677211077</v>
      </c>
      <c r="AF11" s="12">
        <f t="shared" ca="1" si="0"/>
        <v>101126.37000084046</v>
      </c>
      <c r="AG11" s="12">
        <f t="shared" ca="1" si="0"/>
        <v>159571.34926451044</v>
      </c>
      <c r="AH11" s="12">
        <f t="shared" ca="1" si="0"/>
        <v>144247.04487445287</v>
      </c>
      <c r="AI11" s="12">
        <f t="shared" ca="1" si="0"/>
        <v>147744.470542653</v>
      </c>
      <c r="AJ11" s="12">
        <f t="shared" ca="1" si="0"/>
        <v>151542.15027489996</v>
      </c>
      <c r="AK11" s="12">
        <f t="shared" ca="1" si="0"/>
        <v>214146.52299310511</v>
      </c>
      <c r="AL11" s="12">
        <f t="shared" ca="1" si="0"/>
        <v>218311.94589381106</v>
      </c>
      <c r="AM11" s="12">
        <f t="shared" ca="1" si="0"/>
        <v>222834.95039658749</v>
      </c>
      <c r="AN11" s="12">
        <f t="shared" ca="1" si="0"/>
        <v>286157.26818366215</v>
      </c>
      <c r="AO11" s="12">
        <f t="shared" ca="1" si="0"/>
        <v>291236.02915218205</v>
      </c>
      <c r="AP11" s="12">
        <f t="shared" ca="1" si="0"/>
        <v>356468.62593682233</v>
      </c>
      <c r="AQ11" s="12">
        <f t="shared" ca="1" si="0"/>
        <v>360646.03551622567</v>
      </c>
      <c r="AR11" s="12">
        <f t="shared" ca="1" si="0"/>
        <v>366965.62281422492</v>
      </c>
      <c r="AS11" s="12">
        <f t="shared" ca="1" si="0"/>
        <v>433201.61885766347</v>
      </c>
      <c r="AT11" s="12">
        <f t="shared" ca="1" si="0"/>
        <v>438595.99869625905</v>
      </c>
      <c r="AU11" s="12">
        <f t="shared" ca="1" si="0"/>
        <v>445567.60088937799</v>
      </c>
      <c r="AV11" s="12">
        <f t="shared" ca="1" si="0"/>
        <v>513174.52487996756</v>
      </c>
      <c r="AW11" s="12">
        <f t="shared" ca="1" si="0"/>
        <v>519584.78337262332</v>
      </c>
      <c r="AX11" s="12">
        <f t="shared" ca="1" si="0"/>
        <v>587926.54464323306</v>
      </c>
      <c r="AY11" s="12">
        <f t="shared" ca="1" si="0"/>
        <v>596982.97222091816</v>
      </c>
      <c r="AZ11" s="12">
        <f t="shared" ca="1" si="0"/>
        <v>664856.64108147239</v>
      </c>
      <c r="BA11" s="12">
        <f t="shared" ca="1" si="0"/>
        <v>735023.36496116361</v>
      </c>
      <c r="BB11" s="12">
        <f t="shared" ca="1" si="0"/>
        <v>745482.82597049908</v>
      </c>
      <c r="BC11" s="12">
        <f t="shared" ca="1" si="0"/>
        <v>815106.45812503842</v>
      </c>
      <c r="BD11" s="12">
        <f t="shared" ca="1" si="0"/>
        <v>887775.88325719081</v>
      </c>
      <c r="BE11" s="12">
        <f t="shared" ca="1" si="0"/>
        <v>900250.51462405594</v>
      </c>
      <c r="BF11" s="12">
        <f t="shared" ca="1" si="0"/>
        <v>966881.76384714292</v>
      </c>
      <c r="BG11" s="12">
        <f t="shared" ca="1" si="0"/>
        <v>1045959.279288227</v>
      </c>
      <c r="BH11" s="12">
        <f t="shared" ca="1" si="0"/>
        <v>1126556.4899215132</v>
      </c>
      <c r="BI11" s="12">
        <f t="shared" ca="1" si="0"/>
        <v>1206373.9328553556</v>
      </c>
      <c r="BJ11" s="12">
        <f t="shared" ca="1" si="0"/>
        <v>1289090.1972053763</v>
      </c>
      <c r="BK11" s="12">
        <f t="shared" ca="1" si="0"/>
        <v>1373616.0283552604</v>
      </c>
      <c r="BL11" s="12">
        <f t="shared" ca="1" si="0"/>
        <v>1457479.832938516</v>
      </c>
      <c r="BM11" s="12">
        <f t="shared" ca="1" si="0"/>
        <v>1545015.3091092939</v>
      </c>
      <c r="BN11" s="12">
        <f t="shared" ca="1" si="0"/>
        <v>1633831.8905769372</v>
      </c>
      <c r="BO11" s="12">
        <f t="shared" ca="1" si="0"/>
        <v>1722562.3210078047</v>
      </c>
      <c r="BP11" s="12">
        <f t="shared" ca="1" si="0"/>
        <v>1816143.9959894854</v>
      </c>
      <c r="BQ11" s="12">
        <f t="shared" ca="1" si="0"/>
        <v>1910126.0155082804</v>
      </c>
    </row>
    <row r="13" spans="1:69">
      <c r="E13" s="16" t="str">
        <f xml:space="preserve"> Assets!E$12</f>
        <v xml:space="preserve">Depreciation this period </v>
      </c>
      <c r="F13" s="16">
        <f xml:space="preserve"> Assets!F$12</f>
        <v>0</v>
      </c>
      <c r="G13" s="16" t="str">
        <f xml:space="preserve"> Assets!G$12</f>
        <v>GBP</v>
      </c>
      <c r="H13" s="42">
        <f ca="1" xml:space="preserve"> Assets!H$12</f>
        <v>-3718654.3045475697</v>
      </c>
      <c r="I13" s="16">
        <f xml:space="preserve"> Assets!I$12</f>
        <v>0</v>
      </c>
      <c r="J13" s="9">
        <f>Assets!J$12</f>
        <v>0</v>
      </c>
      <c r="K13" s="9">
        <f ca="1">Assets!K$12</f>
        <v>-7291.666666666667</v>
      </c>
      <c r="L13" s="9">
        <f ca="1">Assets!L$12</f>
        <v>-7291.666666666667</v>
      </c>
      <c r="M13" s="9">
        <f ca="1">Assets!M$12</f>
        <v>-7291.666666666667</v>
      </c>
      <c r="N13" s="9">
        <f ca="1">Assets!N$12</f>
        <v>-7291.666666666667</v>
      </c>
      <c r="O13" s="9">
        <f ca="1">Assets!O$12</f>
        <v>-7291.666666666667</v>
      </c>
      <c r="P13" s="9">
        <f ca="1">Assets!P$12</f>
        <v>-7291.666666666667</v>
      </c>
      <c r="Q13" s="9">
        <f ca="1">Assets!Q$12</f>
        <v>-14583.333333333334</v>
      </c>
      <c r="R13" s="9">
        <f ca="1">Assets!R$12</f>
        <v>-14583.333333333334</v>
      </c>
      <c r="S13" s="9">
        <f ca="1">Assets!S$12</f>
        <v>-14583.333333333334</v>
      </c>
      <c r="T13" s="9">
        <f ca="1">Assets!T$12</f>
        <v>-14583.333333333334</v>
      </c>
      <c r="U13" s="9">
        <f ca="1">Assets!U$12</f>
        <v>-14583.333333333334</v>
      </c>
      <c r="V13" s="9">
        <f ca="1">Assets!V$12</f>
        <v>-14583.333333333334</v>
      </c>
      <c r="W13" s="9">
        <f ca="1">Assets!W$12</f>
        <v>-21875</v>
      </c>
      <c r="X13" s="9">
        <f ca="1">Assets!X$12</f>
        <v>-21875</v>
      </c>
      <c r="Y13" s="9">
        <f ca="1">Assets!Y$12</f>
        <v>-21875</v>
      </c>
      <c r="Z13" s="9">
        <f ca="1">Assets!Z$12</f>
        <v>-21875</v>
      </c>
      <c r="AA13" s="9">
        <f ca="1">Assets!AA$12</f>
        <v>-29166.666666666668</v>
      </c>
      <c r="AB13" s="9">
        <f ca="1">Assets!AB$12</f>
        <v>-29166.666666666668</v>
      </c>
      <c r="AC13" s="9">
        <f ca="1">Assets!AC$12</f>
        <v>-29166.666666666668</v>
      </c>
      <c r="AD13" s="9">
        <f ca="1">Assets!AD$12</f>
        <v>-29166.666666666668</v>
      </c>
      <c r="AE13" s="9">
        <f ca="1">Assets!AE$12</f>
        <v>-36458.333333333336</v>
      </c>
      <c r="AF13" s="9">
        <f ca="1">Assets!AF$12</f>
        <v>-36458.333333333336</v>
      </c>
      <c r="AG13" s="9">
        <f ca="1">Assets!AG$12</f>
        <v>-36458.333333333336</v>
      </c>
      <c r="AH13" s="9">
        <f ca="1">Assets!AH$12</f>
        <v>-43750</v>
      </c>
      <c r="AI13" s="9">
        <f ca="1">Assets!AI$12</f>
        <v>-43020.833333333336</v>
      </c>
      <c r="AJ13" s="9">
        <f ca="1">Assets!AJ$12</f>
        <v>-49539.118573052401</v>
      </c>
      <c r="AK13" s="9">
        <f ca="1">Assets!AK$12</f>
        <v>-48720.397574080678</v>
      </c>
      <c r="AL13" s="9">
        <f ca="1">Assets!AL$12</f>
        <v>-47852.031474254327</v>
      </c>
      <c r="AM13" s="9">
        <f ca="1">Assets!AM$12</f>
        <v>-54222.676591119911</v>
      </c>
      <c r="AN13" s="9">
        <f ca="1">Assets!AN$12</f>
        <v>-53247.660050699786</v>
      </c>
      <c r="AO13" s="9">
        <f ca="1">Assets!AO$12</f>
        <v>-52213.521056421894</v>
      </c>
      <c r="AP13" s="9">
        <f ca="1">Assets!AP$12</f>
        <v>-58410.422215449624</v>
      </c>
      <c r="AQ13" s="9">
        <f ca="1">Assets!AQ$12</f>
        <v>-57249.272989661084</v>
      </c>
      <c r="AR13" s="9">
        <f ca="1">Assets!AR$12</f>
        <v>-63309.38137727938</v>
      </c>
      <c r="AS13" s="9">
        <f ca="1">Assets!AS$12</f>
        <v>-62010.154079991386</v>
      </c>
      <c r="AT13" s="9">
        <f ca="1">Assets!AT$12</f>
        <v>-67924.033333774001</v>
      </c>
      <c r="AU13" s="9">
        <f ca="1">Assets!AU$12</f>
        <v>-73757.36666710733</v>
      </c>
      <c r="AV13" s="9">
        <f ca="1">Assets!AV$12</f>
        <v>-72209.261129102801</v>
      </c>
      <c r="AW13" s="9">
        <f ca="1">Assets!AW$12</f>
        <v>-77862.192119710628</v>
      </c>
      <c r="AX13" s="9">
        <f ca="1">Assets!AX$12</f>
        <v>-83415.894433448266</v>
      </c>
      <c r="AY13" s="9">
        <f ca="1">Assets!AY$12</f>
        <v>-81572.692911579637</v>
      </c>
      <c r="AZ13" s="9">
        <f ca="1">Assets!AZ$12</f>
        <v>-86913.252229360107</v>
      </c>
      <c r="BA13" s="9">
        <f ca="1">Assets!BA$12</f>
        <v>-92135.66814946504</v>
      </c>
      <c r="BB13" s="9">
        <f ca="1">Assets!BB$12</f>
        <v>-97236.94473105199</v>
      </c>
      <c r="BC13" s="9">
        <f ca="1">Assets!BC$12</f>
        <v>-102204.36056633275</v>
      </c>
      <c r="BD13" s="9">
        <f ca="1">Assets!BD$12</f>
        <v>-107030.97231825652</v>
      </c>
      <c r="BE13" s="9">
        <f ca="1">Assets!BE$12</f>
        <v>-111723.08859276578</v>
      </c>
      <c r="BF13" s="9">
        <f ca="1">Assets!BF$12</f>
        <v>-116257.72302187124</v>
      </c>
      <c r="BG13" s="9">
        <f ca="1">Assets!BG$12</f>
        <v>-119974.62784057531</v>
      </c>
      <c r="BH13" s="9">
        <f ca="1">Assets!BH$12</f>
        <v>-123474.93471179072</v>
      </c>
      <c r="BI13" s="9">
        <f ca="1">Assets!BI$12</f>
        <v>-126753.14301937963</v>
      </c>
      <c r="BJ13" s="9">
        <f ca="1">Assets!BJ$12</f>
        <v>-129788.17237048752</v>
      </c>
      <c r="BK13" s="9">
        <f ca="1">Assets!BK$12</f>
        <v>-132565.28833724195</v>
      </c>
      <c r="BL13" s="9">
        <f ca="1">Assets!BL$12</f>
        <v>-135077.9410764291</v>
      </c>
      <c r="BM13" s="9">
        <f ca="1">Assets!BM$12</f>
        <v>-137301.02917035882</v>
      </c>
      <c r="BN13" s="9">
        <f ca="1">Assets!BN$12</f>
        <v>-139227.19897549841</v>
      </c>
      <c r="BO13" s="9">
        <f ca="1">Assets!BO$12</f>
        <v>-140826.30550543399</v>
      </c>
      <c r="BP13" s="9">
        <f ca="1">Assets!BP$12</f>
        <v>-142080.42869221538</v>
      </c>
      <c r="BQ13" s="9">
        <f ca="1">Assets!BQ$12</f>
        <v>-143004.64866232162</v>
      </c>
    </row>
    <row r="14" spans="1:69">
      <c r="E14" s="12" t="s">
        <v>63</v>
      </c>
      <c r="F14" s="32"/>
      <c r="G14" s="12" t="s">
        <v>252</v>
      </c>
      <c r="H14" s="54">
        <f ca="1" xml:space="preserve"> SUM( J14:BQ14 )</f>
        <v>24901505.114298813</v>
      </c>
      <c r="I14" s="32"/>
      <c r="J14" s="12">
        <f t="shared" ref="J14:BQ14" ca="1" si="1" xml:space="preserve"> J11 + J13</f>
        <v>-52200</v>
      </c>
      <c r="K14" s="12">
        <f t="shared" ca="1" si="1"/>
        <v>-59928.255842469218</v>
      </c>
      <c r="L14" s="12">
        <f t="shared" ca="1" si="1"/>
        <v>-60375.951730798901</v>
      </c>
      <c r="M14" s="12">
        <f t="shared" ca="1" si="1"/>
        <v>-61960.303973373935</v>
      </c>
      <c r="N14" s="12">
        <f t="shared" ca="1" si="1"/>
        <v>-62480.238930838706</v>
      </c>
      <c r="O14" s="12">
        <f t="shared" ca="1" si="1"/>
        <v>-63013.400895351362</v>
      </c>
      <c r="P14" s="12">
        <f t="shared" ca="1" si="1"/>
        <v>-64717.938505818893</v>
      </c>
      <c r="Q14" s="12">
        <f t="shared" ca="1" si="1"/>
        <v>-22250.936237259353</v>
      </c>
      <c r="R14" s="12">
        <f t="shared" ca="1" si="1"/>
        <v>-13898.071859901893</v>
      </c>
      <c r="S14" s="12">
        <f t="shared" ca="1" si="1"/>
        <v>-15106.975320646086</v>
      </c>
      <c r="T14" s="12">
        <f t="shared" ca="1" si="1"/>
        <v>-15775.158540749346</v>
      </c>
      <c r="U14" s="12">
        <f t="shared" ca="1" si="1"/>
        <v>-16550.88356789219</v>
      </c>
      <c r="V14" s="12">
        <f t="shared" ca="1" si="1"/>
        <v>-18483.333333333343</v>
      </c>
      <c r="W14" s="12">
        <f t="shared" ca="1" si="1"/>
        <v>26420.803598249338</v>
      </c>
      <c r="X14" s="12">
        <f t="shared" ca="1" si="1"/>
        <v>32443.655724401855</v>
      </c>
      <c r="Y14" s="12">
        <f t="shared" ca="1" si="1"/>
        <v>30255.342023079189</v>
      </c>
      <c r="Z14" s="12">
        <f t="shared" ca="1" si="1"/>
        <v>29216.200149207209</v>
      </c>
      <c r="AA14" s="12">
        <f t="shared" ca="1" si="1"/>
        <v>20859.040516332676</v>
      </c>
      <c r="AB14" s="12">
        <f t="shared" ca="1" si="1"/>
        <v>18461.225414207311</v>
      </c>
      <c r="AC14" s="12">
        <f t="shared" ca="1" si="1"/>
        <v>77265.06097444125</v>
      </c>
      <c r="AD14" s="12">
        <f t="shared" ca="1" si="1"/>
        <v>75943.281719486127</v>
      </c>
      <c r="AE14" s="12">
        <f t="shared" ca="1" si="1"/>
        <v>65996.083438777423</v>
      </c>
      <c r="AF14" s="12">
        <f t="shared" ca="1" si="1"/>
        <v>64668.03666750712</v>
      </c>
      <c r="AG14" s="12">
        <f t="shared" ca="1" si="1"/>
        <v>123113.0159311771</v>
      </c>
      <c r="AH14" s="12">
        <f t="shared" ca="1" si="1"/>
        <v>100497.04487445287</v>
      </c>
      <c r="AI14" s="12">
        <f t="shared" ca="1" si="1"/>
        <v>104723.63720931966</v>
      </c>
      <c r="AJ14" s="12">
        <f t="shared" ca="1" si="1"/>
        <v>102003.03170184756</v>
      </c>
      <c r="AK14" s="12">
        <f t="shared" ca="1" si="1"/>
        <v>165426.12541902444</v>
      </c>
      <c r="AL14" s="12">
        <f t="shared" ca="1" si="1"/>
        <v>170459.91441955674</v>
      </c>
      <c r="AM14" s="12">
        <f t="shared" ca="1" si="1"/>
        <v>168612.27380546759</v>
      </c>
      <c r="AN14" s="12">
        <f t="shared" ca="1" si="1"/>
        <v>232909.60813296237</v>
      </c>
      <c r="AO14" s="12">
        <f t="shared" ca="1" si="1"/>
        <v>239022.50809576016</v>
      </c>
      <c r="AP14" s="12">
        <f t="shared" ca="1" si="1"/>
        <v>298058.2037213727</v>
      </c>
      <c r="AQ14" s="12">
        <f t="shared" ca="1" si="1"/>
        <v>303396.76252656459</v>
      </c>
      <c r="AR14" s="12">
        <f t="shared" ca="1" si="1"/>
        <v>303656.24143694551</v>
      </c>
      <c r="AS14" s="12">
        <f t="shared" ca="1" si="1"/>
        <v>371191.46477767208</v>
      </c>
      <c r="AT14" s="12">
        <f t="shared" ca="1" si="1"/>
        <v>370671.96536248503</v>
      </c>
      <c r="AU14" s="12">
        <f t="shared" ca="1" si="1"/>
        <v>371810.23422227066</v>
      </c>
      <c r="AV14" s="12">
        <f t="shared" ca="1" si="1"/>
        <v>440965.26375086477</v>
      </c>
      <c r="AW14" s="12">
        <f t="shared" ca="1" si="1"/>
        <v>441722.59125291271</v>
      </c>
      <c r="AX14" s="12">
        <f t="shared" ca="1" si="1"/>
        <v>504510.6502097848</v>
      </c>
      <c r="AY14" s="12">
        <f t="shared" ca="1" si="1"/>
        <v>515410.27930933854</v>
      </c>
      <c r="AZ14" s="12">
        <f t="shared" ca="1" si="1"/>
        <v>577943.38885211223</v>
      </c>
      <c r="BA14" s="12">
        <f t="shared" ca="1" si="1"/>
        <v>642887.69681169861</v>
      </c>
      <c r="BB14" s="12">
        <f t="shared" ca="1" si="1"/>
        <v>648245.88123944704</v>
      </c>
      <c r="BC14" s="12">
        <f t="shared" ca="1" si="1"/>
        <v>712902.09755870572</v>
      </c>
      <c r="BD14" s="12">
        <f t="shared" ca="1" si="1"/>
        <v>780744.91093893431</v>
      </c>
      <c r="BE14" s="12">
        <f t="shared" ca="1" si="1"/>
        <v>788527.4260312902</v>
      </c>
      <c r="BF14" s="12">
        <f t="shared" ca="1" si="1"/>
        <v>850624.04082527175</v>
      </c>
      <c r="BG14" s="12">
        <f t="shared" ca="1" si="1"/>
        <v>925984.65144765167</v>
      </c>
      <c r="BH14" s="12">
        <f t="shared" ca="1" si="1"/>
        <v>1003081.5552097225</v>
      </c>
      <c r="BI14" s="12">
        <f t="shared" ca="1" si="1"/>
        <v>1079620.789835976</v>
      </c>
      <c r="BJ14" s="12">
        <f t="shared" ca="1" si="1"/>
        <v>1159302.0248348888</v>
      </c>
      <c r="BK14" s="12">
        <f t="shared" ca="1" si="1"/>
        <v>1241050.7400180185</v>
      </c>
      <c r="BL14" s="12">
        <f t="shared" ca="1" si="1"/>
        <v>1322401.891862087</v>
      </c>
      <c r="BM14" s="12">
        <f t="shared" ca="1" si="1"/>
        <v>1407714.2799389351</v>
      </c>
      <c r="BN14" s="12">
        <f t="shared" ca="1" si="1"/>
        <v>1494604.6916014389</v>
      </c>
      <c r="BO14" s="12">
        <f t="shared" ca="1" si="1"/>
        <v>1581736.0155023707</v>
      </c>
      <c r="BP14" s="12">
        <f t="shared" ca="1" si="1"/>
        <v>1674063.5672972701</v>
      </c>
      <c r="BQ14" s="12">
        <f t="shared" ca="1" si="1"/>
        <v>1767121.3668459589</v>
      </c>
    </row>
    <row r="16" spans="1:69">
      <c r="E16" s="16" t="str">
        <f xml:space="preserve"> 'Supply Chain finance'!E$42</f>
        <v xml:space="preserve">Supply Chain Finance interest </v>
      </c>
      <c r="F16" s="16">
        <f xml:space="preserve"> 'Supply Chain finance'!F$42</f>
        <v>0</v>
      </c>
      <c r="G16" s="16" t="str">
        <f xml:space="preserve"> 'Supply Chain finance'!G$42</f>
        <v>GBP</v>
      </c>
      <c r="H16" s="42">
        <f ca="1" xml:space="preserve"> 'Supply Chain finance'!H$42</f>
        <v>0</v>
      </c>
      <c r="I16" s="16">
        <f xml:space="preserve"> 'Supply Chain finance'!I$42</f>
        <v>0</v>
      </c>
      <c r="J16" s="9">
        <f>'Supply Chain finance'!J$42</f>
        <v>0</v>
      </c>
      <c r="K16" s="9">
        <f ca="1">'Supply Chain finance'!K$42</f>
        <v>0</v>
      </c>
      <c r="L16" s="9">
        <f ca="1">'Supply Chain finance'!L$42</f>
        <v>0</v>
      </c>
      <c r="M16" s="9">
        <f ca="1">'Supply Chain finance'!M$42</f>
        <v>0</v>
      </c>
      <c r="N16" s="9">
        <f ca="1">'Supply Chain finance'!N$42</f>
        <v>0</v>
      </c>
      <c r="O16" s="9">
        <f ca="1">'Supply Chain finance'!O$42</f>
        <v>0</v>
      </c>
      <c r="P16" s="9">
        <f ca="1">'Supply Chain finance'!P$42</f>
        <v>0</v>
      </c>
      <c r="Q16" s="9">
        <f ca="1">'Supply Chain finance'!Q$42</f>
        <v>0</v>
      </c>
      <c r="R16" s="9">
        <f ca="1">'Supply Chain finance'!R$42</f>
        <v>0</v>
      </c>
      <c r="S16" s="9">
        <f ca="1">'Supply Chain finance'!S$42</f>
        <v>0</v>
      </c>
      <c r="T16" s="9">
        <f ca="1">'Supply Chain finance'!T$42</f>
        <v>0</v>
      </c>
      <c r="U16" s="9">
        <f ca="1">'Supply Chain finance'!U$42</f>
        <v>0</v>
      </c>
      <c r="V16" s="9">
        <f ca="1">'Supply Chain finance'!V$42</f>
        <v>0</v>
      </c>
      <c r="W16" s="9">
        <f ca="1">'Supply Chain finance'!W$42</f>
        <v>0</v>
      </c>
      <c r="X16" s="9">
        <f ca="1">'Supply Chain finance'!X$42</f>
        <v>0</v>
      </c>
      <c r="Y16" s="9">
        <f ca="1">'Supply Chain finance'!Y$42</f>
        <v>0</v>
      </c>
      <c r="Z16" s="9">
        <f ca="1">'Supply Chain finance'!Z$42</f>
        <v>0</v>
      </c>
      <c r="AA16" s="9">
        <f ca="1">'Supply Chain finance'!AA$42</f>
        <v>0</v>
      </c>
      <c r="AB16" s="9">
        <f ca="1">'Supply Chain finance'!AB$42</f>
        <v>0</v>
      </c>
      <c r="AC16" s="9">
        <f ca="1">'Supply Chain finance'!AC$42</f>
        <v>0</v>
      </c>
      <c r="AD16" s="9">
        <f ca="1">'Supply Chain finance'!AD$42</f>
        <v>0</v>
      </c>
      <c r="AE16" s="9">
        <f ca="1">'Supply Chain finance'!AE$42</f>
        <v>0</v>
      </c>
      <c r="AF16" s="9">
        <f ca="1">'Supply Chain finance'!AF$42</f>
        <v>0</v>
      </c>
      <c r="AG16" s="9">
        <f ca="1">'Supply Chain finance'!AG$42</f>
        <v>0</v>
      </c>
      <c r="AH16" s="9">
        <f ca="1">'Supply Chain finance'!AH$42</f>
        <v>0</v>
      </c>
      <c r="AI16" s="9">
        <f ca="1">'Supply Chain finance'!AI$42</f>
        <v>0</v>
      </c>
      <c r="AJ16" s="9">
        <f ca="1">'Supply Chain finance'!AJ$42</f>
        <v>0</v>
      </c>
      <c r="AK16" s="9">
        <f ca="1">'Supply Chain finance'!AK$42</f>
        <v>0</v>
      </c>
      <c r="AL16" s="9">
        <f ca="1">'Supply Chain finance'!AL$42</f>
        <v>0</v>
      </c>
      <c r="AM16" s="9">
        <f ca="1">'Supply Chain finance'!AM$42</f>
        <v>0</v>
      </c>
      <c r="AN16" s="9">
        <f ca="1">'Supply Chain finance'!AN$42</f>
        <v>0</v>
      </c>
      <c r="AO16" s="9">
        <f ca="1">'Supply Chain finance'!AO$42</f>
        <v>0</v>
      </c>
      <c r="AP16" s="9">
        <f ca="1">'Supply Chain finance'!AP$42</f>
        <v>0</v>
      </c>
      <c r="AQ16" s="9">
        <f ca="1">'Supply Chain finance'!AQ$42</f>
        <v>0</v>
      </c>
      <c r="AR16" s="9">
        <f ca="1">'Supply Chain finance'!AR$42</f>
        <v>0</v>
      </c>
      <c r="AS16" s="9">
        <f ca="1">'Supply Chain finance'!AS$42</f>
        <v>0</v>
      </c>
      <c r="AT16" s="9">
        <f ca="1">'Supply Chain finance'!AT$42</f>
        <v>0</v>
      </c>
      <c r="AU16" s="9">
        <f ca="1">'Supply Chain finance'!AU$42</f>
        <v>0</v>
      </c>
      <c r="AV16" s="9">
        <f ca="1">'Supply Chain finance'!AV$42</f>
        <v>0</v>
      </c>
      <c r="AW16" s="9">
        <f ca="1">'Supply Chain finance'!AW$42</f>
        <v>0</v>
      </c>
      <c r="AX16" s="9">
        <f ca="1">'Supply Chain finance'!AX$42</f>
        <v>0</v>
      </c>
      <c r="AY16" s="9">
        <f ca="1">'Supply Chain finance'!AY$42</f>
        <v>0</v>
      </c>
      <c r="AZ16" s="9">
        <f ca="1">'Supply Chain finance'!AZ$42</f>
        <v>0</v>
      </c>
      <c r="BA16" s="9">
        <f ca="1">'Supply Chain finance'!BA$42</f>
        <v>0</v>
      </c>
      <c r="BB16" s="9">
        <f ca="1">'Supply Chain finance'!BB$42</f>
        <v>0</v>
      </c>
      <c r="BC16" s="9">
        <f ca="1">'Supply Chain finance'!BC$42</f>
        <v>0</v>
      </c>
      <c r="BD16" s="9">
        <f ca="1">'Supply Chain finance'!BD$42</f>
        <v>0</v>
      </c>
      <c r="BE16" s="9">
        <f ca="1">'Supply Chain finance'!BE$42</f>
        <v>0</v>
      </c>
      <c r="BF16" s="9">
        <f ca="1">'Supply Chain finance'!BF$42</f>
        <v>0</v>
      </c>
      <c r="BG16" s="9">
        <f ca="1">'Supply Chain finance'!BG$42</f>
        <v>0</v>
      </c>
      <c r="BH16" s="9">
        <f ca="1">'Supply Chain finance'!BH$42</f>
        <v>0</v>
      </c>
      <c r="BI16" s="9">
        <f ca="1">'Supply Chain finance'!BI$42</f>
        <v>0</v>
      </c>
      <c r="BJ16" s="9">
        <f ca="1">'Supply Chain finance'!BJ$42</f>
        <v>0</v>
      </c>
      <c r="BK16" s="9">
        <f ca="1">'Supply Chain finance'!BK$42</f>
        <v>0</v>
      </c>
      <c r="BL16" s="9">
        <f ca="1">'Supply Chain finance'!BL$42</f>
        <v>0</v>
      </c>
      <c r="BM16" s="9">
        <f ca="1">'Supply Chain finance'!BM$42</f>
        <v>0</v>
      </c>
      <c r="BN16" s="9">
        <f ca="1">'Supply Chain finance'!BN$42</f>
        <v>0</v>
      </c>
      <c r="BO16" s="9">
        <f ca="1">'Supply Chain finance'!BO$42</f>
        <v>0</v>
      </c>
      <c r="BP16" s="9">
        <f ca="1">'Supply Chain finance'!BP$42</f>
        <v>0</v>
      </c>
      <c r="BQ16" s="9">
        <f ca="1">'Supply Chain finance'!BQ$42</f>
        <v>0</v>
      </c>
    </row>
    <row r="17" spans="5:69">
      <c r="E17" s="16" t="str">
        <f xml:space="preserve"> 'Invoice finance'!E$41</f>
        <v xml:space="preserve">Invoice finance interest </v>
      </c>
      <c r="F17" s="16">
        <f xml:space="preserve"> 'Invoice finance'!F$41</f>
        <v>0</v>
      </c>
      <c r="G17" s="16" t="str">
        <f xml:space="preserve"> 'Invoice finance'!G$41</f>
        <v>GBP</v>
      </c>
      <c r="H17" s="42">
        <f ca="1" xml:space="preserve"> 'Invoice finance'!H$41</f>
        <v>0</v>
      </c>
      <c r="I17" s="16">
        <f xml:space="preserve"> 'Invoice finance'!I$41</f>
        <v>0</v>
      </c>
      <c r="J17" s="9">
        <f>'Invoice finance'!J$41</f>
        <v>0</v>
      </c>
      <c r="K17" s="9">
        <f ca="1">'Invoice finance'!K$41</f>
        <v>0</v>
      </c>
      <c r="L17" s="9">
        <f ca="1">'Invoice finance'!L$41</f>
        <v>0</v>
      </c>
      <c r="M17" s="9">
        <f ca="1">'Invoice finance'!M$41</f>
        <v>0</v>
      </c>
      <c r="N17" s="9">
        <f ca="1">'Invoice finance'!N$41</f>
        <v>0</v>
      </c>
      <c r="O17" s="9">
        <f ca="1">'Invoice finance'!O$41</f>
        <v>0</v>
      </c>
      <c r="P17" s="9">
        <f ca="1">'Invoice finance'!P$41</f>
        <v>0</v>
      </c>
      <c r="Q17" s="9">
        <f ca="1">'Invoice finance'!Q$41</f>
        <v>0</v>
      </c>
      <c r="R17" s="9">
        <f ca="1">'Invoice finance'!R$41</f>
        <v>0</v>
      </c>
      <c r="S17" s="9">
        <f ca="1">'Invoice finance'!S$41</f>
        <v>0</v>
      </c>
      <c r="T17" s="9">
        <f ca="1">'Invoice finance'!T$41</f>
        <v>0</v>
      </c>
      <c r="U17" s="9">
        <f ca="1">'Invoice finance'!U$41</f>
        <v>0</v>
      </c>
      <c r="V17" s="9">
        <f ca="1">'Invoice finance'!V$41</f>
        <v>0</v>
      </c>
      <c r="W17" s="9">
        <f ca="1">'Invoice finance'!W$41</f>
        <v>0</v>
      </c>
      <c r="X17" s="9">
        <f ca="1">'Invoice finance'!X$41</f>
        <v>0</v>
      </c>
      <c r="Y17" s="9">
        <f ca="1">'Invoice finance'!Y$41</f>
        <v>0</v>
      </c>
      <c r="Z17" s="9">
        <f ca="1">'Invoice finance'!Z$41</f>
        <v>0</v>
      </c>
      <c r="AA17" s="9">
        <f ca="1">'Invoice finance'!AA$41</f>
        <v>0</v>
      </c>
      <c r="AB17" s="9">
        <f ca="1">'Invoice finance'!AB$41</f>
        <v>0</v>
      </c>
      <c r="AC17" s="9">
        <f ca="1">'Invoice finance'!AC$41</f>
        <v>0</v>
      </c>
      <c r="AD17" s="9">
        <f ca="1">'Invoice finance'!AD$41</f>
        <v>0</v>
      </c>
      <c r="AE17" s="9">
        <f ca="1">'Invoice finance'!AE$41</f>
        <v>0</v>
      </c>
      <c r="AF17" s="9">
        <f ca="1">'Invoice finance'!AF$41</f>
        <v>0</v>
      </c>
      <c r="AG17" s="9">
        <f ca="1">'Invoice finance'!AG$41</f>
        <v>0</v>
      </c>
      <c r="AH17" s="9">
        <f ca="1">'Invoice finance'!AH$41</f>
        <v>0</v>
      </c>
      <c r="AI17" s="9">
        <f ca="1">'Invoice finance'!AI$41</f>
        <v>0</v>
      </c>
      <c r="AJ17" s="9">
        <f ca="1">'Invoice finance'!AJ$41</f>
        <v>0</v>
      </c>
      <c r="AK17" s="9">
        <f ca="1">'Invoice finance'!AK$41</f>
        <v>0</v>
      </c>
      <c r="AL17" s="9">
        <f ca="1">'Invoice finance'!AL$41</f>
        <v>0</v>
      </c>
      <c r="AM17" s="9">
        <f ca="1">'Invoice finance'!AM$41</f>
        <v>0</v>
      </c>
      <c r="AN17" s="9">
        <f ca="1">'Invoice finance'!AN$41</f>
        <v>0</v>
      </c>
      <c r="AO17" s="9">
        <f ca="1">'Invoice finance'!AO$41</f>
        <v>0</v>
      </c>
      <c r="AP17" s="9">
        <f ca="1">'Invoice finance'!AP$41</f>
        <v>0</v>
      </c>
      <c r="AQ17" s="9">
        <f ca="1">'Invoice finance'!AQ$41</f>
        <v>0</v>
      </c>
      <c r="AR17" s="9">
        <f ca="1">'Invoice finance'!AR$41</f>
        <v>0</v>
      </c>
      <c r="AS17" s="9">
        <f ca="1">'Invoice finance'!AS$41</f>
        <v>0</v>
      </c>
      <c r="AT17" s="9">
        <f ca="1">'Invoice finance'!AT$41</f>
        <v>0</v>
      </c>
      <c r="AU17" s="9">
        <f ca="1">'Invoice finance'!AU$41</f>
        <v>0</v>
      </c>
      <c r="AV17" s="9">
        <f ca="1">'Invoice finance'!AV$41</f>
        <v>0</v>
      </c>
      <c r="AW17" s="9">
        <f ca="1">'Invoice finance'!AW$41</f>
        <v>0</v>
      </c>
      <c r="AX17" s="9">
        <f ca="1">'Invoice finance'!AX$41</f>
        <v>0</v>
      </c>
      <c r="AY17" s="9">
        <f ca="1">'Invoice finance'!AY$41</f>
        <v>0</v>
      </c>
      <c r="AZ17" s="9">
        <f ca="1">'Invoice finance'!AZ$41</f>
        <v>0</v>
      </c>
      <c r="BA17" s="9">
        <f ca="1">'Invoice finance'!BA$41</f>
        <v>0</v>
      </c>
      <c r="BB17" s="9">
        <f ca="1">'Invoice finance'!BB$41</f>
        <v>0</v>
      </c>
      <c r="BC17" s="9">
        <f ca="1">'Invoice finance'!BC$41</f>
        <v>0</v>
      </c>
      <c r="BD17" s="9">
        <f ca="1">'Invoice finance'!BD$41</f>
        <v>0</v>
      </c>
      <c r="BE17" s="9">
        <f ca="1">'Invoice finance'!BE$41</f>
        <v>0</v>
      </c>
      <c r="BF17" s="9">
        <f ca="1">'Invoice finance'!BF$41</f>
        <v>0</v>
      </c>
      <c r="BG17" s="9">
        <f ca="1">'Invoice finance'!BG$41</f>
        <v>0</v>
      </c>
      <c r="BH17" s="9">
        <f ca="1">'Invoice finance'!BH$41</f>
        <v>0</v>
      </c>
      <c r="BI17" s="9">
        <f ca="1">'Invoice finance'!BI$41</f>
        <v>0</v>
      </c>
      <c r="BJ17" s="9">
        <f ca="1">'Invoice finance'!BJ$41</f>
        <v>0</v>
      </c>
      <c r="BK17" s="9">
        <f ca="1">'Invoice finance'!BK$41</f>
        <v>0</v>
      </c>
      <c r="BL17" s="9">
        <f ca="1">'Invoice finance'!BL$41</f>
        <v>0</v>
      </c>
      <c r="BM17" s="9">
        <f ca="1">'Invoice finance'!BM$41</f>
        <v>0</v>
      </c>
      <c r="BN17" s="9">
        <f ca="1">'Invoice finance'!BN$41</f>
        <v>0</v>
      </c>
      <c r="BO17" s="9">
        <f ca="1">'Invoice finance'!BO$41</f>
        <v>0</v>
      </c>
      <c r="BP17" s="9">
        <f ca="1">'Invoice finance'!BP$41</f>
        <v>0</v>
      </c>
      <c r="BQ17" s="9">
        <f ca="1">'Invoice finance'!BQ$41</f>
        <v>0</v>
      </c>
    </row>
    <row r="18" spans="5:69">
      <c r="E18" s="16" t="str">
        <f xml:space="preserve"> 'Asset Finance'!E$42</f>
        <v xml:space="preserve">Asset Finance interest </v>
      </c>
      <c r="F18" s="16">
        <f xml:space="preserve"> 'Asset Finance'!F$42</f>
        <v>0</v>
      </c>
      <c r="G18" s="16" t="str">
        <f xml:space="preserve"> 'Asset Finance'!G$42</f>
        <v>GBP</v>
      </c>
      <c r="H18" s="42">
        <f ca="1" xml:space="preserve"> 'Asset Finance'!H$42</f>
        <v>-450644.387972205</v>
      </c>
      <c r="I18" s="16">
        <f xml:space="preserve"> 'Asset Finance'!I$42</f>
        <v>0</v>
      </c>
      <c r="J18" s="9">
        <f>'Asset Finance'!J$42</f>
        <v>0</v>
      </c>
      <c r="K18" s="9">
        <f ca="1">'Asset Finance'!K$42</f>
        <v>-1166.6666666666667</v>
      </c>
      <c r="L18" s="9">
        <f ca="1">'Asset Finance'!L$42</f>
        <v>-1118.0555555555557</v>
      </c>
      <c r="M18" s="9">
        <f ca="1">'Asset Finance'!M$42</f>
        <v>-1071.4699074074076</v>
      </c>
      <c r="N18" s="9">
        <f ca="1">'Asset Finance'!N$42</f>
        <v>-1026.8253279320988</v>
      </c>
      <c r="O18" s="9">
        <f ca="1">'Asset Finance'!O$42</f>
        <v>-984.04093926826147</v>
      </c>
      <c r="P18" s="9">
        <f ca="1">'Asset Finance'!P$42</f>
        <v>-943.03923346541728</v>
      </c>
      <c r="Q18" s="9">
        <f ca="1">'Asset Finance'!Q$42</f>
        <v>-2070.412598737692</v>
      </c>
      <c r="R18" s="9">
        <f ca="1">'Asset Finance'!R$42</f>
        <v>-1984.1454071236212</v>
      </c>
      <c r="S18" s="9">
        <f ca="1">'Asset Finance'!S$42</f>
        <v>-1901.4726818268036</v>
      </c>
      <c r="T18" s="9">
        <f ca="1">'Asset Finance'!T$42</f>
        <v>-1822.2446534173537</v>
      </c>
      <c r="U18" s="9">
        <f ca="1">'Asset Finance'!U$42</f>
        <v>-1746.3177928582975</v>
      </c>
      <c r="V18" s="9">
        <f ca="1">'Asset Finance'!V$42</f>
        <v>-1673.5545514892017</v>
      </c>
      <c r="W18" s="9">
        <f ca="1">'Asset Finance'!W$42</f>
        <v>-2770.4897785104854</v>
      </c>
      <c r="X18" s="9">
        <f ca="1">'Asset Finance'!X$42</f>
        <v>-2655.0527044058817</v>
      </c>
      <c r="Y18" s="9">
        <f ca="1">'Asset Finance'!Y$42</f>
        <v>-2544.4255083889702</v>
      </c>
      <c r="Z18" s="9">
        <f ca="1">'Asset Finance'!Z$42</f>
        <v>-2438.4077788727632</v>
      </c>
      <c r="AA18" s="9">
        <f ca="1">'Asset Finance'!AA$42</f>
        <v>-3503.4741214197315</v>
      </c>
      <c r="AB18" s="9">
        <f ca="1">'Asset Finance'!AB$42</f>
        <v>-3357.4960330272429</v>
      </c>
      <c r="AC18" s="9">
        <f ca="1">'Asset Finance'!AC$42</f>
        <v>-3217.6003649844411</v>
      </c>
      <c r="AD18" s="9">
        <f ca="1">'Asset Finance'!AD$42</f>
        <v>-3083.5336831100894</v>
      </c>
      <c r="AE18" s="9">
        <f ca="1">'Asset Finance'!AE$42</f>
        <v>-4121.7197796471692</v>
      </c>
      <c r="AF18" s="9">
        <f ca="1">'Asset Finance'!AF$42</f>
        <v>-3949.981455495204</v>
      </c>
      <c r="AG18" s="9">
        <f ca="1">'Asset Finance'!AG$42</f>
        <v>-3785.3988948495703</v>
      </c>
      <c r="AH18" s="9">
        <f ca="1">'Asset Finance'!AH$42</f>
        <v>-4794.3406075641715</v>
      </c>
      <c r="AI18" s="9">
        <f ca="1">'Asset Finance'!AI$42</f>
        <v>-4594.5764155823317</v>
      </c>
      <c r="AJ18" s="9">
        <f ca="1">'Asset Finance'!AJ$42</f>
        <v>-5569.8023982664008</v>
      </c>
      <c r="AK18" s="9">
        <f ca="1">'Asset Finance'!AK$42</f>
        <v>-5337.7272983386338</v>
      </c>
      <c r="AL18" s="9">
        <f ca="1">'Asset Finance'!AL$42</f>
        <v>-5115.3219942411906</v>
      </c>
      <c r="AM18" s="9">
        <f ca="1">'Asset Finance'!AM$42</f>
        <v>-6068.8502444811411</v>
      </c>
      <c r="AN18" s="9">
        <f ca="1">'Asset Finance'!AN$42</f>
        <v>-5815.981484294427</v>
      </c>
      <c r="AO18" s="9">
        <f ca="1">'Asset Finance'!AO$42</f>
        <v>-5573.6489224488259</v>
      </c>
      <c r="AP18" s="9">
        <f ca="1">'Asset Finance'!AP$42</f>
        <v>-6508.0802173467919</v>
      </c>
      <c r="AQ18" s="9">
        <f ca="1">'Asset Finance'!AQ$42</f>
        <v>-6236.9102082906757</v>
      </c>
      <c r="AR18" s="9">
        <f ca="1">'Asset Finance'!AR$42</f>
        <v>-7143.7056162785648</v>
      </c>
      <c r="AS18" s="9">
        <f ca="1">'Asset Finance'!AS$42</f>
        <v>-6846.0512156002915</v>
      </c>
      <c r="AT18" s="9">
        <f ca="1">'Asset Finance'!AT$42</f>
        <v>-7727.4657482836119</v>
      </c>
      <c r="AU18" s="9">
        <f ca="1">'Asset Finance'!AU$42</f>
        <v>-8572.1546754384617</v>
      </c>
      <c r="AV18" s="9">
        <f ca="1">'Asset Finance'!AV$42</f>
        <v>-8214.9815639618591</v>
      </c>
      <c r="AW18" s="9">
        <f ca="1">'Asset Finance'!AW$42</f>
        <v>-9039.3573321301155</v>
      </c>
      <c r="AX18" s="9">
        <f ca="1">'Asset Finance'!AX$42</f>
        <v>-9829.3841099580277</v>
      </c>
      <c r="AY18" s="9">
        <f ca="1">'Asset Finance'!AY$42</f>
        <v>-9419.8264387097752</v>
      </c>
      <c r="AZ18" s="9">
        <f ca="1">'Asset Finance'!AZ$42</f>
        <v>-10194.00033709687</v>
      </c>
      <c r="BA18" s="9">
        <f ca="1">'Asset Finance'!BA$42</f>
        <v>-10935.916989717833</v>
      </c>
      <c r="BB18" s="9">
        <f ca="1">'Asset Finance'!BB$42</f>
        <v>-11646.920448479592</v>
      </c>
      <c r="BC18" s="9">
        <f ca="1">'Asset Finance'!BC$42</f>
        <v>-12328.298763126275</v>
      </c>
      <c r="BD18" s="9">
        <f ca="1">'Asset Finance'!BD$42</f>
        <v>-12981.286314662681</v>
      </c>
      <c r="BE18" s="9">
        <f ca="1">'Asset Finance'!BE$42</f>
        <v>-13607.066051551734</v>
      </c>
      <c r="BF18" s="9">
        <f ca="1">'Asset Finance'!BF$42</f>
        <v>-14206.77163273708</v>
      </c>
      <c r="BG18" s="9">
        <f ca="1">'Asset Finance'!BG$42</f>
        <v>-14781.489481373035</v>
      </c>
      <c r="BH18" s="9">
        <f ca="1">'Asset Finance'!BH$42</f>
        <v>-15332.260752982493</v>
      </c>
      <c r="BI18" s="9">
        <f ca="1">'Asset Finance'!BI$42</f>
        <v>-15860.083221608222</v>
      </c>
      <c r="BJ18" s="9">
        <f ca="1">'Asset Finance'!BJ$42</f>
        <v>-16365.913087374543</v>
      </c>
      <c r="BK18" s="9">
        <f ca="1">'Asset Finance'!BK$42</f>
        <v>-16850.666708733937</v>
      </c>
      <c r="BL18" s="9">
        <f ca="1">'Asset Finance'!BL$42</f>
        <v>-17315.222262536689</v>
      </c>
      <c r="BM18" s="9">
        <f ca="1">'Asset Finance'!BM$42</f>
        <v>-17760.421334930994</v>
      </c>
      <c r="BN18" s="9">
        <f ca="1">'Asset Finance'!BN$42</f>
        <v>-18187.07044597554</v>
      </c>
      <c r="BO18" s="9">
        <f ca="1">'Asset Finance'!BO$42</f>
        <v>-18595.94251072656</v>
      </c>
      <c r="BP18" s="9">
        <f ca="1">'Asset Finance'!BP$42</f>
        <v>-18987.778239446288</v>
      </c>
      <c r="BQ18" s="9">
        <f ca="1">'Asset Finance'!BQ$42</f>
        <v>-19363.28747946936</v>
      </c>
    </row>
    <row r="19" spans="5:69">
      <c r="E19" s="12" t="s">
        <v>177</v>
      </c>
      <c r="F19" s="32"/>
      <c r="G19" s="12" t="s">
        <v>252</v>
      </c>
      <c r="H19" s="54">
        <f ca="1" xml:space="preserve"> SUM( J19:BQ19 )</f>
        <v>24450860.726326611</v>
      </c>
      <c r="I19" s="32"/>
      <c r="J19" s="12">
        <f t="shared" ref="J19:BQ19" ca="1" si="2" xml:space="preserve"> J14 + SUM( J16:J18 )</f>
        <v>-52200</v>
      </c>
      <c r="K19" s="12">
        <f t="shared" ca="1" si="2"/>
        <v>-61094.922509135882</v>
      </c>
      <c r="L19" s="12">
        <f t="shared" ca="1" si="2"/>
        <v>-61494.007286354456</v>
      </c>
      <c r="M19" s="12">
        <f t="shared" ca="1" si="2"/>
        <v>-63031.773880781344</v>
      </c>
      <c r="N19" s="12">
        <f t="shared" ca="1" si="2"/>
        <v>-63507.064258770806</v>
      </c>
      <c r="O19" s="12">
        <f t="shared" ca="1" si="2"/>
        <v>-63997.441834619625</v>
      </c>
      <c r="P19" s="12">
        <f t="shared" ca="1" si="2"/>
        <v>-65660.97773928431</v>
      </c>
      <c r="Q19" s="12">
        <f t="shared" ca="1" si="2"/>
        <v>-24321.348835997043</v>
      </c>
      <c r="R19" s="12">
        <f t="shared" ca="1" si="2"/>
        <v>-15882.217267025513</v>
      </c>
      <c r="S19" s="12">
        <f t="shared" ca="1" si="2"/>
        <v>-17008.448002472891</v>
      </c>
      <c r="T19" s="12">
        <f t="shared" ca="1" si="2"/>
        <v>-17597.403194166698</v>
      </c>
      <c r="U19" s="12">
        <f t="shared" ca="1" si="2"/>
        <v>-18297.201360750489</v>
      </c>
      <c r="V19" s="12">
        <f t="shared" ca="1" si="2"/>
        <v>-20156.887884822543</v>
      </c>
      <c r="W19" s="12">
        <f t="shared" ca="1" si="2"/>
        <v>23650.313819738854</v>
      </c>
      <c r="X19" s="12">
        <f t="shared" ca="1" si="2"/>
        <v>29788.603019995971</v>
      </c>
      <c r="Y19" s="12">
        <f t="shared" ca="1" si="2"/>
        <v>27710.91651469022</v>
      </c>
      <c r="Z19" s="12">
        <f t="shared" ca="1" si="2"/>
        <v>26777.792370334446</v>
      </c>
      <c r="AA19" s="12">
        <f t="shared" ca="1" si="2"/>
        <v>17355.566394912945</v>
      </c>
      <c r="AB19" s="12">
        <f t="shared" ca="1" si="2"/>
        <v>15103.729381180068</v>
      </c>
      <c r="AC19" s="12">
        <f t="shared" ca="1" si="2"/>
        <v>74047.460609456815</v>
      </c>
      <c r="AD19" s="12">
        <f t="shared" ca="1" si="2"/>
        <v>72859.748036376041</v>
      </c>
      <c r="AE19" s="12">
        <f t="shared" ca="1" si="2"/>
        <v>61874.363659130257</v>
      </c>
      <c r="AF19" s="12">
        <f t="shared" ca="1" si="2"/>
        <v>60718.055212011917</v>
      </c>
      <c r="AG19" s="12">
        <f t="shared" ca="1" si="2"/>
        <v>119327.61703632753</v>
      </c>
      <c r="AH19" s="12">
        <f t="shared" ca="1" si="2"/>
        <v>95702.704266888701</v>
      </c>
      <c r="AI19" s="12">
        <f t="shared" ca="1" si="2"/>
        <v>100129.06079373733</v>
      </c>
      <c r="AJ19" s="12">
        <f t="shared" ca="1" si="2"/>
        <v>96433.22930358116</v>
      </c>
      <c r="AK19" s="12">
        <f t="shared" ca="1" si="2"/>
        <v>160088.3981206858</v>
      </c>
      <c r="AL19" s="12">
        <f t="shared" ca="1" si="2"/>
        <v>165344.59242531555</v>
      </c>
      <c r="AM19" s="12">
        <f t="shared" ca="1" si="2"/>
        <v>162543.42356098644</v>
      </c>
      <c r="AN19" s="12">
        <f t="shared" ca="1" si="2"/>
        <v>227093.62664866794</v>
      </c>
      <c r="AO19" s="12">
        <f t="shared" ca="1" si="2"/>
        <v>233448.85917331133</v>
      </c>
      <c r="AP19" s="12">
        <f t="shared" ca="1" si="2"/>
        <v>291550.12350402592</v>
      </c>
      <c r="AQ19" s="12">
        <f t="shared" ca="1" si="2"/>
        <v>297159.85231827392</v>
      </c>
      <c r="AR19" s="12">
        <f t="shared" ca="1" si="2"/>
        <v>296512.53582066693</v>
      </c>
      <c r="AS19" s="12">
        <f t="shared" ca="1" si="2"/>
        <v>364345.4135620718</v>
      </c>
      <c r="AT19" s="12">
        <f t="shared" ca="1" si="2"/>
        <v>362944.49961420143</v>
      </c>
      <c r="AU19" s="12">
        <f t="shared" ca="1" si="2"/>
        <v>363238.07954683219</v>
      </c>
      <c r="AV19" s="12">
        <f t="shared" ca="1" si="2"/>
        <v>432750.28218690294</v>
      </c>
      <c r="AW19" s="12">
        <f t="shared" ca="1" si="2"/>
        <v>432683.23392078257</v>
      </c>
      <c r="AX19" s="12">
        <f t="shared" ca="1" si="2"/>
        <v>494681.26609982678</v>
      </c>
      <c r="AY19" s="12">
        <f t="shared" ca="1" si="2"/>
        <v>505990.45287062874</v>
      </c>
      <c r="AZ19" s="12">
        <f t="shared" ca="1" si="2"/>
        <v>567749.38851501537</v>
      </c>
      <c r="BA19" s="12">
        <f t="shared" ca="1" si="2"/>
        <v>631951.77982198074</v>
      </c>
      <c r="BB19" s="12">
        <f t="shared" ca="1" si="2"/>
        <v>636598.96079096745</v>
      </c>
      <c r="BC19" s="12">
        <f t="shared" ca="1" si="2"/>
        <v>700573.79879557947</v>
      </c>
      <c r="BD19" s="12">
        <f t="shared" ca="1" si="2"/>
        <v>767763.62462427164</v>
      </c>
      <c r="BE19" s="12">
        <f t="shared" ca="1" si="2"/>
        <v>774920.35997973848</v>
      </c>
      <c r="BF19" s="12">
        <f t="shared" ca="1" si="2"/>
        <v>836417.26919253462</v>
      </c>
      <c r="BG19" s="12">
        <f t="shared" ca="1" si="2"/>
        <v>911203.16196627868</v>
      </c>
      <c r="BH19" s="12">
        <f t="shared" ca="1" si="2"/>
        <v>987749.29445674003</v>
      </c>
      <c r="BI19" s="12">
        <f t="shared" ca="1" si="2"/>
        <v>1063760.7066143677</v>
      </c>
      <c r="BJ19" s="12">
        <f t="shared" ca="1" si="2"/>
        <v>1142936.1117475142</v>
      </c>
      <c r="BK19" s="12">
        <f t="shared" ca="1" si="2"/>
        <v>1224200.0733092846</v>
      </c>
      <c r="BL19" s="12">
        <f t="shared" ca="1" si="2"/>
        <v>1305086.6695995503</v>
      </c>
      <c r="BM19" s="12">
        <f t="shared" ca="1" si="2"/>
        <v>1389953.8586040041</v>
      </c>
      <c r="BN19" s="12">
        <f t="shared" ca="1" si="2"/>
        <v>1476417.6211554634</v>
      </c>
      <c r="BO19" s="12">
        <f t="shared" ca="1" si="2"/>
        <v>1563140.072991644</v>
      </c>
      <c r="BP19" s="12">
        <f t="shared" ca="1" si="2"/>
        <v>1655075.7890578238</v>
      </c>
      <c r="BQ19" s="12">
        <f t="shared" ca="1" si="2"/>
        <v>1747758.0793664895</v>
      </c>
    </row>
    <row r="21" spans="5:69">
      <c r="E21" s="16" t="str">
        <f xml:space="preserve"> 'Corporation tax'!E$48</f>
        <v xml:space="preserve">Corporation tax </v>
      </c>
      <c r="F21" s="16">
        <f xml:space="preserve"> 'Corporation tax'!F$48</f>
        <v>0</v>
      </c>
      <c r="G21" s="16" t="str">
        <f xml:space="preserve"> 'Corporation tax'!G$48</f>
        <v>GBP</v>
      </c>
      <c r="H21" s="42">
        <f ca="1" xml:space="preserve"> 'Corporation tax'!H$48</f>
        <v>-5734471.8837692766</v>
      </c>
      <c r="I21" s="16">
        <f xml:space="preserve"> 'Corporation tax'!I$48</f>
        <v>0</v>
      </c>
      <c r="J21" s="9">
        <f ca="1">'Corporation tax'!J$48</f>
        <v>0</v>
      </c>
      <c r="K21" s="9">
        <f ca="1">'Corporation tax'!K$48</f>
        <v>0</v>
      </c>
      <c r="L21" s="9">
        <f ca="1">'Corporation tax'!L$48</f>
        <v>0</v>
      </c>
      <c r="M21" s="9">
        <f ca="1">'Corporation tax'!M$48</f>
        <v>0</v>
      </c>
      <c r="N21" s="9">
        <f ca="1">'Corporation tax'!N$48</f>
        <v>0</v>
      </c>
      <c r="O21" s="9">
        <f ca="1">'Corporation tax'!O$48</f>
        <v>0</v>
      </c>
      <c r="P21" s="9">
        <f ca="1">'Corporation tax'!P$48</f>
        <v>0</v>
      </c>
      <c r="Q21" s="9">
        <f ca="1">'Corporation tax'!Q$48</f>
        <v>0</v>
      </c>
      <c r="R21" s="9">
        <f ca="1">'Corporation tax'!R$48</f>
        <v>0</v>
      </c>
      <c r="S21" s="9">
        <f ca="1">'Corporation tax'!S$48</f>
        <v>0</v>
      </c>
      <c r="T21" s="9">
        <f ca="1">'Corporation tax'!T$48</f>
        <v>0</v>
      </c>
      <c r="U21" s="9">
        <f ca="1">'Corporation tax'!U$48</f>
        <v>0</v>
      </c>
      <c r="V21" s="9">
        <f ca="1">'Corporation tax'!V$48</f>
        <v>0</v>
      </c>
      <c r="W21" s="9">
        <f ca="1">'Corporation tax'!W$48</f>
        <v>0</v>
      </c>
      <c r="X21" s="9">
        <f ca="1">'Corporation tax'!X$48</f>
        <v>0</v>
      </c>
      <c r="Y21" s="9">
        <f ca="1">'Corporation tax'!Y$48</f>
        <v>0</v>
      </c>
      <c r="Z21" s="9">
        <f ca="1">'Corporation tax'!Z$48</f>
        <v>0</v>
      </c>
      <c r="AA21" s="9">
        <f ca="1">'Corporation tax'!AA$48</f>
        <v>0</v>
      </c>
      <c r="AB21" s="9">
        <f ca="1">'Corporation tax'!AB$48</f>
        <v>0</v>
      </c>
      <c r="AC21" s="9">
        <f ca="1">'Corporation tax'!AC$48</f>
        <v>-13325.975932297117</v>
      </c>
      <c r="AD21" s="9">
        <f ca="1">'Corporation tax'!AD$48</f>
        <v>-21021.989677230562</v>
      </c>
      <c r="AE21" s="9">
        <f ca="1">'Corporation tax'!AE$48</f>
        <v>-20490.883354422156</v>
      </c>
      <c r="AF21" s="9">
        <f ca="1">'Corporation tax'!AF$48</f>
        <v>-20225.274000168094</v>
      </c>
      <c r="AG21" s="9">
        <f ca="1">'Corporation tax'!AG$48</f>
        <v>-31914.269852902089</v>
      </c>
      <c r="AH21" s="9">
        <f ca="1">'Corporation tax'!AH$48</f>
        <v>-28849.408974890575</v>
      </c>
      <c r="AI21" s="9">
        <f ca="1">'Corporation tax'!AI$48</f>
        <v>-29548.8941085306</v>
      </c>
      <c r="AJ21" s="9">
        <f ca="1">'Corporation tax'!AJ$48</f>
        <v>-30308.430054979995</v>
      </c>
      <c r="AK21" s="9">
        <f ca="1">'Corporation tax'!AK$48</f>
        <v>-42829.304598621027</v>
      </c>
      <c r="AL21" s="9">
        <f ca="1">'Corporation tax'!AL$48</f>
        <v>-43662.389178762212</v>
      </c>
      <c r="AM21" s="9">
        <f ca="1">'Corporation tax'!AM$48</f>
        <v>-44566.990079317504</v>
      </c>
      <c r="AN21" s="9">
        <f ca="1">'Corporation tax'!AN$48</f>
        <v>-57231.453636732433</v>
      </c>
      <c r="AO21" s="9">
        <f ca="1">'Corporation tax'!AO$48</f>
        <v>-58247.205830436411</v>
      </c>
      <c r="AP21" s="9">
        <f ca="1">'Corporation tax'!AP$48</f>
        <v>-71293.725187364471</v>
      </c>
      <c r="AQ21" s="9">
        <f ca="1">'Corporation tax'!AQ$48</f>
        <v>-72129.207103245135</v>
      </c>
      <c r="AR21" s="9">
        <f ca="1">'Corporation tax'!AR$48</f>
        <v>-73393.124562844983</v>
      </c>
      <c r="AS21" s="9">
        <f ca="1">'Corporation tax'!AS$48</f>
        <v>-86640.323771532698</v>
      </c>
      <c r="AT21" s="9">
        <f ca="1">'Corporation tax'!AT$48</f>
        <v>-87719.19973925181</v>
      </c>
      <c r="AU21" s="9">
        <f ca="1">'Corporation tax'!AU$48</f>
        <v>-89113.520177875602</v>
      </c>
      <c r="AV21" s="9">
        <f ca="1">'Corporation tax'!AV$48</f>
        <v>-102634.90497599352</v>
      </c>
      <c r="AW21" s="9">
        <f ca="1">'Corporation tax'!AW$48</f>
        <v>-103916.95667452467</v>
      </c>
      <c r="AX21" s="9">
        <f ca="1">'Corporation tax'!AX$48</f>
        <v>-117585.30892864661</v>
      </c>
      <c r="AY21" s="9">
        <f ca="1">'Corporation tax'!AY$48</f>
        <v>-119396.59444418363</v>
      </c>
      <c r="AZ21" s="9">
        <f ca="1">'Corporation tax'!AZ$48</f>
        <v>-132971.3282162945</v>
      </c>
      <c r="BA21" s="9">
        <f ca="1">'Corporation tax'!BA$48</f>
        <v>-147004.67299223272</v>
      </c>
      <c r="BB21" s="9">
        <f ca="1">'Corporation tax'!BB$48</f>
        <v>-149096.56519409982</v>
      </c>
      <c r="BC21" s="9">
        <f ca="1">'Corporation tax'!BC$48</f>
        <v>-163021.2916250077</v>
      </c>
      <c r="BD21" s="9">
        <f ca="1">'Corporation tax'!BD$48</f>
        <v>-177555.17665143817</v>
      </c>
      <c r="BE21" s="9">
        <f ca="1">'Corporation tax'!BE$48</f>
        <v>-180050.10292481119</v>
      </c>
      <c r="BF21" s="9">
        <f ca="1">'Corporation tax'!BF$48</f>
        <v>-193376.3527694286</v>
      </c>
      <c r="BG21" s="9">
        <f ca="1">'Corporation tax'!BG$48</f>
        <v>-209191.85585764539</v>
      </c>
      <c r="BH21" s="9">
        <f ca="1">'Corporation tax'!BH$48</f>
        <v>-225311.29798430266</v>
      </c>
      <c r="BI21" s="9">
        <f ca="1">'Corporation tax'!BI$48</f>
        <v>-241274.78657107113</v>
      </c>
      <c r="BJ21" s="9">
        <f ca="1">'Corporation tax'!BJ$48</f>
        <v>-257818.03944107529</v>
      </c>
      <c r="BK21" s="9">
        <f ca="1">'Corporation tax'!BK$48</f>
        <v>-274723.2056710521</v>
      </c>
      <c r="BL21" s="9">
        <f ca="1">'Corporation tax'!BL$48</f>
        <v>-291495.96658770321</v>
      </c>
      <c r="BM21" s="9">
        <f ca="1">'Corporation tax'!BM$48</f>
        <v>-309003.06182185881</v>
      </c>
      <c r="BN21" s="9">
        <f ca="1">'Corporation tax'!BN$48</f>
        <v>-326766.37811538746</v>
      </c>
      <c r="BO21" s="9">
        <f ca="1">'Corporation tax'!BO$48</f>
        <v>-344512.46420156094</v>
      </c>
      <c r="BP21" s="9">
        <f ca="1">'Corporation tax'!BP$48</f>
        <v>-363228.79919789708</v>
      </c>
      <c r="BQ21" s="9">
        <f ca="1">'Corporation tax'!BQ$48</f>
        <v>-382025.20310165611</v>
      </c>
    </row>
    <row r="22" spans="5:69">
      <c r="E22" s="12" t="s">
        <v>38</v>
      </c>
      <c r="F22" s="32"/>
      <c r="G22" s="12" t="s">
        <v>252</v>
      </c>
      <c r="H22" s="54">
        <f ca="1" xml:space="preserve"> SUM( J22:BQ22 )</f>
        <v>18716388.84255733</v>
      </c>
      <c r="I22" s="32"/>
      <c r="J22" s="12">
        <f t="shared" ref="J22:BQ22" ca="1" si="3" xml:space="preserve"> J19 + J21</f>
        <v>-52200</v>
      </c>
      <c r="K22" s="12">
        <f t="shared" ca="1" si="3"/>
        <v>-61094.922509135882</v>
      </c>
      <c r="L22" s="12">
        <f t="shared" ca="1" si="3"/>
        <v>-61494.007286354456</v>
      </c>
      <c r="M22" s="12">
        <f t="shared" ca="1" si="3"/>
        <v>-63031.773880781344</v>
      </c>
      <c r="N22" s="12">
        <f t="shared" ca="1" si="3"/>
        <v>-63507.064258770806</v>
      </c>
      <c r="O22" s="12">
        <f t="shared" ca="1" si="3"/>
        <v>-63997.441834619625</v>
      </c>
      <c r="P22" s="12">
        <f t="shared" ca="1" si="3"/>
        <v>-65660.97773928431</v>
      </c>
      <c r="Q22" s="12">
        <f t="shared" ca="1" si="3"/>
        <v>-24321.348835997043</v>
      </c>
      <c r="R22" s="12">
        <f t="shared" ca="1" si="3"/>
        <v>-15882.217267025513</v>
      </c>
      <c r="S22" s="12">
        <f t="shared" ca="1" si="3"/>
        <v>-17008.448002472891</v>
      </c>
      <c r="T22" s="12">
        <f t="shared" ca="1" si="3"/>
        <v>-17597.403194166698</v>
      </c>
      <c r="U22" s="12">
        <f t="shared" ca="1" si="3"/>
        <v>-18297.201360750489</v>
      </c>
      <c r="V22" s="12">
        <f t="shared" ca="1" si="3"/>
        <v>-20156.887884822543</v>
      </c>
      <c r="W22" s="12">
        <f t="shared" ca="1" si="3"/>
        <v>23650.313819738854</v>
      </c>
      <c r="X22" s="12">
        <f t="shared" ca="1" si="3"/>
        <v>29788.603019995971</v>
      </c>
      <c r="Y22" s="12">
        <f t="shared" ca="1" si="3"/>
        <v>27710.91651469022</v>
      </c>
      <c r="Z22" s="12">
        <f t="shared" ca="1" si="3"/>
        <v>26777.792370334446</v>
      </c>
      <c r="AA22" s="12">
        <f t="shared" ca="1" si="3"/>
        <v>17355.566394912945</v>
      </c>
      <c r="AB22" s="12">
        <f t="shared" ca="1" si="3"/>
        <v>15103.729381180068</v>
      </c>
      <c r="AC22" s="12">
        <f t="shared" ca="1" si="3"/>
        <v>60721.4846771597</v>
      </c>
      <c r="AD22" s="12">
        <f t="shared" ca="1" si="3"/>
        <v>51837.758359145475</v>
      </c>
      <c r="AE22" s="12">
        <f t="shared" ca="1" si="3"/>
        <v>41383.4803047081</v>
      </c>
      <c r="AF22" s="12">
        <f t="shared" ca="1" si="3"/>
        <v>40492.781211843823</v>
      </c>
      <c r="AG22" s="12">
        <f t="shared" ca="1" si="3"/>
        <v>87413.347183425445</v>
      </c>
      <c r="AH22" s="12">
        <f t="shared" ca="1" si="3"/>
        <v>66853.295291998133</v>
      </c>
      <c r="AI22" s="12">
        <f t="shared" ca="1" si="3"/>
        <v>70580.166685206728</v>
      </c>
      <c r="AJ22" s="12">
        <f t="shared" ca="1" si="3"/>
        <v>66124.799248601164</v>
      </c>
      <c r="AK22" s="12">
        <f t="shared" ca="1" si="3"/>
        <v>117259.09352206477</v>
      </c>
      <c r="AL22" s="12">
        <f t="shared" ca="1" si="3"/>
        <v>121682.20324655334</v>
      </c>
      <c r="AM22" s="12">
        <f t="shared" ca="1" si="3"/>
        <v>117976.43348166894</v>
      </c>
      <c r="AN22" s="12">
        <f t="shared" ca="1" si="3"/>
        <v>169862.17301193549</v>
      </c>
      <c r="AO22" s="12">
        <f t="shared" ca="1" si="3"/>
        <v>175201.65334287492</v>
      </c>
      <c r="AP22" s="12">
        <f t="shared" ca="1" si="3"/>
        <v>220256.39831666145</v>
      </c>
      <c r="AQ22" s="12">
        <f t="shared" ca="1" si="3"/>
        <v>225030.64521502878</v>
      </c>
      <c r="AR22" s="12">
        <f t="shared" ca="1" si="3"/>
        <v>223119.41125782195</v>
      </c>
      <c r="AS22" s="12">
        <f t="shared" ca="1" si="3"/>
        <v>277705.08979053912</v>
      </c>
      <c r="AT22" s="12">
        <f t="shared" ca="1" si="3"/>
        <v>275225.29987494962</v>
      </c>
      <c r="AU22" s="12">
        <f t="shared" ca="1" si="3"/>
        <v>274124.5593689566</v>
      </c>
      <c r="AV22" s="12">
        <f t="shared" ca="1" si="3"/>
        <v>330115.37721090944</v>
      </c>
      <c r="AW22" s="12">
        <f t="shared" ca="1" si="3"/>
        <v>328766.27724625787</v>
      </c>
      <c r="AX22" s="12">
        <f t="shared" ca="1" si="3"/>
        <v>377095.95717118017</v>
      </c>
      <c r="AY22" s="12">
        <f t="shared" ca="1" si="3"/>
        <v>386593.85842644511</v>
      </c>
      <c r="AZ22" s="12">
        <f t="shared" ca="1" si="3"/>
        <v>434778.06029872084</v>
      </c>
      <c r="BA22" s="12">
        <f t="shared" ca="1" si="3"/>
        <v>484947.10682974802</v>
      </c>
      <c r="BB22" s="12">
        <f t="shared" ca="1" si="3"/>
        <v>487502.39559686766</v>
      </c>
      <c r="BC22" s="12">
        <f t="shared" ca="1" si="3"/>
        <v>537552.50717057171</v>
      </c>
      <c r="BD22" s="12">
        <f t="shared" ca="1" si="3"/>
        <v>590208.44797283341</v>
      </c>
      <c r="BE22" s="12">
        <f t="shared" ca="1" si="3"/>
        <v>594870.25705492729</v>
      </c>
      <c r="BF22" s="12">
        <f t="shared" ca="1" si="3"/>
        <v>643040.91642310598</v>
      </c>
      <c r="BG22" s="12">
        <f t="shared" ca="1" si="3"/>
        <v>702011.30610863329</v>
      </c>
      <c r="BH22" s="12">
        <f t="shared" ca="1" si="3"/>
        <v>762437.9964724374</v>
      </c>
      <c r="BI22" s="12">
        <f t="shared" ca="1" si="3"/>
        <v>822485.92004329653</v>
      </c>
      <c r="BJ22" s="12">
        <f t="shared" ca="1" si="3"/>
        <v>885118.07230643893</v>
      </c>
      <c r="BK22" s="12">
        <f t="shared" ca="1" si="3"/>
        <v>949476.86763823254</v>
      </c>
      <c r="BL22" s="12">
        <f t="shared" ca="1" si="3"/>
        <v>1013590.7030118471</v>
      </c>
      <c r="BM22" s="12">
        <f t="shared" ca="1" si="3"/>
        <v>1080950.7967821453</v>
      </c>
      <c r="BN22" s="12">
        <f t="shared" ca="1" si="3"/>
        <v>1149651.243040076</v>
      </c>
      <c r="BO22" s="12">
        <f t="shared" ca="1" si="3"/>
        <v>1218627.6087900831</v>
      </c>
      <c r="BP22" s="12">
        <f t="shared" ca="1" si="3"/>
        <v>1291846.9898599267</v>
      </c>
      <c r="BQ22" s="12">
        <f t="shared" ca="1" si="3"/>
        <v>1365732.8762648334</v>
      </c>
    </row>
  </sheetData>
  <conditionalFormatting sqref="F2:F3">
    <cfRule type="cellIs" dxfId="112" priority="1" stopIfTrue="1" operator="notEqual">
      <formula>0</formula>
    </cfRule>
    <cfRule type="cellIs" dxfId="111" priority="2" stopIfTrue="1" operator="equal">
      <formula>""</formula>
    </cfRule>
  </conditionalFormatting>
  <conditionalFormatting sqref="J3:BQ3">
    <cfRule type="cellIs" dxfId="110" priority="3" operator="equal">
      <formula>"PPA ext."</formula>
    </cfRule>
    <cfRule type="cellIs" dxfId="109" priority="4" operator="equal">
      <formula>"Delay"</formula>
    </cfRule>
    <cfRule type="cellIs" dxfId="108" priority="5" operator="equal">
      <formula>"Fin Close"</formula>
    </cfRule>
    <cfRule type="cellIs" dxfId="107" priority="6" stopIfTrue="1" operator="equal">
      <formula>"Construction"</formula>
    </cfRule>
    <cfRule type="cellIs" dxfId="10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4F81BD"/>
    <outlinePr summaryBelow="0" summaryRight="0"/>
  </sheetPr>
  <dimension ref="A1:AC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13.1796875" style="43" bestFit="1" customWidth="1"/>
    <col min="9" max="9" width="3.453125" customWidth="1"/>
    <col min="10" max="10" width="11.1796875" bestFit="1" customWidth="1"/>
    <col min="11" max="11" width="11.81640625" bestFit="1" customWidth="1"/>
    <col min="12" max="12" width="11.90625" bestFit="1" customWidth="1"/>
    <col min="13" max="13" width="11.81640625" bestFit="1" customWidth="1"/>
    <col min="14" max="14" width="11.1796875" bestFit="1" customWidth="1"/>
    <col min="15" max="15" width="11.81640625" bestFit="1" customWidth="1"/>
    <col min="16" max="16" width="11.90625" bestFit="1" customWidth="1"/>
    <col min="17" max="17" width="11.81640625" bestFit="1" customWidth="1"/>
    <col min="18" max="18" width="11.1796875" bestFit="1" customWidth="1"/>
    <col min="19" max="19" width="11.81640625" bestFit="1" customWidth="1"/>
    <col min="20" max="20" width="11.90625" bestFit="1" customWidth="1"/>
    <col min="21" max="23" width="11.81640625" bestFit="1" customWidth="1"/>
    <col min="24" max="24" width="11.90625" bestFit="1" customWidth="1"/>
    <col min="25" max="27" width="11.81640625" bestFit="1" customWidth="1"/>
    <col min="28" max="28" width="11.90625" bestFit="1" customWidth="1"/>
    <col min="29" max="29" width="12.453125" bestFit="1" customWidth="1"/>
    <col min="30" max="30" width="15.08984375" hidden="1" customWidth="1"/>
    <col min="31" max="16384" width="15.08984375" hidden="1"/>
  </cols>
  <sheetData>
    <row r="1" spans="1:29" s="75" customFormat="1" ht="25.15">
      <c r="A1" s="45" t="str">
        <f ca="1" xml:space="preserve"> RIGHT(CELL("filename", A1), LEN(CELL("filename", A1)) - SEARCH("]", CELL("filename", A1)))</f>
        <v>Income Statement Qly</v>
      </c>
      <c r="B1" s="69"/>
      <c r="C1" s="74"/>
      <c r="D1" s="71"/>
      <c r="F1" s="52" t="str">
        <f>HYPERLINK("#Contents!A1","Go to contents")</f>
        <v>Go to contents</v>
      </c>
      <c r="H1" s="47"/>
      <c r="J1" s="47"/>
    </row>
    <row r="2" spans="1:29" s="53" customFormat="1">
      <c r="A2" s="48"/>
      <c r="B2" s="48"/>
      <c r="C2" s="72"/>
      <c r="D2" s="73"/>
      <c r="E2" s="22" t="s">
        <v>324</v>
      </c>
      <c r="F2" s="51">
        <f ca="1" xml:space="preserve"> 'Model Checks and Alerts'!F11</f>
        <v>0</v>
      </c>
      <c r="G2" s="55"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4" customFormat="1">
      <c r="A3" s="48"/>
      <c r="B3" s="48"/>
      <c r="C3" s="72"/>
      <c r="D3" s="73"/>
      <c r="E3" s="39" t="s">
        <v>203</v>
      </c>
      <c r="F3" s="51"/>
      <c r="G3" s="55" t="s">
        <v>97</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8" customFormat="1">
      <c r="A4" s="48"/>
      <c r="B4" s="48"/>
      <c r="C4" s="72"/>
      <c r="D4" s="73"/>
      <c r="E4" s="22" t="s">
        <v>325</v>
      </c>
      <c r="F4"/>
      <c r="G4"/>
      <c r="H4" s="50"/>
      <c r="I4" s="50"/>
      <c r="J4" s="28">
        <f xml:space="preserve"> Time!J$88</f>
        <v>3</v>
      </c>
      <c r="K4" s="28">
        <f xml:space="preserve"> Time!K$88</f>
        <v>6</v>
      </c>
      <c r="L4" s="28">
        <f xml:space="preserve"> Time!L$88</f>
        <v>9</v>
      </c>
      <c r="M4" s="28">
        <f xml:space="preserve"> Time!M$88</f>
        <v>12</v>
      </c>
      <c r="N4" s="28">
        <f xml:space="preserve"> Time!N$88</f>
        <v>15</v>
      </c>
      <c r="O4" s="28">
        <f xml:space="preserve"> Time!O$88</f>
        <v>18</v>
      </c>
      <c r="P4" s="28">
        <f xml:space="preserve"> Time!P$88</f>
        <v>21</v>
      </c>
      <c r="Q4" s="28">
        <f xml:space="preserve"> Time!Q$88</f>
        <v>24</v>
      </c>
      <c r="R4" s="28">
        <f xml:space="preserve"> Time!R$88</f>
        <v>27</v>
      </c>
      <c r="S4" s="28">
        <f xml:space="preserve"> Time!S$88</f>
        <v>30</v>
      </c>
      <c r="T4" s="28">
        <f xml:space="preserve"> Time!T$88</f>
        <v>33</v>
      </c>
      <c r="U4" s="28">
        <f xml:space="preserve"> Time!U$88</f>
        <v>36</v>
      </c>
      <c r="V4" s="28">
        <f xml:space="preserve"> Time!V$88</f>
        <v>39</v>
      </c>
      <c r="W4" s="28">
        <f xml:space="preserve"> Time!W$88</f>
        <v>42</v>
      </c>
      <c r="X4" s="28">
        <f xml:space="preserve"> Time!X$88</f>
        <v>45</v>
      </c>
      <c r="Y4" s="28">
        <f xml:space="preserve"> Time!Y$88</f>
        <v>48</v>
      </c>
      <c r="Z4" s="28">
        <f xml:space="preserve"> Time!Z$88</f>
        <v>51</v>
      </c>
      <c r="AA4" s="28">
        <f xml:space="preserve"> Time!AA$88</f>
        <v>54</v>
      </c>
      <c r="AB4" s="28">
        <f xml:space="preserve"> Time!AB$88</f>
        <v>57</v>
      </c>
      <c r="AC4" s="28">
        <f xml:space="preserve"> Time!AC$88</f>
        <v>60</v>
      </c>
    </row>
    <row r="5" spans="1:29" s="34" customFormat="1">
      <c r="A5" s="48"/>
      <c r="B5" s="48"/>
      <c r="C5" s="72"/>
      <c r="D5" s="73"/>
      <c r="E5" s="22" t="s">
        <v>305</v>
      </c>
      <c r="F5" s="24" t="s">
        <v>248</v>
      </c>
      <c r="G5" s="24" t="s">
        <v>224</v>
      </c>
      <c r="H5" s="24" t="s">
        <v>202</v>
      </c>
      <c r="I5" s="50"/>
      <c r="J5" s="15"/>
      <c r="K5" s="15"/>
      <c r="L5" s="15"/>
      <c r="M5" s="15"/>
      <c r="N5" s="15"/>
      <c r="O5" s="15"/>
      <c r="P5" s="15"/>
    </row>
    <row r="6" spans="1:29" s="43" customFormat="1">
      <c r="A6" s="24"/>
      <c r="B6" s="24"/>
      <c r="C6" s="49"/>
      <c r="D6" s="70"/>
      <c r="F6" s="24"/>
      <c r="G6" s="24"/>
      <c r="H6" s="24"/>
    </row>
    <row r="8" spans="1:29">
      <c r="E8" s="16" t="str">
        <f xml:space="preserve"> Income!E$18</f>
        <v>Income</v>
      </c>
      <c r="F8" s="16">
        <f xml:space="preserve"> Income!F$18</f>
        <v>0</v>
      </c>
      <c r="G8" s="16" t="str">
        <f xml:space="preserve"> Income!G$18</f>
        <v>GBP</v>
      </c>
      <c r="H8" s="42">
        <f ca="1" xml:space="preserve"> Income!H$18</f>
        <v>36564748.008238308</v>
      </c>
      <c r="I8" s="16">
        <f xml:space="preserve"> Income!I$18</f>
        <v>0</v>
      </c>
      <c r="J8" s="9">
        <f ca="1" xml:space="preserve"> SUMIF( Time!$J326:$BQ326, Time!J$28, Income!$J18:$BQ18)</f>
        <v>0</v>
      </c>
      <c r="K8" s="9">
        <f ca="1" xml:space="preserve"> SUMIF( Time!$J326:$BQ326, Time!K$28, Income!$J18:$BQ18)</f>
        <v>0</v>
      </c>
      <c r="L8" s="9">
        <f ca="1" xml:space="preserve"> SUMIF( Time!$J326:$BQ326, Time!L$28, Income!$J18:$BQ18)</f>
        <v>109722.98107717154</v>
      </c>
      <c r="M8" s="9">
        <f ca="1" xml:space="preserve"> SUMIF( Time!$J326:$BQ326, Time!M$28, Income!$J18:$BQ18)</f>
        <v>180000</v>
      </c>
      <c r="N8" s="9">
        <f ca="1" xml:space="preserve"> SUMIF( Time!$J326:$BQ326, Time!N$28, Income!$J18:$BQ18)</f>
        <v>293082.239996374</v>
      </c>
      <c r="O8" s="9">
        <f ca="1" xml:space="preserve"> SUMIF( Time!$J326:$BQ326, Time!O$28, Income!$J18:$BQ18)</f>
        <v>360000</v>
      </c>
      <c r="P8" s="9">
        <f ca="1" xml:space="preserve"> SUMIF( Time!$J326:$BQ326, Time!P$28, Income!$J18:$BQ18)</f>
        <v>480000</v>
      </c>
      <c r="Q8" s="9">
        <f ca="1" xml:space="preserve"> SUMIF( Time!$J326:$BQ326, Time!Q$28, Income!$J18:$BQ18)</f>
        <v>600000</v>
      </c>
      <c r="R8" s="9">
        <f ca="1" xml:space="preserve"> SUMIF( Time!$J326:$BQ326, Time!R$28, Income!$J18:$BQ18)</f>
        <v>719263.09577988973</v>
      </c>
      <c r="S8" s="9">
        <f ca="1" xml:space="preserve"> SUMIF( Time!$J326:$BQ326, Time!S$28, Income!$J18:$BQ18)</f>
        <v>956424.60483152245</v>
      </c>
      <c r="T8" s="9">
        <f ca="1" xml:space="preserve"> SUMIF( Time!$J326:$BQ326, Time!T$28, Income!$J18:$BQ18)</f>
        <v>1264498.3648434377</v>
      </c>
      <c r="U8" s="9">
        <f ca="1" xml:space="preserve"> SUMIF( Time!$J326:$BQ326, Time!U$28, Income!$J18:$BQ18)</f>
        <v>1525557.5470396611</v>
      </c>
      <c r="V8" s="9">
        <f ca="1" xml:space="preserve"> SUMIF( Time!$J326:$BQ326, Time!V$28, Income!$J18:$BQ18)</f>
        <v>1801762.2664261237</v>
      </c>
      <c r="W8" s="9">
        <f ca="1" xml:space="preserve"> SUMIF( Time!$J326:$BQ326, Time!W$28, Income!$J18:$BQ18)</f>
        <v>2156162.3093066961</v>
      </c>
      <c r="X8" s="9">
        <f ca="1" xml:space="preserve"> SUMIF( Time!$J326:$BQ326, Time!X$28, Income!$J18:$BQ18)</f>
        <v>2652386.0014115283</v>
      </c>
      <c r="Y8" s="9">
        <f ca="1" xml:space="preserve"> SUMIF( Time!$J326:$BQ326, Time!Y$28, Income!$J18:$BQ18)</f>
        <v>3174609.8000490516</v>
      </c>
      <c r="Z8" s="9">
        <f ca="1" xml:space="preserve"> SUMIF( Time!$J326:$BQ326, Time!Z$28, Income!$J18:$BQ18)</f>
        <v>3786485.2203972014</v>
      </c>
      <c r="AA8" s="9">
        <f ca="1" xml:space="preserve"> SUMIF( Time!$J326:$BQ326, Time!AA$28, Income!$J18:$BQ18)</f>
        <v>4606709.7133435085</v>
      </c>
      <c r="AB8" s="9">
        <f ca="1" xml:space="preserve"> SUMIF( Time!$J326:$BQ326, Time!AB$28, Income!$J18:$BQ18)</f>
        <v>5480370.0634152852</v>
      </c>
      <c r="AC8" s="9">
        <f ca="1" xml:space="preserve"> SUMIF( Time!$J326:$BQ326, Time!AC$28, Income!$J18:$BQ18)</f>
        <v>6417713.8003208619</v>
      </c>
    </row>
    <row r="9" spans="1:29">
      <c r="E9" s="16" t="str">
        <f xml:space="preserve"> Expense!E$27</f>
        <v xml:space="preserve">Variable Operating expense </v>
      </c>
      <c r="F9" s="16">
        <f xml:space="preserve"> Expense!F$27</f>
        <v>0</v>
      </c>
      <c r="G9" s="16" t="str">
        <f xml:space="preserve"> Expense!G$27</f>
        <v>GBP</v>
      </c>
      <c r="H9" s="42">
        <f ca="1" xml:space="preserve"> Expense!H$27</f>
        <v>-4525517.0946845738</v>
      </c>
      <c r="I9" s="16">
        <f xml:space="preserve"> Expense!I$27</f>
        <v>0</v>
      </c>
      <c r="J9" s="9">
        <f ca="1" xml:space="preserve"> SUMIF( Time!$J326:$BQ326, Time!J$28, Expense!$J27:$BQ27)</f>
        <v>-22920.87423993479</v>
      </c>
      <c r="K9" s="9">
        <f ca="1" xml:space="preserve"> SUMIF( Time!$J326:$BQ326, Time!K$28, Expense!$J27:$BQ27)</f>
        <v>-27296.516802298225</v>
      </c>
      <c r="L9" s="9">
        <f ca="1" xml:space="preserve"> SUMIF( Time!$J326:$BQ326, Time!L$28, Expense!$J27:$BQ27)</f>
        <v>-32486.930522713566</v>
      </c>
      <c r="M9" s="9">
        <f ca="1" xml:space="preserve"> SUMIF( Time!$J326:$BQ326, Time!M$28, Expense!$J27:$BQ27)</f>
        <v>-38594.366430702255</v>
      </c>
      <c r="N9" s="9">
        <f ca="1" xml:space="preserve"> SUMIF( Time!$J326:$BQ326, Time!N$28, Expense!$J27:$BQ27)</f>
        <v>-45867.780673722824</v>
      </c>
      <c r="O9" s="9">
        <f ca="1" xml:space="preserve"> SUMIF( Time!$J326:$BQ326, Time!O$28, Expense!$J27:$BQ27)</f>
        <v>-54627.246460146889</v>
      </c>
      <c r="P9" s="9">
        <f ca="1" xml:space="preserve"> SUMIF( Time!$J326:$BQ326, Time!P$28, Expense!$J27:$BQ27)</f>
        <v>-65011.227392635861</v>
      </c>
      <c r="Q9" s="9">
        <f ca="1" xml:space="preserve"> SUMIF( Time!$J326:$BQ326, Time!Q$28, Expense!$J27:$BQ27)</f>
        <v>-77233.08386759703</v>
      </c>
      <c r="R9" s="9">
        <f ca="1" xml:space="preserve"> SUMIF( Time!$J326:$BQ326, Time!R$28, Expense!$J27:$BQ27)</f>
        <v>-112365.22425317438</v>
      </c>
      <c r="S9" s="9">
        <f ca="1" xml:space="preserve"> SUMIF( Time!$J326:$BQ326, Time!S$28, Expense!$J27:$BQ27)</f>
        <v>-133798.56547096279</v>
      </c>
      <c r="T9" s="9">
        <f ca="1" xml:space="preserve"> SUMIF( Time!$J326:$BQ326, Time!T$28, Expense!$J27:$BQ27)</f>
        <v>-159239.00723816856</v>
      </c>
      <c r="U9" s="9">
        <f ca="1" xml:space="preserve"> SUMIF( Time!$J326:$BQ326, Time!U$28, Expense!$J27:$BQ27)</f>
        <v>-189172.75628908165</v>
      </c>
      <c r="V9" s="9">
        <f ca="1" xml:space="preserve"> SUMIF( Time!$J326:$BQ326, Time!V$28, Expense!$J27:$BQ27)</f>
        <v>-224727.41960029842</v>
      </c>
      <c r="W9" s="9">
        <f ca="1" xml:space="preserve"> SUMIF( Time!$J326:$BQ326, Time!W$28, Expense!$J27:$BQ27)</f>
        <v>-267605.11794742307</v>
      </c>
      <c r="X9" s="9">
        <f ca="1" xml:space="preserve"> SUMIF( Time!$J326:$BQ326, Time!X$28, Expense!$J27:$BQ27)</f>
        <v>-318488.02282817243</v>
      </c>
      <c r="Y9" s="9">
        <f ca="1" xml:space="preserve"> SUMIF( Time!$J326:$BQ326, Time!Y$28, Expense!$J27:$BQ27)</f>
        <v>-378351.41159728833</v>
      </c>
      <c r="Z9" s="9">
        <f ca="1" xml:space="preserve"> SUMIF( Time!$J326:$BQ326, Time!Z$28, Expense!$J27:$BQ27)</f>
        <v>-449423.87031826004</v>
      </c>
      <c r="AA9" s="9">
        <f ca="1" xml:space="preserve"> SUMIF( Time!$J326:$BQ326, Time!AA$28, Expense!$J27:$BQ27)</f>
        <v>-535162.34942290233</v>
      </c>
      <c r="AB9" s="9">
        <f ca="1" xml:space="preserve"> SUMIF( Time!$J326:$BQ326, Time!AB$28, Expense!$J27:$BQ27)</f>
        <v>-636655.71063030302</v>
      </c>
      <c r="AC9" s="9">
        <f ca="1" xml:space="preserve"> SUMIF( Time!$J326:$BQ326, Time!AC$28, Expense!$J27:$BQ27)</f>
        <v>-756489.61269878736</v>
      </c>
    </row>
    <row r="10" spans="1:29">
      <c r="E10" s="16" t="str">
        <f xml:space="preserve"> Expense!E$20</f>
        <v xml:space="preserve">Fixed operating expense </v>
      </c>
      <c r="F10" s="16">
        <f xml:space="preserve"> Expense!F$20</f>
        <v>0</v>
      </c>
      <c r="G10" s="16" t="str">
        <f xml:space="preserve"> Expense!G$20</f>
        <v>GBP</v>
      </c>
      <c r="H10" s="42">
        <f xml:space="preserve"> Expense!H$20</f>
        <v>-3419071.4947073567</v>
      </c>
      <c r="I10" s="16">
        <f xml:space="preserve"> Expense!I$20</f>
        <v>0</v>
      </c>
      <c r="J10" s="9">
        <f xml:space="preserve"> SUMIF( Time!$J326:$BQ326, Time!J$28, Expense!$J20:$BQ20)</f>
        <v>-135000</v>
      </c>
      <c r="K10" s="9">
        <f xml:space="preserve"> SUMIF( Time!$J326:$BQ326, Time!K$28, Expense!$J20:$BQ20)</f>
        <v>-138282.42699726578</v>
      </c>
      <c r="L10" s="9">
        <f xml:space="preserve"> SUMIF( Time!$J326:$BQ326, Time!L$28, Expense!$J20:$BQ20)</f>
        <v>-141644.66382410476</v>
      </c>
      <c r="M10" s="9">
        <f xml:space="preserve"> SUMIF( Time!$J326:$BQ326, Time!M$28, Expense!$J20:$BQ20)</f>
        <v>-145088.65099858536</v>
      </c>
      <c r="N10" s="9">
        <f xml:space="preserve"> SUMIF( Time!$J326:$BQ326, Time!N$28, Expense!$J20:$BQ20)</f>
        <v>-148500.00000000003</v>
      </c>
      <c r="O10" s="9">
        <f xml:space="preserve"> SUMIF( Time!$J326:$BQ326, Time!O$28, Expense!$J20:$BQ20)</f>
        <v>-152125.5041845674</v>
      </c>
      <c r="P10" s="9">
        <f xml:space="preserve"> SUMIF( Time!$J326:$BQ326, Time!P$28, Expense!$J20:$BQ20)</f>
        <v>-155819.20449922944</v>
      </c>
      <c r="Q10" s="9">
        <f xml:space="preserve"> SUMIF( Time!$J326:$BQ326, Time!Q$28, Expense!$J20:$BQ20)</f>
        <v>-159614.78009494126</v>
      </c>
      <c r="R10" s="9">
        <f xml:space="preserve"> SUMIF( Time!$J326:$BQ326, Time!R$28, Expense!$J20:$BQ20)</f>
        <v>-163364.20583470946</v>
      </c>
      <c r="S10" s="9">
        <f xml:space="preserve"> SUMIF( Time!$J326:$BQ326, Time!S$28, Expense!$J20:$BQ20)</f>
        <v>-167332.62007705602</v>
      </c>
      <c r="T10" s="9">
        <f xml:space="preserve"> SUMIF( Time!$J326:$BQ326, Time!T$28, Expense!$J20:$BQ20)</f>
        <v>-171397.43433260245</v>
      </c>
      <c r="U10" s="9">
        <f xml:space="preserve"> SUMIF( Time!$J326:$BQ326, Time!U$28, Expense!$J20:$BQ20)</f>
        <v>-175571.51356246552</v>
      </c>
      <c r="V10" s="9">
        <f xml:space="preserve"> SUMIF( Time!$J326:$BQ326, Time!V$28, Expense!$J20:$BQ20)</f>
        <v>-179696.72236022056</v>
      </c>
      <c r="W10" s="9">
        <f xml:space="preserve"> SUMIF( Time!$J326:$BQ326, Time!W$28, Expense!$J20:$BQ20)</f>
        <v>-184062.89112249791</v>
      </c>
      <c r="X10" s="9">
        <f xml:space="preserve"> SUMIF( Time!$J326:$BQ326, Time!X$28, Expense!$J20:$BQ20)</f>
        <v>-188535.14657022111</v>
      </c>
      <c r="Y10" s="9">
        <f xml:space="preserve"> SUMIF( Time!$J326:$BQ326, Time!Y$28, Expense!$J20:$BQ20)</f>
        <v>-193125.53244547808</v>
      </c>
      <c r="Z10" s="9">
        <f xml:space="preserve"> SUMIF( Time!$J326:$BQ326, Time!Z$28, Expense!$J20:$BQ20)</f>
        <v>-197663.8170220583</v>
      </c>
      <c r="AA10" s="9">
        <f xml:space="preserve"> SUMIF( Time!$J326:$BQ326, Time!AA$28, Expense!$J20:$BQ20)</f>
        <v>-202467.20550461431</v>
      </c>
      <c r="AB10" s="9">
        <f xml:space="preserve"> SUMIF( Time!$J326:$BQ326, Time!AB$28, Expense!$J20:$BQ20)</f>
        <v>-207387.32016023505</v>
      </c>
      <c r="AC10" s="9">
        <f xml:space="preserve"> SUMIF( Time!$J326:$BQ326, Time!AC$28, Expense!$J20:$BQ20)</f>
        <v>-212391.85511650427</v>
      </c>
    </row>
    <row r="11" spans="1:29">
      <c r="E11" s="12" t="s">
        <v>176</v>
      </c>
      <c r="F11" s="32"/>
      <c r="G11" s="12" t="s">
        <v>252</v>
      </c>
      <c r="H11" s="54">
        <f ca="1" xml:space="preserve"> SUM( J11:BQ11 )</f>
        <v>28620159.418846384</v>
      </c>
      <c r="I11" s="32"/>
      <c r="J11" s="12">
        <f ca="1" xml:space="preserve"> SUMIF( Time!$J326:$BQ326, Time!J$28, 'Income Statement'!$J11:$BQ11)</f>
        <v>-157920.87423993478</v>
      </c>
      <c r="K11" s="12">
        <f ca="1" xml:space="preserve"> SUMIF( Time!$J326:$BQ326, Time!K$28, 'Income Statement'!$J11:$BQ11)</f>
        <v>-165578.94379956403</v>
      </c>
      <c r="L11" s="12">
        <f ca="1" xml:space="preserve"> SUMIF( Time!$J326:$BQ326, Time!L$28, 'Income Statement'!$J11:$BQ11)</f>
        <v>-64408.613269646805</v>
      </c>
      <c r="M11" s="12">
        <f ca="1" xml:space="preserve"> SUMIF( Time!$J326:$BQ326, Time!M$28, 'Income Statement'!$J11:$BQ11)</f>
        <v>-3683.0174292876181</v>
      </c>
      <c r="N11" s="12">
        <f ca="1" xml:space="preserve"> SUMIF( Time!$J326:$BQ326, Time!N$28, 'Income Statement'!$J11:$BQ11)</f>
        <v>98714.459322651179</v>
      </c>
      <c r="O11" s="12">
        <f ca="1" xml:space="preserve"> SUMIF( Time!$J326:$BQ326, Time!O$28, 'Income Statement'!$J11:$BQ11)</f>
        <v>153247.24935528575</v>
      </c>
      <c r="P11" s="12">
        <f ca="1" xml:space="preserve"> SUMIF( Time!$J326:$BQ326, Time!P$28, 'Income Statement'!$J11:$BQ11)</f>
        <v>259169.5681081347</v>
      </c>
      <c r="Q11" s="12">
        <f ca="1" xml:space="preserve"> SUMIF( Time!$J326:$BQ326, Time!Q$28, 'Income Statement'!$J11:$BQ11)</f>
        <v>363152.13603746169</v>
      </c>
      <c r="R11" s="12">
        <f ca="1" xml:space="preserve"> SUMIF( Time!$J326:$BQ326, Time!R$28, 'Income Statement'!$J11:$BQ11)</f>
        <v>443533.66569200583</v>
      </c>
      <c r="S11" s="12">
        <f ca="1" xml:space="preserve"> SUMIF( Time!$J326:$BQ326, Time!S$28, 'Income Statement'!$J11:$BQ11)</f>
        <v>655293.41928350367</v>
      </c>
      <c r="T11" s="12">
        <f ca="1" xml:space="preserve"> SUMIF( Time!$J326:$BQ326, Time!T$28, 'Income Statement'!$J11:$BQ11)</f>
        <v>933861.92327266652</v>
      </c>
      <c r="U11" s="12">
        <f ca="1" xml:space="preserve"> SUMIF( Time!$J326:$BQ326, Time!U$28, 'Income Statement'!$J11:$BQ11)</f>
        <v>1160813.2771881139</v>
      </c>
      <c r="V11" s="12">
        <f ca="1" xml:space="preserve"> SUMIF( Time!$J326:$BQ326, Time!V$28, 'Income Statement'!$J11:$BQ11)</f>
        <v>1397338.1244656045</v>
      </c>
      <c r="W11" s="12">
        <f ca="1" xml:space="preserve"> SUMIF( Time!$J326:$BQ326, Time!W$28, 'Income Statement'!$J11:$BQ11)</f>
        <v>1704494.3002367746</v>
      </c>
      <c r="X11" s="12">
        <f ca="1" xml:space="preserve"> SUMIF( Time!$J326:$BQ326, Time!X$28, 'Income Statement'!$J11:$BQ11)</f>
        <v>2145362.8320131348</v>
      </c>
      <c r="Y11" s="12">
        <f ca="1" xml:space="preserve"> SUMIF( Time!$J326:$BQ326, Time!Y$28, 'Income Statement'!$J11:$BQ11)</f>
        <v>2603132.8560062852</v>
      </c>
      <c r="Z11" s="12">
        <f ca="1" xml:space="preserve"> SUMIF( Time!$J326:$BQ326, Time!Z$28, 'Income Statement'!$J11:$BQ11)</f>
        <v>3139397.5330568831</v>
      </c>
      <c r="AA11" s="12">
        <f ca="1" xml:space="preserve"> SUMIF( Time!$J326:$BQ326, Time!AA$28, 'Income Statement'!$J11:$BQ11)</f>
        <v>3869080.1584159923</v>
      </c>
      <c r="AB11" s="12">
        <f ca="1" xml:space="preserve"> SUMIF( Time!$J326:$BQ326, Time!AB$28, 'Income Statement'!$J11:$BQ11)</f>
        <v>4636327.0326247476</v>
      </c>
      <c r="AC11" s="12">
        <f ca="1" xml:space="preserve"> SUMIF( Time!$J326:$BQ326, Time!AC$28, 'Income Statement'!$J11:$BQ11)</f>
        <v>5448832.3325055707</v>
      </c>
    </row>
    <row r="13" spans="1:29">
      <c r="E13" s="16" t="str">
        <f xml:space="preserve"> Assets!E$12</f>
        <v xml:space="preserve">Depreciation this period </v>
      </c>
      <c r="F13" s="16">
        <f xml:space="preserve"> Assets!F$12</f>
        <v>0</v>
      </c>
      <c r="G13" s="16" t="str">
        <f xml:space="preserve"> Assets!G$12</f>
        <v>GBP</v>
      </c>
      <c r="H13" s="42">
        <f ca="1" xml:space="preserve"> Assets!H$12</f>
        <v>-3718654.3045475697</v>
      </c>
      <c r="I13" s="16">
        <f xml:space="preserve"> Assets!I$12</f>
        <v>0</v>
      </c>
      <c r="J13" s="9">
        <f ca="1" xml:space="preserve"> SUMIF( Time!$J326:$BQ326, Time!J$28, Assets!$J12:$BQ12)</f>
        <v>-14583.333333333334</v>
      </c>
      <c r="K13" s="9">
        <f ca="1" xml:space="preserve"> SUMIF( Time!$J326:$BQ326, Time!K$28, Assets!$J12:$BQ12)</f>
        <v>-21875</v>
      </c>
      <c r="L13" s="9">
        <f ca="1" xml:space="preserve"> SUMIF( Time!$J326:$BQ326, Time!L$28, Assets!$J12:$BQ12)</f>
        <v>-36458.333333333336</v>
      </c>
      <c r="M13" s="9">
        <f ca="1" xml:space="preserve"> SUMIF( Time!$J326:$BQ326, Time!M$28, Assets!$J12:$BQ12)</f>
        <v>-43750</v>
      </c>
      <c r="N13" s="9">
        <f ca="1" xml:space="preserve"> SUMIF( Time!$J326:$BQ326, Time!N$28, Assets!$J12:$BQ12)</f>
        <v>-58333.333333333336</v>
      </c>
      <c r="O13" s="9">
        <f ca="1" xml:space="preserve"> SUMIF( Time!$J326:$BQ326, Time!O$28, Assets!$J12:$BQ12)</f>
        <v>-72916.666666666672</v>
      </c>
      <c r="P13" s="9">
        <f ca="1" xml:space="preserve"> SUMIF( Time!$J326:$BQ326, Time!P$28, Assets!$J12:$BQ12)</f>
        <v>-87500</v>
      </c>
      <c r="Q13" s="9">
        <f ca="1" xml:space="preserve"> SUMIF( Time!$J326:$BQ326, Time!Q$28, Assets!$J12:$BQ12)</f>
        <v>-109375</v>
      </c>
      <c r="R13" s="9">
        <f ca="1" xml:space="preserve"> SUMIF( Time!$J326:$BQ326, Time!R$28, Assets!$J12:$BQ12)</f>
        <v>-136309.95190638574</v>
      </c>
      <c r="S13" s="9">
        <f ca="1" xml:space="preserve"> SUMIF( Time!$J326:$BQ326, Time!S$28, Assets!$J12:$BQ12)</f>
        <v>-150795.10563945491</v>
      </c>
      <c r="T13" s="9">
        <f ca="1" xml:space="preserve"> SUMIF( Time!$J326:$BQ326, Time!T$28, Assets!$J12:$BQ12)</f>
        <v>-163871.60332257132</v>
      </c>
      <c r="U13" s="9">
        <f ca="1" xml:space="preserve"> SUMIF( Time!$J326:$BQ326, Time!U$28, Assets!$J12:$BQ12)</f>
        <v>-182568.80844693186</v>
      </c>
      <c r="V13" s="9">
        <f ca="1" xml:space="preserve"> SUMIF( Time!$J326:$BQ326, Time!V$28, Assets!$J12:$BQ12)</f>
        <v>-213890.66112998413</v>
      </c>
      <c r="W13" s="9">
        <f ca="1" xml:space="preserve"> SUMIF( Time!$J326:$BQ326, Time!W$28, Assets!$J12:$BQ12)</f>
        <v>-242850.7794647385</v>
      </c>
      <c r="X13" s="9">
        <f ca="1" xml:space="preserve"> SUMIF( Time!$J326:$BQ326, Time!X$28, Assets!$J12:$BQ12)</f>
        <v>-276285.86510987714</v>
      </c>
      <c r="Y13" s="9">
        <f ca="1" xml:space="preserve"> SUMIF( Time!$J326:$BQ326, Time!Y$28, Assets!$J12:$BQ12)</f>
        <v>-320958.42147735506</v>
      </c>
      <c r="Z13" s="9">
        <f ca="1" xml:space="preserve"> SUMIF( Time!$J326:$BQ326, Time!Z$28, Assets!$J12:$BQ12)</f>
        <v>-359707.28557423723</v>
      </c>
      <c r="AA13" s="9">
        <f ca="1" xml:space="preserve"> SUMIF( Time!$J326:$BQ326, Time!AA$28, Assets!$J12:$BQ12)</f>
        <v>-389106.60372710909</v>
      </c>
      <c r="AB13" s="9">
        <f ca="1" xml:space="preserve"> SUMIF( Time!$J326:$BQ326, Time!AB$28, Assets!$J12:$BQ12)</f>
        <v>-411606.16922228632</v>
      </c>
      <c r="AC13" s="9">
        <f ca="1" xml:space="preserve"> SUMIF( Time!$J326:$BQ326, Time!AC$28, Assets!$J12:$BQ12)</f>
        <v>-425911.38285997103</v>
      </c>
    </row>
    <row r="14" spans="1:29">
      <c r="E14" s="12" t="s">
        <v>63</v>
      </c>
      <c r="F14" s="32"/>
      <c r="G14" s="12" t="s">
        <v>252</v>
      </c>
      <c r="H14" s="54">
        <f ca="1" xml:space="preserve"> SUM( J14:BQ14 )</f>
        <v>24901505.114298813</v>
      </c>
      <c r="I14" s="32"/>
      <c r="J14" s="12">
        <f ca="1" xml:space="preserve"> SUMIF( Time!$J326:$BQ326, Time!J$28, 'Income Statement'!$J14:$BQ14)</f>
        <v>-172504.20757326813</v>
      </c>
      <c r="K14" s="12">
        <f ca="1" xml:space="preserve"> SUMIF( Time!$J326:$BQ326, Time!K$28, 'Income Statement'!$J14:$BQ14)</f>
        <v>-187453.943799564</v>
      </c>
      <c r="L14" s="12">
        <f ca="1" xml:space="preserve"> SUMIF( Time!$J326:$BQ326, Time!L$28, 'Income Statement'!$J14:$BQ14)</f>
        <v>-100866.94660298014</v>
      </c>
      <c r="M14" s="12">
        <f ca="1" xml:space="preserve"> SUMIF( Time!$J326:$BQ326, Time!M$28, 'Income Statement'!$J14:$BQ14)</f>
        <v>-47433.017429287618</v>
      </c>
      <c r="N14" s="12">
        <f ca="1" xml:space="preserve"> SUMIF( Time!$J326:$BQ326, Time!N$28, 'Income Statement'!$J14:$BQ14)</f>
        <v>40381.12598931785</v>
      </c>
      <c r="O14" s="12">
        <f ca="1" xml:space="preserve"> SUMIF( Time!$J326:$BQ326, Time!O$28, 'Income Statement'!$J14:$BQ14)</f>
        <v>80330.582688619077</v>
      </c>
      <c r="P14" s="12">
        <f ca="1" xml:space="preserve"> SUMIF( Time!$J326:$BQ326, Time!P$28, 'Income Statement'!$J14:$BQ14)</f>
        <v>171669.56810813467</v>
      </c>
      <c r="Q14" s="12">
        <f ca="1" xml:space="preserve"> SUMIF( Time!$J326:$BQ326, Time!Q$28, 'Income Statement'!$J14:$BQ14)</f>
        <v>253777.13603746163</v>
      </c>
      <c r="R14" s="12">
        <f ca="1" xml:space="preserve"> SUMIF( Time!$J326:$BQ326, Time!R$28, 'Income Statement'!$J14:$BQ14)</f>
        <v>307223.71378562006</v>
      </c>
      <c r="S14" s="12">
        <f ca="1" xml:space="preserve"> SUMIF( Time!$J326:$BQ326, Time!S$28, 'Income Statement'!$J14:$BQ14)</f>
        <v>504498.31364404876</v>
      </c>
      <c r="T14" s="12">
        <f ca="1" xml:space="preserve"> SUMIF( Time!$J326:$BQ326, Time!T$28, 'Income Statement'!$J14:$BQ14)</f>
        <v>769990.31995009515</v>
      </c>
      <c r="U14" s="12">
        <f ca="1" xml:space="preserve"> SUMIF( Time!$J326:$BQ326, Time!U$28, 'Income Statement'!$J14:$BQ14)</f>
        <v>978244.46874118212</v>
      </c>
      <c r="V14" s="12">
        <f ca="1" xml:space="preserve"> SUMIF( Time!$J326:$BQ326, Time!V$28, 'Income Statement'!$J14:$BQ14)</f>
        <v>1183447.4633356205</v>
      </c>
      <c r="W14" s="12">
        <f ca="1" xml:space="preserve"> SUMIF( Time!$J326:$BQ326, Time!W$28, 'Income Statement'!$J14:$BQ14)</f>
        <v>1461643.5207720362</v>
      </c>
      <c r="X14" s="12">
        <f ca="1" xml:space="preserve"> SUMIF( Time!$J326:$BQ326, Time!X$28, 'Income Statement'!$J14:$BQ14)</f>
        <v>1869076.9669032579</v>
      </c>
      <c r="Y14" s="12">
        <f ca="1" xml:space="preserve"> SUMIF( Time!$J326:$BQ326, Time!Y$28, 'Income Statement'!$J14:$BQ14)</f>
        <v>2282174.4345289301</v>
      </c>
      <c r="Z14" s="12">
        <f ca="1" xml:space="preserve"> SUMIF( Time!$J326:$BQ326, Time!Z$28, 'Income Statement'!$J14:$BQ14)</f>
        <v>2779690.2474826458</v>
      </c>
      <c r="AA14" s="12">
        <f ca="1" xml:space="preserve"> SUMIF( Time!$J326:$BQ326, Time!AA$28, 'Income Statement'!$J14:$BQ14)</f>
        <v>3479973.554688883</v>
      </c>
      <c r="AB14" s="12">
        <f ca="1" xml:space="preserve"> SUMIF( Time!$J326:$BQ326, Time!AB$28, 'Income Statement'!$J14:$BQ14)</f>
        <v>4224720.8634024616</v>
      </c>
      <c r="AC14" s="12">
        <f ca="1" xml:space="preserve"> SUMIF( Time!$J326:$BQ326, Time!AC$28, 'Income Statement'!$J14:$BQ14)</f>
        <v>5022920.9496455994</v>
      </c>
    </row>
    <row r="16" spans="1:29">
      <c r="E16" s="16" t="str">
        <f xml:space="preserve"> 'Supply Chain finance'!E$42</f>
        <v xml:space="preserve">Supply Chain Finance interest </v>
      </c>
      <c r="F16" s="16">
        <f xml:space="preserve"> 'Supply Chain finance'!F$42</f>
        <v>0</v>
      </c>
      <c r="G16" s="16" t="str">
        <f xml:space="preserve"> 'Supply Chain finance'!G$42</f>
        <v>GBP</v>
      </c>
      <c r="H16" s="42">
        <f ca="1" xml:space="preserve"> 'Supply Chain finance'!H$42</f>
        <v>0</v>
      </c>
      <c r="I16" s="16">
        <f xml:space="preserve"> 'Supply Chain finance'!I$42</f>
        <v>0</v>
      </c>
      <c r="J16" s="9">
        <f ca="1" xml:space="preserve"> SUMIF( Time!$J326:$BQ326, Time!J$28, 'Supply Chain finance'!$J42:$BQ42)</f>
        <v>0</v>
      </c>
      <c r="K16" s="9">
        <f ca="1" xml:space="preserve"> SUMIF( Time!$J326:$BQ326, Time!K$28, 'Supply Chain finance'!$J42:$BQ42)</f>
        <v>0</v>
      </c>
      <c r="L16" s="9">
        <f ca="1" xml:space="preserve"> SUMIF( Time!$J326:$BQ326, Time!L$28, 'Supply Chain finance'!$J42:$BQ42)</f>
        <v>0</v>
      </c>
      <c r="M16" s="9">
        <f ca="1" xml:space="preserve"> SUMIF( Time!$J326:$BQ326, Time!M$28, 'Supply Chain finance'!$J42:$BQ42)</f>
        <v>0</v>
      </c>
      <c r="N16" s="9">
        <f ca="1" xml:space="preserve"> SUMIF( Time!$J326:$BQ326, Time!N$28, 'Supply Chain finance'!$J42:$BQ42)</f>
        <v>0</v>
      </c>
      <c r="O16" s="9">
        <f ca="1" xml:space="preserve"> SUMIF( Time!$J326:$BQ326, Time!O$28, 'Supply Chain finance'!$J42:$BQ42)</f>
        <v>0</v>
      </c>
      <c r="P16" s="9">
        <f ca="1" xml:space="preserve"> SUMIF( Time!$J326:$BQ326, Time!P$28, 'Supply Chain finance'!$J42:$BQ42)</f>
        <v>0</v>
      </c>
      <c r="Q16" s="9">
        <f ca="1" xml:space="preserve"> SUMIF( Time!$J326:$BQ326, Time!Q$28, 'Supply Chain finance'!$J42:$BQ42)</f>
        <v>0</v>
      </c>
      <c r="R16" s="9">
        <f ca="1" xml:space="preserve"> SUMIF( Time!$J326:$BQ326, Time!R$28, 'Supply Chain finance'!$J42:$BQ42)</f>
        <v>0</v>
      </c>
      <c r="S16" s="9">
        <f ca="1" xml:space="preserve"> SUMIF( Time!$J326:$BQ326, Time!S$28, 'Supply Chain finance'!$J42:$BQ42)</f>
        <v>0</v>
      </c>
      <c r="T16" s="9">
        <f ca="1" xml:space="preserve"> SUMIF( Time!$J326:$BQ326, Time!T$28, 'Supply Chain finance'!$J42:$BQ42)</f>
        <v>0</v>
      </c>
      <c r="U16" s="9">
        <f ca="1" xml:space="preserve"> SUMIF( Time!$J326:$BQ326, Time!U$28, 'Supply Chain finance'!$J42:$BQ42)</f>
        <v>0</v>
      </c>
      <c r="V16" s="9">
        <f ca="1" xml:space="preserve"> SUMIF( Time!$J326:$BQ326, Time!V$28, 'Supply Chain finance'!$J42:$BQ42)</f>
        <v>0</v>
      </c>
      <c r="W16" s="9">
        <f ca="1" xml:space="preserve"> SUMIF( Time!$J326:$BQ326, Time!W$28, 'Supply Chain finance'!$J42:$BQ42)</f>
        <v>0</v>
      </c>
      <c r="X16" s="9">
        <f ca="1" xml:space="preserve"> SUMIF( Time!$J326:$BQ326, Time!X$28, 'Supply Chain finance'!$J42:$BQ42)</f>
        <v>0</v>
      </c>
      <c r="Y16" s="9">
        <f ca="1" xml:space="preserve"> SUMIF( Time!$J326:$BQ326, Time!Y$28, 'Supply Chain finance'!$J42:$BQ42)</f>
        <v>0</v>
      </c>
      <c r="Z16" s="9">
        <f ca="1" xml:space="preserve"> SUMIF( Time!$J326:$BQ326, Time!Z$28, 'Supply Chain finance'!$J42:$BQ42)</f>
        <v>0</v>
      </c>
      <c r="AA16" s="9">
        <f ca="1" xml:space="preserve"> SUMIF( Time!$J326:$BQ326, Time!AA$28, 'Supply Chain finance'!$J42:$BQ42)</f>
        <v>0</v>
      </c>
      <c r="AB16" s="9">
        <f ca="1" xml:space="preserve"> SUMIF( Time!$J326:$BQ326, Time!AB$28, 'Supply Chain finance'!$J42:$BQ42)</f>
        <v>0</v>
      </c>
      <c r="AC16" s="9">
        <f ca="1" xml:space="preserve"> SUMIF( Time!$J326:$BQ326, Time!AC$28, 'Supply Chain finance'!$J42:$BQ42)</f>
        <v>0</v>
      </c>
    </row>
    <row r="17" spans="5:29">
      <c r="E17" s="16" t="str">
        <f xml:space="preserve"> 'Invoice finance'!E$41</f>
        <v xml:space="preserve">Invoice finance interest </v>
      </c>
      <c r="F17" s="16">
        <f xml:space="preserve"> 'Invoice finance'!F$41</f>
        <v>0</v>
      </c>
      <c r="G17" s="16" t="str">
        <f xml:space="preserve"> 'Invoice finance'!G$41</f>
        <v>GBP</v>
      </c>
      <c r="H17" s="42">
        <f ca="1" xml:space="preserve"> 'Invoice finance'!H$41</f>
        <v>0</v>
      </c>
      <c r="I17" s="16">
        <f xml:space="preserve"> 'Invoice finance'!I$41</f>
        <v>0</v>
      </c>
      <c r="J17" s="9">
        <f ca="1" xml:space="preserve"> SUMIF( Time!$J326:$BQ326, Time!J$28, 'Invoice finance'!$J41:$BQ41)</f>
        <v>0</v>
      </c>
      <c r="K17" s="9">
        <f ca="1" xml:space="preserve"> SUMIF( Time!$J326:$BQ326, Time!K$28, 'Invoice finance'!$J41:$BQ41)</f>
        <v>0</v>
      </c>
      <c r="L17" s="9">
        <f ca="1" xml:space="preserve"> SUMIF( Time!$J326:$BQ326, Time!L$28, 'Invoice finance'!$J41:$BQ41)</f>
        <v>0</v>
      </c>
      <c r="M17" s="9">
        <f ca="1" xml:space="preserve"> SUMIF( Time!$J326:$BQ326, Time!M$28, 'Invoice finance'!$J41:$BQ41)</f>
        <v>0</v>
      </c>
      <c r="N17" s="9">
        <f ca="1" xml:space="preserve"> SUMIF( Time!$J326:$BQ326, Time!N$28, 'Invoice finance'!$J41:$BQ41)</f>
        <v>0</v>
      </c>
      <c r="O17" s="9">
        <f ca="1" xml:space="preserve"> SUMIF( Time!$J326:$BQ326, Time!O$28, 'Invoice finance'!$J41:$BQ41)</f>
        <v>0</v>
      </c>
      <c r="P17" s="9">
        <f ca="1" xml:space="preserve"> SUMIF( Time!$J326:$BQ326, Time!P$28, 'Invoice finance'!$J41:$BQ41)</f>
        <v>0</v>
      </c>
      <c r="Q17" s="9">
        <f ca="1" xml:space="preserve"> SUMIF( Time!$J326:$BQ326, Time!Q$28, 'Invoice finance'!$J41:$BQ41)</f>
        <v>0</v>
      </c>
      <c r="R17" s="9">
        <f ca="1" xml:space="preserve"> SUMIF( Time!$J326:$BQ326, Time!R$28, 'Invoice finance'!$J41:$BQ41)</f>
        <v>0</v>
      </c>
      <c r="S17" s="9">
        <f ca="1" xml:space="preserve"> SUMIF( Time!$J326:$BQ326, Time!S$28, 'Invoice finance'!$J41:$BQ41)</f>
        <v>0</v>
      </c>
      <c r="T17" s="9">
        <f ca="1" xml:space="preserve"> SUMIF( Time!$J326:$BQ326, Time!T$28, 'Invoice finance'!$J41:$BQ41)</f>
        <v>0</v>
      </c>
      <c r="U17" s="9">
        <f ca="1" xml:space="preserve"> SUMIF( Time!$J326:$BQ326, Time!U$28, 'Invoice finance'!$J41:$BQ41)</f>
        <v>0</v>
      </c>
      <c r="V17" s="9">
        <f ca="1" xml:space="preserve"> SUMIF( Time!$J326:$BQ326, Time!V$28, 'Invoice finance'!$J41:$BQ41)</f>
        <v>0</v>
      </c>
      <c r="W17" s="9">
        <f ca="1" xml:space="preserve"> SUMIF( Time!$J326:$BQ326, Time!W$28, 'Invoice finance'!$J41:$BQ41)</f>
        <v>0</v>
      </c>
      <c r="X17" s="9">
        <f ca="1" xml:space="preserve"> SUMIF( Time!$J326:$BQ326, Time!X$28, 'Invoice finance'!$J41:$BQ41)</f>
        <v>0</v>
      </c>
      <c r="Y17" s="9">
        <f ca="1" xml:space="preserve"> SUMIF( Time!$J326:$BQ326, Time!Y$28, 'Invoice finance'!$J41:$BQ41)</f>
        <v>0</v>
      </c>
      <c r="Z17" s="9">
        <f ca="1" xml:space="preserve"> SUMIF( Time!$J326:$BQ326, Time!Z$28, 'Invoice finance'!$J41:$BQ41)</f>
        <v>0</v>
      </c>
      <c r="AA17" s="9">
        <f ca="1" xml:space="preserve"> SUMIF( Time!$J326:$BQ326, Time!AA$28, 'Invoice finance'!$J41:$BQ41)</f>
        <v>0</v>
      </c>
      <c r="AB17" s="9">
        <f ca="1" xml:space="preserve"> SUMIF( Time!$J326:$BQ326, Time!AB$28, 'Invoice finance'!$J41:$BQ41)</f>
        <v>0</v>
      </c>
      <c r="AC17" s="9">
        <f ca="1" xml:space="preserve"> SUMIF( Time!$J326:$BQ326, Time!AC$28, 'Invoice finance'!$J41:$BQ41)</f>
        <v>0</v>
      </c>
    </row>
    <row r="18" spans="5:29">
      <c r="E18" s="16" t="str">
        <f xml:space="preserve"> 'Asset Finance'!E$42</f>
        <v xml:space="preserve">Asset Finance interest </v>
      </c>
      <c r="F18" s="16">
        <f xml:space="preserve"> 'Asset Finance'!F$42</f>
        <v>0</v>
      </c>
      <c r="G18" s="16" t="str">
        <f xml:space="preserve"> 'Asset Finance'!G$42</f>
        <v>GBP</v>
      </c>
      <c r="H18" s="42">
        <f ca="1" xml:space="preserve"> 'Asset Finance'!H$42</f>
        <v>-450644.387972205</v>
      </c>
      <c r="I18" s="16">
        <f xml:space="preserve"> 'Asset Finance'!I$42</f>
        <v>0</v>
      </c>
      <c r="J18" s="9">
        <f ca="1" xml:space="preserve"> SUMIF( Time!$J326:$BQ326, Time!J$28, 'Asset Finance'!$J42:$BQ42)</f>
        <v>-2284.7222222222226</v>
      </c>
      <c r="K18" s="9">
        <f ca="1" xml:space="preserve"> SUMIF( Time!$J326:$BQ326, Time!K$28, 'Asset Finance'!$J42:$BQ42)</f>
        <v>-3082.336174607768</v>
      </c>
      <c r="L18" s="9">
        <f ca="1" xml:space="preserve"> SUMIF( Time!$J326:$BQ326, Time!L$28, 'Asset Finance'!$J42:$BQ42)</f>
        <v>-4997.5972393267302</v>
      </c>
      <c r="M18" s="9">
        <f ca="1" xml:space="preserve"> SUMIF( Time!$J326:$BQ326, Time!M$28, 'Asset Finance'!$J42:$BQ42)</f>
        <v>-5470.035128102455</v>
      </c>
      <c r="N18" s="9">
        <f ca="1" xml:space="preserve"> SUMIF( Time!$J326:$BQ326, Time!N$28, 'Asset Finance'!$J42:$BQ42)</f>
        <v>-7099.0970344055686</v>
      </c>
      <c r="O18" s="9">
        <f ca="1" xml:space="preserve"> SUMIF( Time!$J326:$BQ326, Time!O$28, 'Asset Finance'!$J42:$BQ42)</f>
        <v>-8486.3074086814649</v>
      </c>
      <c r="P18" s="9">
        <f ca="1" xml:space="preserve"> SUMIF( Time!$J326:$BQ326, Time!P$28, 'Asset Finance'!$J42:$BQ42)</f>
        <v>-9658.6300811217734</v>
      </c>
      <c r="Q18" s="9">
        <f ca="1" xml:space="preserve"> SUMIF( Time!$J326:$BQ326, Time!Q$28, 'Asset Finance'!$J42:$BQ42)</f>
        <v>-11857.100129991943</v>
      </c>
      <c r="R18" s="9">
        <f ca="1" xml:space="preserve"> SUMIF( Time!$J326:$BQ326, Time!R$28, 'Asset Finance'!$J42:$BQ42)</f>
        <v>-14958.719421412905</v>
      </c>
      <c r="S18" s="9">
        <f ca="1" xml:space="preserve"> SUMIF( Time!$J326:$BQ326, Time!S$28, 'Asset Finance'!$J42:$BQ42)</f>
        <v>-16521.899537060966</v>
      </c>
      <c r="T18" s="9">
        <f ca="1" xml:space="preserve"> SUMIF( Time!$J326:$BQ326, Time!T$28, 'Asset Finance'!$J42:$BQ42)</f>
        <v>-17897.710624090047</v>
      </c>
      <c r="U18" s="9">
        <f ca="1" xml:space="preserve"> SUMIF( Time!$J326:$BQ326, Time!U$28, 'Asset Finance'!$J42:$BQ42)</f>
        <v>-20226.66704016953</v>
      </c>
      <c r="V18" s="9">
        <f ca="1" xml:space="preserve"> SUMIF( Time!$J326:$BQ326, Time!V$28, 'Asset Finance'!$J42:$BQ42)</f>
        <v>-24514.601987683935</v>
      </c>
      <c r="W18" s="9">
        <f ca="1" xml:space="preserve"> SUMIF( Time!$J326:$BQ326, Time!W$28, 'Asset Finance'!$J42:$BQ42)</f>
        <v>-28288.56788079792</v>
      </c>
      <c r="X18" s="9">
        <f ca="1" xml:space="preserve"> SUMIF( Time!$J326:$BQ326, Time!X$28, 'Asset Finance'!$J42:$BQ42)</f>
        <v>-32776.837775294291</v>
      </c>
      <c r="Y18" s="9">
        <f ca="1" xml:space="preserve"> SUMIF( Time!$J326:$BQ326, Time!Y$28, 'Asset Finance'!$J42:$BQ42)</f>
        <v>-38916.651129340695</v>
      </c>
      <c r="Z18" s="9">
        <f ca="1" xml:space="preserve"> SUMIF( Time!$J326:$BQ326, Time!Z$28, 'Asset Finance'!$J42:$BQ42)</f>
        <v>-44320.521867092612</v>
      </c>
      <c r="AA18" s="9">
        <f ca="1" xml:space="preserve"> SUMIF( Time!$J326:$BQ326, Time!AA$28, 'Asset Finance'!$J42:$BQ42)</f>
        <v>-49076.663017716703</v>
      </c>
      <c r="AB18" s="9">
        <f ca="1" xml:space="preserve"> SUMIF( Time!$J326:$BQ326, Time!AB$28, 'Asset Finance'!$J42:$BQ42)</f>
        <v>-53262.714043443222</v>
      </c>
      <c r="AC18" s="9">
        <f ca="1" xml:space="preserve"> SUMIF( Time!$J326:$BQ326, Time!AC$28, 'Asset Finance'!$J42:$BQ42)</f>
        <v>-56947.008229642204</v>
      </c>
    </row>
    <row r="19" spans="5:29">
      <c r="E19" s="12" t="s">
        <v>177</v>
      </c>
      <c r="F19" s="32"/>
      <c r="G19" s="12" t="s">
        <v>252</v>
      </c>
      <c r="H19" s="54">
        <f ca="1" xml:space="preserve"> SUM( J19:BQ19 )</f>
        <v>24450860.726326607</v>
      </c>
      <c r="I19" s="32"/>
      <c r="J19" s="12">
        <f ca="1" xml:space="preserve"> SUMIF( Time!$J326:$BQ326, Time!J$28, 'Income Statement'!$J19:$BQ19)</f>
        <v>-174788.92979549034</v>
      </c>
      <c r="K19" s="12">
        <f ca="1" xml:space="preserve"> SUMIF( Time!$J326:$BQ326, Time!K$28, 'Income Statement'!$J19:$BQ19)</f>
        <v>-190536.27997417178</v>
      </c>
      <c r="L19" s="12">
        <f ca="1" xml:space="preserve"> SUMIF( Time!$J326:$BQ326, Time!L$28, 'Income Statement'!$J19:$BQ19)</f>
        <v>-105864.54384230687</v>
      </c>
      <c r="M19" s="12">
        <f ca="1" xml:space="preserve"> SUMIF( Time!$J326:$BQ326, Time!M$28, 'Income Statement'!$J19:$BQ19)</f>
        <v>-52903.052557390081</v>
      </c>
      <c r="N19" s="12">
        <f ca="1" xml:space="preserve"> SUMIF( Time!$J326:$BQ326, Time!N$28, 'Income Statement'!$J19:$BQ19)</f>
        <v>33282.028954912283</v>
      </c>
      <c r="O19" s="12">
        <f ca="1" xml:space="preserve"> SUMIF( Time!$J326:$BQ326, Time!O$28, 'Income Statement'!$J19:$BQ19)</f>
        <v>71844.275279937603</v>
      </c>
      <c r="P19" s="12">
        <f ca="1" xml:space="preserve"> SUMIF( Time!$J326:$BQ326, Time!P$28, 'Income Statement'!$J19:$BQ19)</f>
        <v>162010.93802701292</v>
      </c>
      <c r="Q19" s="12">
        <f ca="1" xml:space="preserve"> SUMIF( Time!$J326:$BQ326, Time!Q$28, 'Income Statement'!$J19:$BQ19)</f>
        <v>241920.03590746969</v>
      </c>
      <c r="R19" s="12">
        <f ca="1" xml:space="preserve"> SUMIF( Time!$J326:$BQ326, Time!R$28, 'Income Statement'!$J19:$BQ19)</f>
        <v>292264.9943642072</v>
      </c>
      <c r="S19" s="12">
        <f ca="1" xml:space="preserve"> SUMIF( Time!$J326:$BQ326, Time!S$28, 'Income Statement'!$J19:$BQ19)</f>
        <v>487976.41410698777</v>
      </c>
      <c r="T19" s="12">
        <f ca="1" xml:space="preserve"> SUMIF( Time!$J326:$BQ326, Time!T$28, 'Income Statement'!$J19:$BQ19)</f>
        <v>752092.60932600521</v>
      </c>
      <c r="U19" s="12">
        <f ca="1" xml:space="preserve"> SUMIF( Time!$J326:$BQ326, Time!U$28, 'Income Statement'!$J19:$BQ19)</f>
        <v>958017.80170101253</v>
      </c>
      <c r="V19" s="12">
        <f ca="1" xml:space="preserve"> SUMIF( Time!$J326:$BQ326, Time!V$28, 'Income Statement'!$J19:$BQ19)</f>
        <v>1158932.8613479366</v>
      </c>
      <c r="W19" s="12">
        <f ca="1" xml:space="preserve"> SUMIF( Time!$J326:$BQ326, Time!W$28, 'Income Statement'!$J19:$BQ19)</f>
        <v>1433354.952891238</v>
      </c>
      <c r="X19" s="12">
        <f ca="1" xml:space="preserve"> SUMIF( Time!$J326:$BQ326, Time!X$28, 'Income Statement'!$J19:$BQ19)</f>
        <v>1836300.1291279634</v>
      </c>
      <c r="Y19" s="12">
        <f ca="1" xml:space="preserve"> SUMIF( Time!$J326:$BQ326, Time!Y$28, 'Income Statement'!$J19:$BQ19)</f>
        <v>2243257.7833995894</v>
      </c>
      <c r="Z19" s="12">
        <f ca="1" xml:space="preserve"> SUMIF( Time!$J326:$BQ326, Time!Z$28, 'Income Statement'!$J19:$BQ19)</f>
        <v>2735369.7256155531</v>
      </c>
      <c r="AA19" s="12">
        <f ca="1" xml:space="preserve"> SUMIF( Time!$J326:$BQ326, Time!AA$28, 'Income Statement'!$J19:$BQ19)</f>
        <v>3430896.8916711668</v>
      </c>
      <c r="AB19" s="12">
        <f ca="1" xml:space="preserve"> SUMIF( Time!$J326:$BQ326, Time!AB$28, 'Income Statement'!$J19:$BQ19)</f>
        <v>4171458.1493590176</v>
      </c>
      <c r="AC19" s="12">
        <f ca="1" xml:space="preserve"> SUMIF( Time!$J326:$BQ326, Time!AC$28, 'Income Statement'!$J19:$BQ19)</f>
        <v>4965973.9414159572</v>
      </c>
    </row>
    <row r="21" spans="5:29">
      <c r="E21" s="16" t="str">
        <f xml:space="preserve"> 'Corporation tax'!E$48</f>
        <v xml:space="preserve">Corporation tax </v>
      </c>
      <c r="F21" s="16">
        <f xml:space="preserve"> 'Corporation tax'!F$48</f>
        <v>0</v>
      </c>
      <c r="G21" s="16" t="str">
        <f xml:space="preserve"> 'Corporation tax'!G$48</f>
        <v>GBP</v>
      </c>
      <c r="H21" s="42">
        <f ca="1" xml:space="preserve"> 'Corporation tax'!H$48</f>
        <v>-5734471.8837692766</v>
      </c>
      <c r="I21" s="16">
        <f xml:space="preserve"> 'Corporation tax'!I$48</f>
        <v>0</v>
      </c>
      <c r="J21" s="9">
        <f ca="1" xml:space="preserve"> SUMIF( Time!$J326:$BQ326, Time!J$28, 'Corporation tax'!$J48:$BQ48)</f>
        <v>0</v>
      </c>
      <c r="K21" s="9">
        <f ca="1" xml:space="preserve"> SUMIF( Time!$J326:$BQ326, Time!K$28, 'Corporation tax'!$J48:$BQ48)</f>
        <v>0</v>
      </c>
      <c r="L21" s="9">
        <f ca="1" xml:space="preserve"> SUMIF( Time!$J326:$BQ326, Time!L$28, 'Corporation tax'!$J48:$BQ48)</f>
        <v>0</v>
      </c>
      <c r="M21" s="9">
        <f ca="1" xml:space="preserve"> SUMIF( Time!$J326:$BQ326, Time!M$28, 'Corporation tax'!$J48:$BQ48)</f>
        <v>0</v>
      </c>
      <c r="N21" s="9">
        <f ca="1" xml:space="preserve"> SUMIF( Time!$J326:$BQ326, Time!N$28, 'Corporation tax'!$J48:$BQ48)</f>
        <v>0</v>
      </c>
      <c r="O21" s="9">
        <f ca="1" xml:space="preserve"> SUMIF( Time!$J326:$BQ326, Time!O$28, 'Corporation tax'!$J48:$BQ48)</f>
        <v>0</v>
      </c>
      <c r="P21" s="9">
        <f ca="1" xml:space="preserve"> SUMIF( Time!$J326:$BQ326, Time!P$28, 'Corporation tax'!$J48:$BQ48)</f>
        <v>-34347.96560952768</v>
      </c>
      <c r="Q21" s="9">
        <f ca="1" xml:space="preserve"> SUMIF( Time!$J326:$BQ326, Time!Q$28, 'Corporation tax'!$J48:$BQ48)</f>
        <v>-72630.427207492336</v>
      </c>
      <c r="R21" s="9">
        <f ca="1" xml:space="preserve"> SUMIF( Time!$J326:$BQ326, Time!R$28, 'Corporation tax'!$J48:$BQ48)</f>
        <v>-88706.733138401178</v>
      </c>
      <c r="S21" s="9">
        <f ca="1" xml:space="preserve"> SUMIF( Time!$J326:$BQ326, Time!S$28, 'Corporation tax'!$J48:$BQ48)</f>
        <v>-131058.68385670075</v>
      </c>
      <c r="T21" s="9">
        <f ca="1" xml:space="preserve"> SUMIF( Time!$J326:$BQ326, Time!T$28, 'Corporation tax'!$J48:$BQ48)</f>
        <v>-186772.38465453332</v>
      </c>
      <c r="U21" s="9">
        <f ca="1" xml:space="preserve"> SUMIF( Time!$J326:$BQ326, Time!U$28, 'Corporation tax'!$J48:$BQ48)</f>
        <v>-232162.6554376228</v>
      </c>
      <c r="V21" s="9">
        <f ca="1" xml:space="preserve"> SUMIF( Time!$J326:$BQ326, Time!V$28, 'Corporation tax'!$J48:$BQ48)</f>
        <v>-279467.6248931209</v>
      </c>
      <c r="W21" s="9">
        <f ca="1" xml:space="preserve"> SUMIF( Time!$J326:$BQ326, Time!W$28, 'Corporation tax'!$J48:$BQ48)</f>
        <v>-340898.86004735494</v>
      </c>
      <c r="X21" s="9">
        <f ca="1" xml:space="preserve"> SUMIF( Time!$J326:$BQ326, Time!X$28, 'Corporation tax'!$J48:$BQ48)</f>
        <v>-429072.56640262704</v>
      </c>
      <c r="Y21" s="9">
        <f ca="1" xml:space="preserve"> SUMIF( Time!$J326:$BQ326, Time!Y$28, 'Corporation tax'!$J48:$BQ48)</f>
        <v>-520626.57120125706</v>
      </c>
      <c r="Z21" s="9">
        <f ca="1" xml:space="preserve"> SUMIF( Time!$J326:$BQ326, Time!Z$28, 'Corporation tax'!$J48:$BQ48)</f>
        <v>-627879.50661137665</v>
      </c>
      <c r="AA21" s="9">
        <f ca="1" xml:space="preserve"> SUMIF( Time!$J326:$BQ326, Time!AA$28, 'Corporation tax'!$J48:$BQ48)</f>
        <v>-773816.03168319853</v>
      </c>
      <c r="AB21" s="9">
        <f ca="1" xml:space="preserve"> SUMIF( Time!$J326:$BQ326, Time!AB$28, 'Corporation tax'!$J48:$BQ48)</f>
        <v>-927265.40652494947</v>
      </c>
      <c r="AC21" s="9">
        <f ca="1" xml:space="preserve"> SUMIF( Time!$J326:$BQ326, Time!AC$28, 'Corporation tax'!$J48:$BQ48)</f>
        <v>-1089766.4665011142</v>
      </c>
    </row>
    <row r="22" spans="5:29">
      <c r="E22" s="12" t="s">
        <v>38</v>
      </c>
      <c r="F22" s="32"/>
      <c r="G22" s="12" t="s">
        <v>252</v>
      </c>
      <c r="H22" s="54">
        <f ca="1" xml:space="preserve"> SUM( J22:BQ22 )</f>
        <v>18716388.842557333</v>
      </c>
      <c r="I22" s="32"/>
      <c r="J22" s="12">
        <f ca="1" xml:space="preserve"> SUMIF( Time!$J326:$BQ326, Time!J$28, 'Income Statement'!$J22:$BQ22)</f>
        <v>-174788.92979549034</v>
      </c>
      <c r="K22" s="12">
        <f ca="1" xml:space="preserve"> SUMIF( Time!$J326:$BQ326, Time!K$28, 'Income Statement'!$J22:$BQ22)</f>
        <v>-190536.27997417178</v>
      </c>
      <c r="L22" s="12">
        <f ca="1" xml:space="preserve"> SUMIF( Time!$J326:$BQ326, Time!L$28, 'Income Statement'!$J22:$BQ22)</f>
        <v>-105864.54384230687</v>
      </c>
      <c r="M22" s="12">
        <f ca="1" xml:space="preserve"> SUMIF( Time!$J326:$BQ326, Time!M$28, 'Income Statement'!$J22:$BQ22)</f>
        <v>-52903.052557390081</v>
      </c>
      <c r="N22" s="12">
        <f ca="1" xml:space="preserve"> SUMIF( Time!$J326:$BQ326, Time!N$28, 'Income Statement'!$J22:$BQ22)</f>
        <v>33282.028954912283</v>
      </c>
      <c r="O22" s="12">
        <f ca="1" xml:space="preserve"> SUMIF( Time!$J326:$BQ326, Time!O$28, 'Income Statement'!$J22:$BQ22)</f>
        <v>71844.275279937603</v>
      </c>
      <c r="P22" s="12">
        <f ca="1" xml:space="preserve"> SUMIF( Time!$J326:$BQ326, Time!P$28, 'Income Statement'!$J22:$BQ22)</f>
        <v>127662.97241748525</v>
      </c>
      <c r="Q22" s="12">
        <f ca="1" xml:space="preserve"> SUMIF( Time!$J326:$BQ326, Time!Q$28, 'Income Statement'!$J22:$BQ22)</f>
        <v>169289.60869997737</v>
      </c>
      <c r="R22" s="12">
        <f ca="1" xml:space="preserve"> SUMIF( Time!$J326:$BQ326, Time!R$28, 'Income Statement'!$J22:$BQ22)</f>
        <v>203558.26122580603</v>
      </c>
      <c r="S22" s="12">
        <f ca="1" xml:space="preserve"> SUMIF( Time!$J326:$BQ326, Time!S$28, 'Income Statement'!$J22:$BQ22)</f>
        <v>356917.73025028704</v>
      </c>
      <c r="T22" s="12">
        <f ca="1" xml:space="preserve"> SUMIF( Time!$J326:$BQ326, Time!T$28, 'Income Statement'!$J22:$BQ22)</f>
        <v>565320.22467147186</v>
      </c>
      <c r="U22" s="12">
        <f ca="1" xml:space="preserve"> SUMIF( Time!$J326:$BQ326, Time!U$28, 'Income Statement'!$J22:$BQ22)</f>
        <v>725855.14626338985</v>
      </c>
      <c r="V22" s="12">
        <f ca="1" xml:space="preserve"> SUMIF( Time!$J326:$BQ326, Time!V$28, 'Income Statement'!$J22:$BQ22)</f>
        <v>879465.2364548156</v>
      </c>
      <c r="W22" s="12">
        <f ca="1" xml:space="preserve"> SUMIF( Time!$J326:$BQ326, Time!W$28, 'Income Statement'!$J22:$BQ22)</f>
        <v>1092456.0928438832</v>
      </c>
      <c r="X22" s="12">
        <f ca="1" xml:space="preserve"> SUMIF( Time!$J326:$BQ326, Time!X$28, 'Income Statement'!$J22:$BQ22)</f>
        <v>1407227.5627253365</v>
      </c>
      <c r="Y22" s="12">
        <f ca="1" xml:space="preserve"> SUMIF( Time!$J326:$BQ326, Time!Y$28, 'Income Statement'!$J22:$BQ22)</f>
        <v>1722631.2121983324</v>
      </c>
      <c r="Z22" s="12">
        <f ca="1" xml:space="preserve"> SUMIF( Time!$J326:$BQ326, Time!Z$28, 'Income Statement'!$J22:$BQ22)</f>
        <v>2107490.2190041766</v>
      </c>
      <c r="AA22" s="12">
        <f ca="1" xml:space="preserve"> SUMIF( Time!$J326:$BQ326, Time!AA$28, 'Income Statement'!$J22:$BQ22)</f>
        <v>2657080.8599879681</v>
      </c>
      <c r="AB22" s="12">
        <f ca="1" xml:space="preserve"> SUMIF( Time!$J326:$BQ326, Time!AB$28, 'Income Statement'!$J22:$BQ22)</f>
        <v>3244192.7428340684</v>
      </c>
      <c r="AC22" s="12">
        <f ca="1" xml:space="preserve"> SUMIF( Time!$J326:$BQ326, Time!AC$28, 'Income Statement'!$J22:$BQ22)</f>
        <v>3876207.4749148432</v>
      </c>
    </row>
  </sheetData>
  <conditionalFormatting sqref="F2:F3">
    <cfRule type="cellIs" dxfId="105" priority="1" stopIfTrue="1" operator="notEqual">
      <formula>0</formula>
    </cfRule>
    <cfRule type="cellIs" dxfId="104" priority="2" stopIfTrue="1" operator="equal">
      <formula>""</formula>
    </cfRule>
  </conditionalFormatting>
  <conditionalFormatting sqref="J3:AC3">
    <cfRule type="cellIs" dxfId="103" priority="3" operator="equal">
      <formula>"PPA ext."</formula>
    </cfRule>
    <cfRule type="cellIs" dxfId="102" priority="4" operator="equal">
      <formula>"Delay"</formula>
    </cfRule>
    <cfRule type="cellIs" dxfId="101" priority="5" operator="equal">
      <formula>"Fin Close"</formula>
    </cfRule>
    <cfRule type="cellIs" dxfId="100" priority="6" stopIfTrue="1" operator="equal">
      <formula>"Construction"</formula>
    </cfRule>
    <cfRule type="cellIs" dxfId="9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4F81BD"/>
    <outlinePr summaryBelow="0" summaryRight="0"/>
  </sheetPr>
  <dimension ref="A1:S22"/>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13.1796875" style="43" bestFit="1" customWidth="1"/>
    <col min="9" max="9" width="3.453125" customWidth="1"/>
    <col min="10" max="17" width="11.81640625" bestFit="1" customWidth="1"/>
    <col min="18" max="18" width="12.453125" bestFit="1" customWidth="1"/>
    <col min="19" max="19" width="13.1796875" bestFit="1" customWidth="1"/>
    <col min="20" max="20" width="15.08984375" hidden="1" customWidth="1"/>
    <col min="21" max="16384" width="15.08984375" hidden="1"/>
  </cols>
  <sheetData>
    <row r="1" spans="1:19" s="75" customFormat="1" ht="25.15">
      <c r="A1" s="45" t="str">
        <f ca="1" xml:space="preserve"> RIGHT(CELL("filename", A1), LEN(CELL("filename", A1)) - SEARCH("]", CELL("filename", A1)))</f>
        <v>Income Statement SemiAnnually</v>
      </c>
      <c r="B1" s="69"/>
      <c r="C1" s="74"/>
      <c r="D1" s="71"/>
      <c r="F1" s="52" t="str">
        <f>HYPERLINK("#Contents!A1","Go to contents")</f>
        <v>Go to contents</v>
      </c>
      <c r="H1" s="47"/>
      <c r="J1" s="47"/>
    </row>
    <row r="2" spans="1:19" s="53" customFormat="1">
      <c r="A2" s="48"/>
      <c r="B2" s="48"/>
      <c r="C2" s="72"/>
      <c r="D2" s="73"/>
      <c r="E2" s="22" t="s">
        <v>324</v>
      </c>
      <c r="F2" s="51">
        <f ca="1" xml:space="preserve"> 'Model Checks and Alerts'!F11</f>
        <v>0</v>
      </c>
      <c r="G2" s="55"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4" customFormat="1">
      <c r="A3" s="48"/>
      <c r="B3" s="48"/>
      <c r="C3" s="72"/>
      <c r="D3" s="73"/>
      <c r="E3" s="39" t="s">
        <v>203</v>
      </c>
      <c r="F3" s="51"/>
      <c r="G3" s="55" t="s">
        <v>97</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8" customFormat="1">
      <c r="A4" s="48"/>
      <c r="B4" s="48"/>
      <c r="C4" s="72"/>
      <c r="D4" s="73"/>
      <c r="E4" s="22" t="s">
        <v>325</v>
      </c>
      <c r="F4"/>
      <c r="G4"/>
      <c r="H4" s="50"/>
      <c r="I4" s="50"/>
      <c r="J4" s="28">
        <f xml:space="preserve"> Time!J$108</f>
        <v>6</v>
      </c>
      <c r="K4" s="28">
        <f xml:space="preserve"> Time!K$108</f>
        <v>12</v>
      </c>
      <c r="L4" s="28">
        <f xml:space="preserve"> Time!L$108</f>
        <v>18</v>
      </c>
      <c r="M4" s="28">
        <f xml:space="preserve"> Time!M$108</f>
        <v>24</v>
      </c>
      <c r="N4" s="28">
        <f xml:space="preserve"> Time!N$108</f>
        <v>30</v>
      </c>
      <c r="O4" s="28">
        <f xml:space="preserve"> Time!O$108</f>
        <v>36</v>
      </c>
      <c r="P4" s="28">
        <f xml:space="preserve"> Time!P$108</f>
        <v>42</v>
      </c>
      <c r="Q4" s="28">
        <f xml:space="preserve"> Time!Q$108</f>
        <v>48</v>
      </c>
      <c r="R4" s="28">
        <f xml:space="preserve"> Time!R$108</f>
        <v>54</v>
      </c>
      <c r="S4" s="28">
        <f xml:space="preserve"> Time!S$108</f>
        <v>60</v>
      </c>
    </row>
    <row r="5" spans="1:19" s="34" customFormat="1">
      <c r="A5" s="48"/>
      <c r="B5" s="48"/>
      <c r="C5" s="72"/>
      <c r="D5" s="73"/>
      <c r="E5" s="22" t="s">
        <v>305</v>
      </c>
      <c r="F5" s="24" t="s">
        <v>248</v>
      </c>
      <c r="G5" s="24" t="s">
        <v>224</v>
      </c>
      <c r="H5" s="24" t="s">
        <v>202</v>
      </c>
      <c r="I5" s="50"/>
      <c r="J5" s="15"/>
      <c r="K5" s="15"/>
      <c r="L5" s="15"/>
      <c r="M5" s="15"/>
      <c r="N5" s="15"/>
      <c r="O5" s="15"/>
      <c r="P5" s="15"/>
    </row>
    <row r="6" spans="1:19" s="43" customFormat="1">
      <c r="A6" s="24"/>
      <c r="B6" s="24"/>
      <c r="C6" s="49"/>
      <c r="D6" s="70"/>
      <c r="F6" s="24"/>
      <c r="G6" s="24"/>
      <c r="H6" s="24"/>
    </row>
    <row r="8" spans="1:19">
      <c r="E8" s="16" t="str">
        <f xml:space="preserve"> Income!E$18</f>
        <v>Income</v>
      </c>
      <c r="F8" s="16">
        <f xml:space="preserve"> Income!F$18</f>
        <v>0</v>
      </c>
      <c r="G8" s="16" t="str">
        <f xml:space="preserve"> Income!G$18</f>
        <v>GBP</v>
      </c>
      <c r="H8" s="42">
        <f ca="1" xml:space="preserve"> Income!H$18</f>
        <v>36564748.008238308</v>
      </c>
      <c r="I8" s="16">
        <f xml:space="preserve"> Income!I$18</f>
        <v>0</v>
      </c>
      <c r="J8" s="9">
        <f ca="1" xml:space="preserve"> SUMIF( Time!$J341:$BQ341, Time!J$28, Income!$J18:$BQ18)</f>
        <v>0</v>
      </c>
      <c r="K8" s="9">
        <f ca="1" xml:space="preserve"> SUMIF( Time!$J341:$BQ341, Time!K$28, Income!$J18:$BQ18)</f>
        <v>289722.98107717151</v>
      </c>
      <c r="L8" s="9">
        <f ca="1" xml:space="preserve"> SUMIF( Time!$J341:$BQ341, Time!L$28, Income!$J18:$BQ18)</f>
        <v>653082.239996374</v>
      </c>
      <c r="M8" s="9">
        <f ca="1" xml:space="preserve"> SUMIF( Time!$J341:$BQ341, Time!M$28, Income!$J18:$BQ18)</f>
        <v>1080000</v>
      </c>
      <c r="N8" s="9">
        <f ca="1" xml:space="preserve"> SUMIF( Time!$J341:$BQ341, Time!N$28, Income!$J18:$BQ18)</f>
        <v>1675687.7006114123</v>
      </c>
      <c r="O8" s="9">
        <f ca="1" xml:space="preserve"> SUMIF( Time!$J341:$BQ341, Time!O$28, Income!$J18:$BQ18)</f>
        <v>2790055.911883099</v>
      </c>
      <c r="P8" s="9">
        <f ca="1" xml:space="preserve"> SUMIF( Time!$J341:$BQ341, Time!P$28, Income!$J18:$BQ18)</f>
        <v>3957924.5757328197</v>
      </c>
      <c r="Q8" s="9">
        <f ca="1" xml:space="preserve"> SUMIF( Time!$J341:$BQ341, Time!Q$28, Income!$J18:$BQ18)</f>
        <v>5826995.801460579</v>
      </c>
      <c r="R8" s="9">
        <f ca="1" xml:space="preserve"> SUMIF( Time!$J341:$BQ341, Time!R$28, Income!$J18:$BQ18)</f>
        <v>8393194.9337407108</v>
      </c>
      <c r="S8" s="9">
        <f ca="1" xml:space="preserve"> SUMIF( Time!$J341:$BQ341, Time!S$28, Income!$J18:$BQ18)</f>
        <v>11898083.863736147</v>
      </c>
    </row>
    <row r="9" spans="1:19">
      <c r="E9" s="16" t="str">
        <f xml:space="preserve"> Expense!E$27</f>
        <v xml:space="preserve">Variable Operating expense </v>
      </c>
      <c r="F9" s="16">
        <f xml:space="preserve"> Expense!F$27</f>
        <v>0</v>
      </c>
      <c r="G9" s="16" t="str">
        <f xml:space="preserve"> Expense!G$27</f>
        <v>GBP</v>
      </c>
      <c r="H9" s="42">
        <f ca="1" xml:space="preserve"> Expense!H$27</f>
        <v>-4525517.0946845738</v>
      </c>
      <c r="I9" s="16">
        <f xml:space="preserve"> Expense!I$27</f>
        <v>0</v>
      </c>
      <c r="J9" s="9">
        <f ca="1" xml:space="preserve"> SUMIF( Time!$J341:$BQ341, Time!J$28, Expense!$J27:$BQ27)</f>
        <v>-50217.391042233015</v>
      </c>
      <c r="K9" s="9">
        <f ca="1" xml:space="preserve"> SUMIF( Time!$J341:$BQ341, Time!K$28, Expense!$J27:$BQ27)</f>
        <v>-71081.296953415833</v>
      </c>
      <c r="L9" s="9">
        <f ca="1" xml:space="preserve"> SUMIF( Time!$J341:$BQ341, Time!L$28, Expense!$J27:$BQ27)</f>
        <v>-100495.02713386971</v>
      </c>
      <c r="M9" s="9">
        <f ca="1" xml:space="preserve"> SUMIF( Time!$J341:$BQ341, Time!M$28, Expense!$J27:$BQ27)</f>
        <v>-142244.31126023288</v>
      </c>
      <c r="N9" s="9">
        <f ca="1" xml:space="preserve"> SUMIF( Time!$J341:$BQ341, Time!N$28, Expense!$J27:$BQ27)</f>
        <v>-246163.78972413714</v>
      </c>
      <c r="O9" s="9">
        <f ca="1" xml:space="preserve"> SUMIF( Time!$J341:$BQ341, Time!O$28, Expense!$J27:$BQ27)</f>
        <v>-348411.76352725015</v>
      </c>
      <c r="P9" s="9">
        <f ca="1" xml:space="preserve"> SUMIF( Time!$J341:$BQ341, Time!P$28, Expense!$J27:$BQ27)</f>
        <v>-492332.53754772147</v>
      </c>
      <c r="Q9" s="9">
        <f ca="1" xml:space="preserve"> SUMIF( Time!$J341:$BQ341, Time!Q$28, Expense!$J27:$BQ27)</f>
        <v>-696839.43442546076</v>
      </c>
      <c r="R9" s="9">
        <f ca="1" xml:space="preserve"> SUMIF( Time!$J341:$BQ341, Time!R$28, Expense!$J27:$BQ27)</f>
        <v>-984586.21974116238</v>
      </c>
      <c r="S9" s="9">
        <f ca="1" xml:space="preserve"> SUMIF( Time!$J341:$BQ341, Time!S$28, Expense!$J27:$BQ27)</f>
        <v>-1393145.3233290901</v>
      </c>
    </row>
    <row r="10" spans="1:19">
      <c r="E10" s="16" t="str">
        <f xml:space="preserve"> Expense!E$20</f>
        <v xml:space="preserve">Fixed operating expense </v>
      </c>
      <c r="F10" s="16">
        <f xml:space="preserve"> Expense!F$20</f>
        <v>0</v>
      </c>
      <c r="G10" s="16" t="str">
        <f xml:space="preserve"> Expense!G$20</f>
        <v>GBP</v>
      </c>
      <c r="H10" s="42">
        <f xml:space="preserve"> Expense!H$20</f>
        <v>-3419071.4947073567</v>
      </c>
      <c r="I10" s="16">
        <f xml:space="preserve"> Expense!I$20</f>
        <v>0</v>
      </c>
      <c r="J10" s="9">
        <f xml:space="preserve"> SUMIF( Time!$J341:$BQ341, Time!J$28, Expense!$J20:$BQ20)</f>
        <v>-273282.42699726578</v>
      </c>
      <c r="K10" s="9">
        <f xml:space="preserve"> SUMIF( Time!$J341:$BQ341, Time!K$28, Expense!$J20:$BQ20)</f>
        <v>-286733.3148226901</v>
      </c>
      <c r="L10" s="9">
        <f xml:space="preserve"> SUMIF( Time!$J341:$BQ341, Time!L$28, Expense!$J20:$BQ20)</f>
        <v>-300625.50418456743</v>
      </c>
      <c r="M10" s="9">
        <f xml:space="preserve"> SUMIF( Time!$J341:$BQ341, Time!M$28, Expense!$J20:$BQ20)</f>
        <v>-315433.9845941707</v>
      </c>
      <c r="N10" s="9">
        <f xml:space="preserve"> SUMIF( Time!$J341:$BQ341, Time!N$28, Expense!$J20:$BQ20)</f>
        <v>-330696.82591176545</v>
      </c>
      <c r="O10" s="9">
        <f xml:space="preserve"> SUMIF( Time!$J341:$BQ341, Time!O$28, Expense!$J20:$BQ20)</f>
        <v>-346968.94789506798</v>
      </c>
      <c r="P10" s="9">
        <f xml:space="preserve"> SUMIF( Time!$J341:$BQ341, Time!P$28, Expense!$J20:$BQ20)</f>
        <v>-363759.61348271847</v>
      </c>
      <c r="Q10" s="9">
        <f xml:space="preserve"> SUMIF( Time!$J341:$BQ341, Time!Q$28, Expense!$J20:$BQ20)</f>
        <v>-381660.67901569919</v>
      </c>
      <c r="R10" s="9">
        <f xml:space="preserve"> SUMIF( Time!$J341:$BQ341, Time!R$28, Expense!$J20:$BQ20)</f>
        <v>-400131.02252667269</v>
      </c>
      <c r="S10" s="9">
        <f xml:space="preserve"> SUMIF( Time!$J341:$BQ341, Time!S$28, Expense!$J20:$BQ20)</f>
        <v>-419779.17527673941</v>
      </c>
    </row>
    <row r="11" spans="1:19">
      <c r="E11" s="12" t="s">
        <v>176</v>
      </c>
      <c r="F11" s="32"/>
      <c r="G11" s="12" t="s">
        <v>252</v>
      </c>
      <c r="H11" s="54">
        <f ca="1" xml:space="preserve"> SUM( J11:BQ11 )</f>
        <v>28620159.418846384</v>
      </c>
      <c r="I11" s="32"/>
      <c r="J11" s="12">
        <f ca="1" xml:space="preserve"> SUMIF( Time!$J341:$BQ341, Time!J$28, 'Income Statement'!$J11:$BQ11)</f>
        <v>-323499.81803949876</v>
      </c>
      <c r="K11" s="12">
        <f ca="1" xml:space="preserve"> SUMIF( Time!$J341:$BQ341, Time!K$28, 'Income Statement'!$J11:$BQ11)</f>
        <v>-68091.63069893443</v>
      </c>
      <c r="L11" s="12">
        <f ca="1" xml:space="preserve"> SUMIF( Time!$J341:$BQ341, Time!L$28, 'Income Statement'!$J11:$BQ11)</f>
        <v>251961.70867793693</v>
      </c>
      <c r="M11" s="12">
        <f ca="1" xml:space="preserve"> SUMIF( Time!$J341:$BQ341, Time!M$28, 'Income Statement'!$J11:$BQ11)</f>
        <v>622321.70414559636</v>
      </c>
      <c r="N11" s="12">
        <f ca="1" xml:space="preserve"> SUMIF( Time!$J341:$BQ341, Time!N$28, 'Income Statement'!$J11:$BQ11)</f>
        <v>1098827.0849755094</v>
      </c>
      <c r="O11" s="12">
        <f ca="1" xml:space="preserve"> SUMIF( Time!$J341:$BQ341, Time!O$28, 'Income Statement'!$J11:$BQ11)</f>
        <v>2094675.2004607809</v>
      </c>
      <c r="P11" s="12">
        <f ca="1" xml:space="preserve"> SUMIF( Time!$J341:$BQ341, Time!P$28, 'Income Statement'!$J11:$BQ11)</f>
        <v>3101832.4247023789</v>
      </c>
      <c r="Q11" s="12">
        <f ca="1" xml:space="preserve"> SUMIF( Time!$J341:$BQ341, Time!Q$28, 'Income Statement'!$J11:$BQ11)</f>
        <v>4748495.68801942</v>
      </c>
      <c r="R11" s="12">
        <f ca="1" xml:space="preserve"> SUMIF( Time!$J341:$BQ341, Time!R$28, 'Income Statement'!$J11:$BQ11)</f>
        <v>7008477.6914728759</v>
      </c>
      <c r="S11" s="12">
        <f ca="1" xml:space="preserve"> SUMIF( Time!$J341:$BQ341, Time!S$28, 'Income Statement'!$J11:$BQ11)</f>
        <v>10085159.365130318</v>
      </c>
    </row>
    <row r="13" spans="1:19">
      <c r="E13" s="16" t="str">
        <f xml:space="preserve"> Assets!E$12</f>
        <v xml:space="preserve">Depreciation this period </v>
      </c>
      <c r="F13" s="16">
        <f xml:space="preserve"> Assets!F$12</f>
        <v>0</v>
      </c>
      <c r="G13" s="16" t="str">
        <f xml:space="preserve"> Assets!G$12</f>
        <v>GBP</v>
      </c>
      <c r="H13" s="42">
        <f ca="1" xml:space="preserve"> Assets!H$12</f>
        <v>-3718654.3045475697</v>
      </c>
      <c r="I13" s="16">
        <f xml:space="preserve"> Assets!I$12</f>
        <v>0</v>
      </c>
      <c r="J13" s="9">
        <f ca="1" xml:space="preserve"> SUMIF( Time!$J341:$BQ341, Time!J$28, Assets!$J12:$BQ12)</f>
        <v>-36458.333333333336</v>
      </c>
      <c r="K13" s="9">
        <f ca="1" xml:space="preserve"> SUMIF( Time!$J341:$BQ341, Time!K$28, Assets!$J12:$BQ12)</f>
        <v>-80208.333333333328</v>
      </c>
      <c r="L13" s="9">
        <f ca="1" xml:space="preserve"> SUMIF( Time!$J341:$BQ341, Time!L$28, Assets!$J12:$BQ12)</f>
        <v>-131250</v>
      </c>
      <c r="M13" s="9">
        <f ca="1" xml:space="preserve"> SUMIF( Time!$J341:$BQ341, Time!M$28, Assets!$J12:$BQ12)</f>
        <v>-196875.00000000003</v>
      </c>
      <c r="N13" s="9">
        <f ca="1" xml:space="preserve"> SUMIF( Time!$J341:$BQ341, Time!N$28, Assets!$J12:$BQ12)</f>
        <v>-287105.05754584068</v>
      </c>
      <c r="O13" s="9">
        <f ca="1" xml:space="preserve"> SUMIF( Time!$J341:$BQ341, Time!O$28, Assets!$J12:$BQ12)</f>
        <v>-346440.41176950315</v>
      </c>
      <c r="P13" s="9">
        <f ca="1" xml:space="preserve"> SUMIF( Time!$J341:$BQ341, Time!P$28, Assets!$J12:$BQ12)</f>
        <v>-456741.44059472263</v>
      </c>
      <c r="Q13" s="9">
        <f ca="1" xml:space="preserve"> SUMIF( Time!$J341:$BQ341, Time!Q$28, Assets!$J12:$BQ12)</f>
        <v>-597244.28658723214</v>
      </c>
      <c r="R13" s="9">
        <f ca="1" xml:space="preserve"> SUMIF( Time!$J341:$BQ341, Time!R$28, Assets!$J12:$BQ12)</f>
        <v>-748813.88930134638</v>
      </c>
      <c r="S13" s="9">
        <f ca="1" xml:space="preserve"> SUMIF( Time!$J341:$BQ341, Time!S$28, Assets!$J12:$BQ12)</f>
        <v>-837517.55208225723</v>
      </c>
    </row>
    <row r="14" spans="1:19">
      <c r="E14" s="12" t="s">
        <v>63</v>
      </c>
      <c r="F14" s="32"/>
      <c r="G14" s="12" t="s">
        <v>252</v>
      </c>
      <c r="H14" s="54">
        <f ca="1" xml:space="preserve"> SUM( J14:BQ14 )</f>
        <v>24901505.114298813</v>
      </c>
      <c r="I14" s="32"/>
      <c r="J14" s="12">
        <f ca="1" xml:space="preserve"> SUMIF( Time!$J341:$BQ341, Time!J$28, 'Income Statement'!$J14:$BQ14)</f>
        <v>-359958.15137283213</v>
      </c>
      <c r="K14" s="12">
        <f ca="1" xml:space="preserve"> SUMIF( Time!$J341:$BQ341, Time!K$28, 'Income Statement'!$J14:$BQ14)</f>
        <v>-148299.96403226777</v>
      </c>
      <c r="L14" s="12">
        <f ca="1" xml:space="preserve"> SUMIF( Time!$J341:$BQ341, Time!L$28, 'Income Statement'!$J14:$BQ14)</f>
        <v>120711.70867793691</v>
      </c>
      <c r="M14" s="12">
        <f ca="1" xml:space="preserve"> SUMIF( Time!$J341:$BQ341, Time!M$28, 'Income Statement'!$J14:$BQ14)</f>
        <v>425446.70414559636</v>
      </c>
      <c r="N14" s="12">
        <f ca="1" xml:space="preserve"> SUMIF( Time!$J341:$BQ341, Time!N$28, 'Income Statement'!$J14:$BQ14)</f>
        <v>811722.02742966893</v>
      </c>
      <c r="O14" s="12">
        <f ca="1" xml:space="preserve"> SUMIF( Time!$J341:$BQ341, Time!O$28, 'Income Statement'!$J14:$BQ14)</f>
        <v>1748234.7886912772</v>
      </c>
      <c r="P14" s="12">
        <f ca="1" xml:space="preserve"> SUMIF( Time!$J341:$BQ341, Time!P$28, 'Income Statement'!$J14:$BQ14)</f>
        <v>2645090.9841076564</v>
      </c>
      <c r="Q14" s="12">
        <f ca="1" xml:space="preserve"> SUMIF( Time!$J341:$BQ341, Time!Q$28, 'Income Statement'!$J14:$BQ14)</f>
        <v>4151251.4014321882</v>
      </c>
      <c r="R14" s="12">
        <f ca="1" xml:space="preserve"> SUMIF( Time!$J341:$BQ341, Time!R$28, 'Income Statement'!$J14:$BQ14)</f>
        <v>6259663.8021715293</v>
      </c>
      <c r="S14" s="12">
        <f ca="1" xml:space="preserve"> SUMIF( Time!$J341:$BQ341, Time!S$28, 'Income Statement'!$J14:$BQ14)</f>
        <v>9247641.813048061</v>
      </c>
    </row>
    <row r="16" spans="1:19">
      <c r="E16" s="16" t="str">
        <f xml:space="preserve"> 'Supply Chain finance'!E$42</f>
        <v xml:space="preserve">Supply Chain Finance interest </v>
      </c>
      <c r="F16" s="16">
        <f xml:space="preserve"> 'Supply Chain finance'!F$42</f>
        <v>0</v>
      </c>
      <c r="G16" s="16" t="str">
        <f xml:space="preserve"> 'Supply Chain finance'!G$42</f>
        <v>GBP</v>
      </c>
      <c r="H16" s="42">
        <f ca="1" xml:space="preserve"> 'Supply Chain finance'!H$42</f>
        <v>0</v>
      </c>
      <c r="I16" s="16">
        <f xml:space="preserve"> 'Supply Chain finance'!I$42</f>
        <v>0</v>
      </c>
      <c r="J16" s="9">
        <f ca="1" xml:space="preserve"> SUMIF( Time!$J341:$BQ341, Time!J$28, 'Supply Chain finance'!$J42:$BQ42)</f>
        <v>0</v>
      </c>
      <c r="K16" s="9">
        <f ca="1" xml:space="preserve"> SUMIF( Time!$J341:$BQ341, Time!K$28, 'Supply Chain finance'!$J42:$BQ42)</f>
        <v>0</v>
      </c>
      <c r="L16" s="9">
        <f ca="1" xml:space="preserve"> SUMIF( Time!$J341:$BQ341, Time!L$28, 'Supply Chain finance'!$J42:$BQ42)</f>
        <v>0</v>
      </c>
      <c r="M16" s="9">
        <f ca="1" xml:space="preserve"> SUMIF( Time!$J341:$BQ341, Time!M$28, 'Supply Chain finance'!$J42:$BQ42)</f>
        <v>0</v>
      </c>
      <c r="N16" s="9">
        <f ca="1" xml:space="preserve"> SUMIF( Time!$J341:$BQ341, Time!N$28, 'Supply Chain finance'!$J42:$BQ42)</f>
        <v>0</v>
      </c>
      <c r="O16" s="9">
        <f ca="1" xml:space="preserve"> SUMIF( Time!$J341:$BQ341, Time!O$28, 'Supply Chain finance'!$J42:$BQ42)</f>
        <v>0</v>
      </c>
      <c r="P16" s="9">
        <f ca="1" xml:space="preserve"> SUMIF( Time!$J341:$BQ341, Time!P$28, 'Supply Chain finance'!$J42:$BQ42)</f>
        <v>0</v>
      </c>
      <c r="Q16" s="9">
        <f ca="1" xml:space="preserve"> SUMIF( Time!$J341:$BQ341, Time!Q$28, 'Supply Chain finance'!$J42:$BQ42)</f>
        <v>0</v>
      </c>
      <c r="R16" s="9">
        <f ca="1" xml:space="preserve"> SUMIF( Time!$J341:$BQ341, Time!R$28, 'Supply Chain finance'!$J42:$BQ42)</f>
        <v>0</v>
      </c>
      <c r="S16" s="9">
        <f ca="1" xml:space="preserve"> SUMIF( Time!$J341:$BQ341, Time!S$28, 'Supply Chain finance'!$J42:$BQ42)</f>
        <v>0</v>
      </c>
    </row>
    <row r="17" spans="5:19">
      <c r="E17" s="16" t="str">
        <f xml:space="preserve"> 'Invoice finance'!E$41</f>
        <v xml:space="preserve">Invoice finance interest </v>
      </c>
      <c r="F17" s="16">
        <f xml:space="preserve"> 'Invoice finance'!F$41</f>
        <v>0</v>
      </c>
      <c r="G17" s="16" t="str">
        <f xml:space="preserve"> 'Invoice finance'!G$41</f>
        <v>GBP</v>
      </c>
      <c r="H17" s="42">
        <f ca="1" xml:space="preserve"> 'Invoice finance'!H$41</f>
        <v>0</v>
      </c>
      <c r="I17" s="16">
        <f xml:space="preserve"> 'Invoice finance'!I$41</f>
        <v>0</v>
      </c>
      <c r="J17" s="9">
        <f ca="1" xml:space="preserve"> SUMIF( Time!$J341:$BQ341, Time!J$28, 'Invoice finance'!$J41:$BQ41)</f>
        <v>0</v>
      </c>
      <c r="K17" s="9">
        <f ca="1" xml:space="preserve"> SUMIF( Time!$J341:$BQ341, Time!K$28, 'Invoice finance'!$J41:$BQ41)</f>
        <v>0</v>
      </c>
      <c r="L17" s="9">
        <f ca="1" xml:space="preserve"> SUMIF( Time!$J341:$BQ341, Time!L$28, 'Invoice finance'!$J41:$BQ41)</f>
        <v>0</v>
      </c>
      <c r="M17" s="9">
        <f ca="1" xml:space="preserve"> SUMIF( Time!$J341:$BQ341, Time!M$28, 'Invoice finance'!$J41:$BQ41)</f>
        <v>0</v>
      </c>
      <c r="N17" s="9">
        <f ca="1" xml:space="preserve"> SUMIF( Time!$J341:$BQ341, Time!N$28, 'Invoice finance'!$J41:$BQ41)</f>
        <v>0</v>
      </c>
      <c r="O17" s="9">
        <f ca="1" xml:space="preserve"> SUMIF( Time!$J341:$BQ341, Time!O$28, 'Invoice finance'!$J41:$BQ41)</f>
        <v>0</v>
      </c>
      <c r="P17" s="9">
        <f ca="1" xml:space="preserve"> SUMIF( Time!$J341:$BQ341, Time!P$28, 'Invoice finance'!$J41:$BQ41)</f>
        <v>0</v>
      </c>
      <c r="Q17" s="9">
        <f ca="1" xml:space="preserve"> SUMIF( Time!$J341:$BQ341, Time!Q$28, 'Invoice finance'!$J41:$BQ41)</f>
        <v>0</v>
      </c>
      <c r="R17" s="9">
        <f ca="1" xml:space="preserve"> SUMIF( Time!$J341:$BQ341, Time!R$28, 'Invoice finance'!$J41:$BQ41)</f>
        <v>0</v>
      </c>
      <c r="S17" s="9">
        <f ca="1" xml:space="preserve"> SUMIF( Time!$J341:$BQ341, Time!S$28, 'Invoice finance'!$J41:$BQ41)</f>
        <v>0</v>
      </c>
    </row>
    <row r="18" spans="5:19">
      <c r="E18" s="16" t="str">
        <f xml:space="preserve"> 'Asset Finance'!E$42</f>
        <v xml:space="preserve">Asset Finance interest </v>
      </c>
      <c r="F18" s="16">
        <f xml:space="preserve"> 'Asset Finance'!F$42</f>
        <v>0</v>
      </c>
      <c r="G18" s="16" t="str">
        <f xml:space="preserve"> 'Asset Finance'!G$42</f>
        <v>GBP</v>
      </c>
      <c r="H18" s="42">
        <f ca="1" xml:space="preserve"> 'Asset Finance'!H$42</f>
        <v>-450644.387972205</v>
      </c>
      <c r="I18" s="16">
        <f xml:space="preserve"> 'Asset Finance'!I$42</f>
        <v>0</v>
      </c>
      <c r="J18" s="9">
        <f ca="1" xml:space="preserve"> SUMIF( Time!$J341:$BQ341, Time!J$28, 'Asset Finance'!$J42:$BQ42)</f>
        <v>-5367.0583968299907</v>
      </c>
      <c r="K18" s="9">
        <f ca="1" xml:space="preserve"> SUMIF( Time!$J341:$BQ341, Time!K$28, 'Asset Finance'!$J42:$BQ42)</f>
        <v>-10467.632367429185</v>
      </c>
      <c r="L18" s="9">
        <f ca="1" xml:space="preserve"> SUMIF( Time!$J341:$BQ341, Time!L$28, 'Asset Finance'!$J42:$BQ42)</f>
        <v>-15585.404443087033</v>
      </c>
      <c r="M18" s="9">
        <f ca="1" xml:space="preserve"> SUMIF( Time!$J341:$BQ341, Time!M$28, 'Asset Finance'!$J42:$BQ42)</f>
        <v>-21515.730211113718</v>
      </c>
      <c r="N18" s="9">
        <f ca="1" xml:space="preserve"> SUMIF( Time!$J341:$BQ341, Time!N$28, 'Asset Finance'!$J42:$BQ42)</f>
        <v>-31480.618958473871</v>
      </c>
      <c r="O18" s="9">
        <f ca="1" xml:space="preserve"> SUMIF( Time!$J341:$BQ341, Time!O$28, 'Asset Finance'!$J42:$BQ42)</f>
        <v>-38124.377664259577</v>
      </c>
      <c r="P18" s="9">
        <f ca="1" xml:space="preserve"> SUMIF( Time!$J341:$BQ341, Time!P$28, 'Asset Finance'!$J42:$BQ42)</f>
        <v>-52803.169868481855</v>
      </c>
      <c r="Q18" s="9">
        <f ca="1" xml:space="preserve"> SUMIF( Time!$J341:$BQ341, Time!Q$28, 'Asset Finance'!$J42:$BQ42)</f>
        <v>-71693.488904634985</v>
      </c>
      <c r="R18" s="9">
        <f ca="1" xml:space="preserve"> SUMIF( Time!$J341:$BQ341, Time!R$28, 'Asset Finance'!$J42:$BQ42)</f>
        <v>-93397.184884809307</v>
      </c>
      <c r="S18" s="9">
        <f ca="1" xml:space="preserve"> SUMIF( Time!$J341:$BQ341, Time!S$28, 'Asset Finance'!$J42:$BQ42)</f>
        <v>-110209.72227308543</v>
      </c>
    </row>
    <row r="19" spans="5:19">
      <c r="E19" s="12" t="s">
        <v>177</v>
      </c>
      <c r="F19" s="32"/>
      <c r="G19" s="12" t="s">
        <v>252</v>
      </c>
      <c r="H19" s="54">
        <f ca="1" xml:space="preserve"> SUM( J19:BQ19 )</f>
        <v>24450860.726326607</v>
      </c>
      <c r="I19" s="32"/>
      <c r="J19" s="12">
        <f ca="1" xml:space="preserve"> SUMIF( Time!$J341:$BQ341, Time!J$28, 'Income Statement'!$J19:$BQ19)</f>
        <v>-365325.20976966212</v>
      </c>
      <c r="K19" s="12">
        <f ca="1" xml:space="preserve"> SUMIF( Time!$J341:$BQ341, Time!K$28, 'Income Statement'!$J19:$BQ19)</f>
        <v>-158767.59639969692</v>
      </c>
      <c r="L19" s="12">
        <f ca="1" xml:space="preserve"> SUMIF( Time!$J341:$BQ341, Time!L$28, 'Income Statement'!$J19:$BQ19)</f>
        <v>105126.3042348499</v>
      </c>
      <c r="M19" s="12">
        <f ca="1" xml:space="preserve"> SUMIF( Time!$J341:$BQ341, Time!M$28, 'Income Statement'!$J19:$BQ19)</f>
        <v>403930.97393448267</v>
      </c>
      <c r="N19" s="12">
        <f ca="1" xml:space="preserve"> SUMIF( Time!$J341:$BQ341, Time!N$28, 'Income Statement'!$J19:$BQ19)</f>
        <v>780241.40847119491</v>
      </c>
      <c r="O19" s="12">
        <f ca="1" xml:space="preserve"> SUMIF( Time!$J341:$BQ341, Time!O$28, 'Income Statement'!$J19:$BQ19)</f>
        <v>1710110.4110270177</v>
      </c>
      <c r="P19" s="12">
        <f ca="1" xml:space="preserve"> SUMIF( Time!$J341:$BQ341, Time!P$28, 'Income Statement'!$J19:$BQ19)</f>
        <v>2592287.8142391746</v>
      </c>
      <c r="Q19" s="12">
        <f ca="1" xml:space="preserve"> SUMIF( Time!$J341:$BQ341, Time!Q$28, 'Income Statement'!$J19:$BQ19)</f>
        <v>4079557.9125275528</v>
      </c>
      <c r="R19" s="12">
        <f ca="1" xml:space="preserve"> SUMIF( Time!$J341:$BQ341, Time!R$28, 'Income Statement'!$J19:$BQ19)</f>
        <v>6166266.6172867194</v>
      </c>
      <c r="S19" s="12">
        <f ca="1" xml:space="preserve"> SUMIF( Time!$J341:$BQ341, Time!S$28, 'Income Statement'!$J19:$BQ19)</f>
        <v>9137432.0907749757</v>
      </c>
    </row>
    <row r="21" spans="5:19">
      <c r="E21" s="16" t="str">
        <f xml:space="preserve"> 'Corporation tax'!E$48</f>
        <v xml:space="preserve">Corporation tax </v>
      </c>
      <c r="F21" s="16">
        <f xml:space="preserve"> 'Corporation tax'!F$48</f>
        <v>0</v>
      </c>
      <c r="G21" s="16" t="str">
        <f xml:space="preserve"> 'Corporation tax'!G$48</f>
        <v>GBP</v>
      </c>
      <c r="H21" s="42">
        <f ca="1" xml:space="preserve"> 'Corporation tax'!H$48</f>
        <v>-5734471.8837692766</v>
      </c>
      <c r="I21" s="16">
        <f xml:space="preserve"> 'Corporation tax'!I$48</f>
        <v>0</v>
      </c>
      <c r="J21" s="9">
        <f ca="1" xml:space="preserve"> SUMIF( Time!$J341:$BQ341, Time!J$28, 'Corporation tax'!$J48:$BQ48)</f>
        <v>0</v>
      </c>
      <c r="K21" s="9">
        <f ca="1" xml:space="preserve"> SUMIF( Time!$J341:$BQ341, Time!K$28, 'Corporation tax'!$J48:$BQ48)</f>
        <v>0</v>
      </c>
      <c r="L21" s="9">
        <f ca="1" xml:space="preserve"> SUMIF( Time!$J341:$BQ341, Time!L$28, 'Corporation tax'!$J48:$BQ48)</f>
        <v>0</v>
      </c>
      <c r="M21" s="9">
        <f ca="1" xml:space="preserve"> SUMIF( Time!$J341:$BQ341, Time!M$28, 'Corporation tax'!$J48:$BQ48)</f>
        <v>-106978.39281702002</v>
      </c>
      <c r="N21" s="9">
        <f ca="1" xml:space="preserve"> SUMIF( Time!$J341:$BQ341, Time!N$28, 'Corporation tax'!$J48:$BQ48)</f>
        <v>-219765.41699510193</v>
      </c>
      <c r="O21" s="9">
        <f ca="1" xml:space="preserve"> SUMIF( Time!$J341:$BQ341, Time!O$28, 'Corporation tax'!$J48:$BQ48)</f>
        <v>-418935.04009215609</v>
      </c>
      <c r="P21" s="9">
        <f ca="1" xml:space="preserve"> SUMIF( Time!$J341:$BQ341, Time!P$28, 'Corporation tax'!$J48:$BQ48)</f>
        <v>-620366.48494047578</v>
      </c>
      <c r="Q21" s="9">
        <f ca="1" xml:space="preserve"> SUMIF( Time!$J341:$BQ341, Time!Q$28, 'Corporation tax'!$J48:$BQ48)</f>
        <v>-949699.1376038841</v>
      </c>
      <c r="R21" s="9">
        <f ca="1" xml:space="preserve"> SUMIF( Time!$J341:$BQ341, Time!R$28, 'Corporation tax'!$J48:$BQ48)</f>
        <v>-1401695.5382945752</v>
      </c>
      <c r="S21" s="9">
        <f ca="1" xml:space="preserve"> SUMIF( Time!$J341:$BQ341, Time!S$28, 'Corporation tax'!$J48:$BQ48)</f>
        <v>-2017031.8730260637</v>
      </c>
    </row>
    <row r="22" spans="5:19">
      <c r="E22" s="12" t="s">
        <v>38</v>
      </c>
      <c r="F22" s="32"/>
      <c r="G22" s="12" t="s">
        <v>252</v>
      </c>
      <c r="H22" s="54">
        <f ca="1" xml:space="preserve"> SUM( J22:BQ22 )</f>
        <v>18716388.842557333</v>
      </c>
      <c r="I22" s="32"/>
      <c r="J22" s="12">
        <f ca="1" xml:space="preserve"> SUMIF( Time!$J341:$BQ341, Time!J$28, 'Income Statement'!$J22:$BQ22)</f>
        <v>-365325.20976966212</v>
      </c>
      <c r="K22" s="12">
        <f ca="1" xml:space="preserve"> SUMIF( Time!$J341:$BQ341, Time!K$28, 'Income Statement'!$J22:$BQ22)</f>
        <v>-158767.59639969692</v>
      </c>
      <c r="L22" s="12">
        <f ca="1" xml:space="preserve"> SUMIF( Time!$J341:$BQ341, Time!L$28, 'Income Statement'!$J22:$BQ22)</f>
        <v>105126.3042348499</v>
      </c>
      <c r="M22" s="12">
        <f ca="1" xml:space="preserve"> SUMIF( Time!$J341:$BQ341, Time!M$28, 'Income Statement'!$J22:$BQ22)</f>
        <v>296952.5811174626</v>
      </c>
      <c r="N22" s="12">
        <f ca="1" xml:space="preserve"> SUMIF( Time!$J341:$BQ341, Time!N$28, 'Income Statement'!$J22:$BQ22)</f>
        <v>560475.99147609307</v>
      </c>
      <c r="O22" s="12">
        <f ca="1" xml:space="preserve"> SUMIF( Time!$J341:$BQ341, Time!O$28, 'Income Statement'!$J22:$BQ22)</f>
        <v>1291175.3709348617</v>
      </c>
      <c r="P22" s="12">
        <f ca="1" xml:space="preserve"> SUMIF( Time!$J341:$BQ341, Time!P$28, 'Income Statement'!$J22:$BQ22)</f>
        <v>1971921.3292986988</v>
      </c>
      <c r="Q22" s="12">
        <f ca="1" xml:space="preserve"> SUMIF( Time!$J341:$BQ341, Time!Q$28, 'Income Statement'!$J22:$BQ22)</f>
        <v>3129858.7749236687</v>
      </c>
      <c r="R22" s="12">
        <f ca="1" xml:space="preserve"> SUMIF( Time!$J341:$BQ341, Time!R$28, 'Income Statement'!$J22:$BQ22)</f>
        <v>4764571.0789921442</v>
      </c>
      <c r="S22" s="12">
        <f ca="1" xml:space="preserve"> SUMIF( Time!$J341:$BQ341, Time!S$28, 'Income Statement'!$J22:$BQ22)</f>
        <v>7120400.2177489121</v>
      </c>
    </row>
  </sheetData>
  <conditionalFormatting sqref="F2:F3">
    <cfRule type="cellIs" dxfId="98" priority="1" stopIfTrue="1" operator="notEqual">
      <formula>0</formula>
    </cfRule>
    <cfRule type="cellIs" dxfId="97" priority="2" stopIfTrue="1" operator="equal">
      <formula>""</formula>
    </cfRule>
  </conditionalFormatting>
  <conditionalFormatting sqref="J3:S3">
    <cfRule type="cellIs" dxfId="96" priority="3" operator="equal">
      <formula>"PPA ext."</formula>
    </cfRule>
    <cfRule type="cellIs" dxfId="95" priority="4" operator="equal">
      <formula>"Delay"</formula>
    </cfRule>
    <cfRule type="cellIs" dxfId="94" priority="5" operator="equal">
      <formula>"Fin Close"</formula>
    </cfRule>
    <cfRule type="cellIs" dxfId="93" priority="6" stopIfTrue="1" operator="equal">
      <formula>"Construction"</formula>
    </cfRule>
    <cfRule type="cellIs" dxfId="9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08984375"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7.6328125" style="43" bestFit="1" customWidth="1"/>
    <col min="9" max="9" width="3.453125" customWidth="1"/>
    <col min="10" max="10" width="12.36328125" bestFit="1" customWidth="1"/>
    <col min="11" max="11" width="12.08984375" bestFit="1" customWidth="1"/>
    <col min="12" max="12" width="11.1796875" bestFit="1" customWidth="1"/>
    <col min="13" max="13" width="12.36328125" bestFit="1" customWidth="1"/>
    <col min="14" max="14" width="12.1796875" bestFit="1" customWidth="1"/>
    <col min="15" max="15" width="11.81640625" bestFit="1" customWidth="1"/>
    <col min="16" max="16" width="12.36328125" bestFit="1" customWidth="1"/>
    <col min="17" max="17" width="12.1796875" bestFit="1" customWidth="1"/>
    <col min="18" max="18" width="11.90625" bestFit="1" customWidth="1"/>
    <col min="19" max="19" width="12.08984375" bestFit="1" customWidth="1"/>
    <col min="20" max="20" width="12" bestFit="1" customWidth="1"/>
    <col min="21" max="21" width="11.81640625" bestFit="1" customWidth="1"/>
    <col min="22" max="22" width="12.36328125" bestFit="1" customWidth="1"/>
    <col min="23" max="23" width="12.08984375" bestFit="1" customWidth="1"/>
    <col min="24" max="24" width="11.81640625" bestFit="1" customWidth="1"/>
    <col min="25" max="25" width="12.36328125" bestFit="1" customWidth="1"/>
    <col min="26" max="26" width="12.1796875" bestFit="1" customWidth="1"/>
    <col min="27" max="27" width="11.81640625" bestFit="1" customWidth="1"/>
    <col min="28" max="28" width="12.36328125" bestFit="1" customWidth="1"/>
    <col min="29" max="29" width="12.1796875" bestFit="1" customWidth="1"/>
    <col min="30" max="30" width="11.90625" bestFit="1" customWidth="1"/>
    <col min="31" max="31" width="12.08984375" bestFit="1" customWidth="1"/>
    <col min="32" max="32" width="12" bestFit="1" customWidth="1"/>
    <col min="33" max="33" width="11.81640625" bestFit="1" customWidth="1"/>
    <col min="34" max="34" width="12.36328125" bestFit="1" customWidth="1"/>
    <col min="35" max="35" width="12.08984375" bestFit="1" customWidth="1"/>
    <col min="36" max="36" width="11.81640625" bestFit="1" customWidth="1"/>
    <col min="37" max="37" width="12.36328125" bestFit="1" customWidth="1"/>
    <col min="38" max="38" width="12.1796875" bestFit="1" customWidth="1"/>
    <col min="39" max="39" width="11.81640625" bestFit="1" customWidth="1"/>
    <col min="40" max="40" width="12.36328125" bestFit="1" customWidth="1"/>
    <col min="41" max="41" width="12.1796875" bestFit="1" customWidth="1"/>
    <col min="42" max="42" width="11.90625" bestFit="1" customWidth="1"/>
    <col min="43" max="43" width="12.08984375" bestFit="1" customWidth="1"/>
    <col min="44" max="44" width="12" bestFit="1" customWidth="1"/>
    <col min="45" max="45" width="11.81640625" bestFit="1" customWidth="1"/>
    <col min="46" max="46" width="12.36328125" bestFit="1" customWidth="1"/>
    <col min="47" max="47" width="12.08984375" bestFit="1" customWidth="1"/>
    <col min="48" max="69" width="13.1796875" bestFit="1" customWidth="1"/>
  </cols>
  <sheetData>
    <row r="1" spans="1:69" s="75" customFormat="1" ht="25.15">
      <c r="A1" s="45" t="str">
        <f ca="1" xml:space="preserve"> RIGHT(CELL("filename", A1), LEN(CELL("filename", A1)) - SEARCH("]", CELL("filename", A1)))</f>
        <v>Balance Sheet</v>
      </c>
      <c r="B1" s="69"/>
      <c r="C1" s="74"/>
      <c r="D1" s="71"/>
      <c r="F1" s="52" t="str">
        <f>HYPERLINK("#Contents!A1","Go to contents")</f>
        <v>Go to contents</v>
      </c>
      <c r="H1" s="47"/>
      <c r="J1" s="47"/>
    </row>
    <row r="2" spans="1:69" s="53" customFormat="1">
      <c r="A2" s="48"/>
      <c r="B2" s="48"/>
      <c r="C2" s="72"/>
      <c r="D2" s="73"/>
      <c r="E2" s="22" t="s">
        <v>324</v>
      </c>
      <c r="F2" s="51">
        <f ca="1" xml:space="preserve"> 'Model Checks and Alerts'!F11</f>
        <v>0</v>
      </c>
      <c r="G2" s="55"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48"/>
      <c r="B3" s="48"/>
      <c r="C3" s="72"/>
      <c r="D3" s="73"/>
      <c r="E3" s="39" t="s">
        <v>203</v>
      </c>
      <c r="F3" s="51"/>
      <c r="G3" s="55" t="s">
        <v>97</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48"/>
      <c r="B4" s="48"/>
      <c r="C4" s="72"/>
      <c r="D4" s="73"/>
      <c r="E4" s="22" t="s">
        <v>325</v>
      </c>
      <c r="F4"/>
      <c r="G4"/>
      <c r="H4" s="50"/>
      <c r="I4" s="50"/>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48"/>
      <c r="B5" s="48"/>
      <c r="C5" s="72"/>
      <c r="D5" s="73"/>
      <c r="E5" s="22" t="s">
        <v>305</v>
      </c>
      <c r="F5" s="24" t="s">
        <v>248</v>
      </c>
      <c r="G5" s="24" t="s">
        <v>224</v>
      </c>
      <c r="H5" s="24" t="s">
        <v>202</v>
      </c>
      <c r="I5" s="50"/>
      <c r="J5" s="15"/>
      <c r="K5" s="15"/>
      <c r="L5" s="15"/>
      <c r="M5" s="15"/>
      <c r="N5" s="15"/>
      <c r="O5" s="15"/>
      <c r="P5" s="15"/>
    </row>
    <row r="6" spans="1:69" s="43" customFormat="1">
      <c r="A6" s="24"/>
      <c r="B6" s="24"/>
      <c r="C6" s="49"/>
      <c r="D6" s="70"/>
      <c r="F6" s="24"/>
      <c r="G6" s="24"/>
      <c r="H6" s="24"/>
    </row>
    <row r="8" spans="1:69">
      <c r="E8" s="16" t="str">
        <f xml:space="preserve"> Assets!E$21</f>
        <v>Inventory</v>
      </c>
      <c r="F8" s="16">
        <f xml:space="preserve"> Assets!F$21</f>
        <v>0</v>
      </c>
      <c r="G8" s="16" t="str">
        <f xml:space="preserve"> Assets!G$21</f>
        <v>GBP</v>
      </c>
      <c r="H8" s="42">
        <f xml:space="preserve"> Assets!H$21</f>
        <v>0</v>
      </c>
      <c r="I8" s="16">
        <f xml:space="preserve"> Assets!I$21</f>
        <v>0</v>
      </c>
      <c r="J8" s="9">
        <f ca="1">Assets!J$21</f>
        <v>175000</v>
      </c>
      <c r="K8" s="9">
        <f ca="1">Assets!K$21</f>
        <v>175000</v>
      </c>
      <c r="L8" s="9">
        <f ca="1">Assets!L$21</f>
        <v>175000</v>
      </c>
      <c r="M8" s="9">
        <f ca="1">Assets!M$21</f>
        <v>175000</v>
      </c>
      <c r="N8" s="9">
        <f ca="1">Assets!N$21</f>
        <v>175000</v>
      </c>
      <c r="O8" s="9">
        <f ca="1">Assets!O$21</f>
        <v>175000</v>
      </c>
      <c r="P8" s="9">
        <f ca="1">Assets!P$21</f>
        <v>350000</v>
      </c>
      <c r="Q8" s="9">
        <f ca="1">Assets!Q$21</f>
        <v>350000</v>
      </c>
      <c r="R8" s="9">
        <f ca="1">Assets!R$21</f>
        <v>350000</v>
      </c>
      <c r="S8" s="9">
        <f ca="1">Assets!S$21</f>
        <v>350000</v>
      </c>
      <c r="T8" s="9">
        <f ca="1">Assets!T$21</f>
        <v>350000</v>
      </c>
      <c r="U8" s="9">
        <f ca="1">Assets!U$21</f>
        <v>350000</v>
      </c>
      <c r="V8" s="9">
        <f ca="1">Assets!V$21</f>
        <v>525000</v>
      </c>
      <c r="W8" s="9">
        <f ca="1">Assets!W$21</f>
        <v>525000</v>
      </c>
      <c r="X8" s="9">
        <f ca="1">Assets!X$21</f>
        <v>525000</v>
      </c>
      <c r="Y8" s="9">
        <f ca="1">Assets!Y$21</f>
        <v>525000</v>
      </c>
      <c r="Z8" s="9">
        <f ca="1">Assets!Z$21</f>
        <v>700000</v>
      </c>
      <c r="AA8" s="9">
        <f ca="1">Assets!AA$21</f>
        <v>700000</v>
      </c>
      <c r="AB8" s="9">
        <f ca="1">Assets!AB$21</f>
        <v>700000</v>
      </c>
      <c r="AC8" s="9">
        <f ca="1">Assets!AC$21</f>
        <v>700000</v>
      </c>
      <c r="AD8" s="9">
        <f ca="1">Assets!AD$21</f>
        <v>875000</v>
      </c>
      <c r="AE8" s="9">
        <f ca="1">Assets!AE$21</f>
        <v>875000</v>
      </c>
      <c r="AF8" s="9">
        <f ca="1">Assets!AF$21</f>
        <v>875000</v>
      </c>
      <c r="AG8" s="9">
        <f ca="1">Assets!AG$21</f>
        <v>1050000</v>
      </c>
      <c r="AH8" s="9">
        <f ca="1">Assets!AH$21</f>
        <v>1032500</v>
      </c>
      <c r="AI8" s="9">
        <f ca="1">Assets!AI$21</f>
        <v>1188938.8457532576</v>
      </c>
      <c r="AJ8" s="9">
        <f ca="1">Assets!AJ$21</f>
        <v>1169289.5417779363</v>
      </c>
      <c r="AK8" s="9">
        <f ca="1">Assets!AK$21</f>
        <v>1148448.7553821038</v>
      </c>
      <c r="AL8" s="9">
        <f ca="1">Assets!AL$21</f>
        <v>1301344.2381868779</v>
      </c>
      <c r="AM8" s="9">
        <f ca="1">Assets!AM$21</f>
        <v>1277943.8412167949</v>
      </c>
      <c r="AN8" s="9">
        <f ca="1">Assets!AN$21</f>
        <v>1253124.5053541255</v>
      </c>
      <c r="AO8" s="9">
        <f ca="1">Assets!AO$21</f>
        <v>1401850.133170791</v>
      </c>
      <c r="AP8" s="9">
        <f ca="1">Assets!AP$21</f>
        <v>1373982.551751866</v>
      </c>
      <c r="AQ8" s="9">
        <f ca="1">Assets!AQ$21</f>
        <v>1519425.1530547051</v>
      </c>
      <c r="AR8" s="9">
        <f ca="1">Assets!AR$21</f>
        <v>1488243.6979197932</v>
      </c>
      <c r="AS8" s="9">
        <f ca="1">Assets!AS$21</f>
        <v>1630176.8000105759</v>
      </c>
      <c r="AT8" s="9">
        <f ca="1">Assets!AT$21</f>
        <v>1770176.8000105759</v>
      </c>
      <c r="AU8" s="9">
        <f ca="1">Assets!AU$21</f>
        <v>1733022.2670984673</v>
      </c>
      <c r="AV8" s="9">
        <f ca="1">Assets!AV$21</f>
        <v>1868692.6108730552</v>
      </c>
      <c r="AW8" s="9">
        <f ca="1">Assets!AW$21</f>
        <v>2001981.4664027584</v>
      </c>
      <c r="AX8" s="9">
        <f ca="1">Assets!AX$21</f>
        <v>1957744.6298779114</v>
      </c>
      <c r="AY8" s="9">
        <f ca="1">Assets!AY$21</f>
        <v>2085918.0535046426</v>
      </c>
      <c r="AZ8" s="9">
        <f ca="1">Assets!AZ$21</f>
        <v>2211256.0355871608</v>
      </c>
      <c r="BA8" s="9">
        <f ca="1">Assets!BA$21</f>
        <v>2333686.6735452479</v>
      </c>
      <c r="BB8" s="9">
        <f ca="1">Assets!BB$21</f>
        <v>2452904.6535919858</v>
      </c>
      <c r="BC8" s="9">
        <f ca="1">Assets!BC$21</f>
        <v>2568743.3356381566</v>
      </c>
      <c r="BD8" s="9">
        <f ca="1">Assets!BD$21</f>
        <v>2681354.1262263786</v>
      </c>
      <c r="BE8" s="9">
        <f ca="1">Assets!BE$21</f>
        <v>2790185.3525249097</v>
      </c>
      <c r="BF8" s="9">
        <f ca="1">Assets!BF$21</f>
        <v>2879391.0681738076</v>
      </c>
      <c r="BG8" s="9">
        <f ca="1">Assets!BG$21</f>
        <v>2963398.4330829773</v>
      </c>
      <c r="BH8" s="9">
        <f ca="1">Assets!BH$21</f>
        <v>3042075.4324651109</v>
      </c>
      <c r="BI8" s="9">
        <f ca="1">Assets!BI$21</f>
        <v>3114916.1368917003</v>
      </c>
      <c r="BJ8" s="9">
        <f ca="1">Assets!BJ$21</f>
        <v>3181566.9200938065</v>
      </c>
      <c r="BK8" s="9">
        <f ca="1">Assets!BK$21</f>
        <v>3241870.5858342983</v>
      </c>
      <c r="BL8" s="9">
        <f ca="1">Assets!BL$21</f>
        <v>3295224.7000886113</v>
      </c>
      <c r="BM8" s="9">
        <f ca="1">Assets!BM$21</f>
        <v>3341452.7754119621</v>
      </c>
      <c r="BN8" s="9">
        <f ca="1">Assets!BN$21</f>
        <v>3379831.3321304158</v>
      </c>
      <c r="BO8" s="9">
        <f ca="1">Assets!BO$21</f>
        <v>3409930.2886131695</v>
      </c>
      <c r="BP8" s="9">
        <f ca="1">Assets!BP$21</f>
        <v>3432111.5678957189</v>
      </c>
      <c r="BQ8" s="9">
        <f ca="1">Assets!BQ$21</f>
        <v>3445036.4383722316</v>
      </c>
    </row>
    <row r="9" spans="1:69">
      <c r="E9" s="16" t="str">
        <f xml:space="preserve"> Assets!E$30</f>
        <v xml:space="preserve">Depreciation </v>
      </c>
      <c r="F9" s="16">
        <f xml:space="preserve"> Assets!F$30</f>
        <v>0</v>
      </c>
      <c r="G9" s="16" t="str">
        <f xml:space="preserve"> Assets!G$30</f>
        <v>GBP</v>
      </c>
      <c r="H9" s="42">
        <f xml:space="preserve"> Assets!H$30</f>
        <v>0</v>
      </c>
      <c r="I9" s="16">
        <f xml:space="preserve"> Assets!I$30</f>
        <v>0</v>
      </c>
      <c r="J9" s="9">
        <f ca="1">Assets!J$30</f>
        <v>0</v>
      </c>
      <c r="K9" s="9">
        <f ca="1">Assets!K$30</f>
        <v>-7291.666666666667</v>
      </c>
      <c r="L9" s="9">
        <f ca="1">Assets!L$30</f>
        <v>-14583.333333333334</v>
      </c>
      <c r="M9" s="9">
        <f ca="1">Assets!M$30</f>
        <v>-21875</v>
      </c>
      <c r="N9" s="9">
        <f ca="1">Assets!N$30</f>
        <v>-29166.666666666668</v>
      </c>
      <c r="O9" s="9">
        <f ca="1">Assets!O$30</f>
        <v>-36458.333333333336</v>
      </c>
      <c r="P9" s="9">
        <f ca="1">Assets!P$30</f>
        <v>-43750</v>
      </c>
      <c r="Q9" s="9">
        <f ca="1">Assets!Q$30</f>
        <v>-58333.333333333336</v>
      </c>
      <c r="R9" s="9">
        <f ca="1">Assets!R$30</f>
        <v>-72916.666666666672</v>
      </c>
      <c r="S9" s="9">
        <f ca="1">Assets!S$30</f>
        <v>-87500</v>
      </c>
      <c r="T9" s="9">
        <f ca="1">Assets!T$30</f>
        <v>-102083.33333333333</v>
      </c>
      <c r="U9" s="9">
        <f ca="1">Assets!U$30</f>
        <v>-116666.66666666666</v>
      </c>
      <c r="V9" s="9">
        <f ca="1">Assets!V$30</f>
        <v>-131250</v>
      </c>
      <c r="W9" s="9">
        <f ca="1">Assets!W$30</f>
        <v>-153125</v>
      </c>
      <c r="X9" s="9">
        <f ca="1">Assets!X$30</f>
        <v>-175000</v>
      </c>
      <c r="Y9" s="9">
        <f ca="1">Assets!Y$30</f>
        <v>-196875</v>
      </c>
      <c r="Z9" s="9">
        <f ca="1">Assets!Z$30</f>
        <v>-218750</v>
      </c>
      <c r="AA9" s="9">
        <f ca="1">Assets!AA$30</f>
        <v>-247916.66666666666</v>
      </c>
      <c r="AB9" s="9">
        <f ca="1">Assets!AB$30</f>
        <v>-277083.33333333331</v>
      </c>
      <c r="AC9" s="9">
        <f ca="1">Assets!AC$30</f>
        <v>-306250</v>
      </c>
      <c r="AD9" s="9">
        <f ca="1">Assets!AD$30</f>
        <v>-335416.66666666669</v>
      </c>
      <c r="AE9" s="9">
        <f ca="1">Assets!AE$30</f>
        <v>-371875</v>
      </c>
      <c r="AF9" s="9">
        <f ca="1">Assets!AF$30</f>
        <v>-408333.33333333331</v>
      </c>
      <c r="AG9" s="9">
        <f ca="1">Assets!AG$30</f>
        <v>-444791.66666666663</v>
      </c>
      <c r="AH9" s="9">
        <f ca="1">Assets!AH$30</f>
        <v>-471041.66666666663</v>
      </c>
      <c r="AI9" s="9">
        <f ca="1">Assets!AI$30</f>
        <v>-495501.34575325763</v>
      </c>
      <c r="AJ9" s="9">
        <f ca="1">Assets!AJ$30</f>
        <v>-525391.16035098862</v>
      </c>
      <c r="AK9" s="9">
        <f ca="1">Assets!AK$30</f>
        <v>-553270.77152923681</v>
      </c>
      <c r="AL9" s="9">
        <f ca="1">Assets!AL$30</f>
        <v>-579018.28580826521</v>
      </c>
      <c r="AM9" s="9">
        <f ca="1">Assets!AM$30</f>
        <v>-609840.56542930205</v>
      </c>
      <c r="AN9" s="9">
        <f ca="1">Assets!AN$30</f>
        <v>-638268.88961733249</v>
      </c>
      <c r="AO9" s="9">
        <f ca="1">Assets!AO$30</f>
        <v>-664208.03849041997</v>
      </c>
      <c r="AP9" s="9">
        <f ca="1">Assets!AP$30</f>
        <v>-694750.87928694463</v>
      </c>
      <c r="AQ9" s="9">
        <f ca="1">Assets!AQ$30</f>
        <v>-722442.75357944483</v>
      </c>
      <c r="AR9" s="9">
        <f ca="1">Assets!AR$30</f>
        <v>-754570.67982181231</v>
      </c>
      <c r="AS9" s="9">
        <f ca="1">Assets!AS$30</f>
        <v>-783513.93599258631</v>
      </c>
      <c r="AT9" s="9">
        <f ca="1">Assets!AT$30</f>
        <v>-816437.96932636027</v>
      </c>
      <c r="AU9" s="9">
        <f ca="1">Assets!AU$30</f>
        <v>-853040.80308135902</v>
      </c>
      <c r="AV9" s="9">
        <f ca="1">Assets!AV$30</f>
        <v>-885920.40798504965</v>
      </c>
      <c r="AW9" s="9">
        <f ca="1">Assets!AW$30</f>
        <v>-922071.45563446335</v>
      </c>
      <c r="AX9" s="9">
        <f ca="1">Assets!AX$30</f>
        <v>-961250.51354306482</v>
      </c>
      <c r="AY9" s="9">
        <f ca="1">Assets!AY$30</f>
        <v>-995996.63008137571</v>
      </c>
      <c r="AZ9" s="9">
        <f ca="1">Assets!AZ$30</f>
        <v>-1033247.8643932543</v>
      </c>
      <c r="BA9" s="9">
        <f ca="1">Assets!BA$30</f>
        <v>-1072814.1705008063</v>
      </c>
      <c r="BB9" s="9">
        <f ca="1">Assets!BB$30</f>
        <v>-1114269.0952785963</v>
      </c>
      <c r="BC9" s="9">
        <f ca="1">Assets!BC$30</f>
        <v>-1157312.1378910998</v>
      </c>
      <c r="BD9" s="9">
        <f ca="1">Assets!BD$30</f>
        <v>-1201953.9007975785</v>
      </c>
      <c r="BE9" s="9">
        <f ca="1">Assets!BE$30</f>
        <v>-1247508.2156888754</v>
      </c>
      <c r="BF9" s="9">
        <f ca="1">Assets!BF$30</f>
        <v>-1277971.6543596443</v>
      </c>
      <c r="BG9" s="9">
        <f ca="1">Assets!BG$30</f>
        <v>-1306953.6471093891</v>
      </c>
      <c r="BH9" s="9">
        <f ca="1">Assets!BH$30</f>
        <v>-1334105.5812033135</v>
      </c>
      <c r="BI9" s="9">
        <f ca="1">Assets!BI$30</f>
        <v>-1358699.4286492828</v>
      </c>
      <c r="BJ9" s="9">
        <f ca="1">Assets!BJ$30</f>
        <v>-1380138.3842218767</v>
      </c>
      <c r="BK9" s="9">
        <f ca="1">Assets!BK$30</f>
        <v>-1398007.3382996104</v>
      </c>
      <c r="BL9" s="9">
        <f ca="1">Assets!BL$30</f>
        <v>-1411439.3936303528</v>
      </c>
      <c r="BM9" s="9">
        <f ca="1">Assets!BM$30</f>
        <v>-1419968.4981240625</v>
      </c>
      <c r="BN9" s="9">
        <f ca="1">Assets!BN$30</f>
        <v>-1422574.2538180149</v>
      </c>
      <c r="BO9" s="9">
        <f ca="1">Assets!BO$30</f>
        <v>-1418499.5158062028</v>
      </c>
      <c r="BP9" s="9">
        <f ca="1">Assets!BP$30</f>
        <v>-1407761.2237809673</v>
      </c>
      <c r="BQ9" s="9">
        <f ca="1">Assets!BQ$30</f>
        <v>-1388690.7429198015</v>
      </c>
    </row>
    <row r="10" spans="1:69">
      <c r="E10" s="16" t="str">
        <f xml:space="preserve"> 'Working Capital'!E$45</f>
        <v>Debtors</v>
      </c>
      <c r="F10" s="16">
        <f xml:space="preserve"> 'Working Capital'!F$45</f>
        <v>0</v>
      </c>
      <c r="G10" s="16" t="str">
        <f xml:space="preserve"> 'Working Capital'!G$45</f>
        <v>GBP</v>
      </c>
      <c r="H10" s="42">
        <f xml:space="preserve"> 'Working Capital'!H$45</f>
        <v>0</v>
      </c>
      <c r="I10" s="16">
        <f xml:space="preserve"> 'Working Capital'!I$45</f>
        <v>0</v>
      </c>
      <c r="J10" s="9">
        <f ca="1">'Working Capital'!J$45</f>
        <v>0</v>
      </c>
      <c r="K10" s="9">
        <f ca="1">'Working Capital'!K$45</f>
        <v>0</v>
      </c>
      <c r="L10" s="9">
        <f ca="1">'Working Capital'!L$45</f>
        <v>0</v>
      </c>
      <c r="M10" s="9">
        <f ca="1">'Working Capital'!M$45</f>
        <v>0</v>
      </c>
      <c r="N10" s="9">
        <f ca="1">'Working Capital'!N$45</f>
        <v>0</v>
      </c>
      <c r="O10" s="9">
        <f ca="1">'Working Capital'!O$45</f>
        <v>0</v>
      </c>
      <c r="P10" s="9">
        <f ca="1">'Working Capital'!P$45</f>
        <v>0</v>
      </c>
      <c r="Q10" s="9">
        <f ca="1">'Working Capital'!Q$45</f>
        <v>725145.29928020365</v>
      </c>
      <c r="R10" s="9">
        <f ca="1">'Working Capital'!R$45</f>
        <v>854865.6282310664</v>
      </c>
      <c r="S10" s="9">
        <f ca="1">'Working Capital'!S$45</f>
        <v>138854.70071979624</v>
      </c>
      <c r="T10" s="9">
        <f ca="1">'Working Capital'!T$45</f>
        <v>9134.3717689334298</v>
      </c>
      <c r="U10" s="9">
        <f ca="1">'Working Capital'!U$45</f>
        <v>-6.3664629124104977E-11</v>
      </c>
      <c r="V10" s="9">
        <f ca="1">'Working Capital'!V$45</f>
        <v>-6.3664629124104977E-11</v>
      </c>
      <c r="W10" s="9">
        <f ca="1">'Working Capital'!W$45</f>
        <v>764384.2559477858</v>
      </c>
      <c r="X10" s="9">
        <f ca="1">'Working Capital'!X$45</f>
        <v>863999.99999999988</v>
      </c>
      <c r="Y10" s="9">
        <f ca="1">'Working Capital'!Y$45</f>
        <v>99615.744052213966</v>
      </c>
      <c r="Z10" s="9">
        <f ca="1">'Working Capital'!Z$45</f>
        <v>-8.7311491370201111E-11</v>
      </c>
      <c r="AA10" s="9">
        <f ca="1">'Working Capital'!AA$45</f>
        <v>-8.7311491370201111E-11</v>
      </c>
      <c r="AB10" s="9">
        <f ca="1">'Working Capital'!AB$45</f>
        <v>-8.7311491370201111E-11</v>
      </c>
      <c r="AC10" s="9">
        <f ca="1">'Working Capital'!AC$45</f>
        <v>1589145.2992802034</v>
      </c>
      <c r="AD10" s="9">
        <f ca="1">'Working Capital'!AD$45</f>
        <v>1718865.6282310663</v>
      </c>
      <c r="AE10" s="9">
        <f ca="1">'Working Capital'!AE$45</f>
        <v>138854.70071979635</v>
      </c>
      <c r="AF10" s="9">
        <f ca="1">'Working Capital'!AF$45</f>
        <v>9134.3717689335463</v>
      </c>
      <c r="AG10" s="9">
        <f ca="1">'Working Capital'!AG$45</f>
        <v>864000</v>
      </c>
      <c r="AH10" s="9">
        <f ca="1">'Working Capital'!AH$45</f>
        <v>864000</v>
      </c>
      <c r="AI10" s="9">
        <f ca="1">'Working Capital'!AI$45</f>
        <v>937184.25594778592</v>
      </c>
      <c r="AJ10" s="9">
        <f ca="1">'Working Capital'!AJ$45</f>
        <v>1220078.1402192612</v>
      </c>
      <c r="AK10" s="9">
        <f ca="1">'Working Capital'!AK$45</f>
        <v>1340916.7258106493</v>
      </c>
      <c r="AL10" s="9">
        <f ca="1">'Working Capital'!AL$45</f>
        <v>1263810.7209220224</v>
      </c>
      <c r="AM10" s="9">
        <f ca="1">'Working Capital'!AM$45</f>
        <v>424054.19774485123</v>
      </c>
      <c r="AN10" s="9">
        <f ca="1">'Working Capital'!AN$45</f>
        <v>1313328.5238723094</v>
      </c>
      <c r="AO10" s="9">
        <f ca="1">'Working Capital'!AO$45</f>
        <v>2204135.419057122</v>
      </c>
      <c r="AP10" s="9">
        <f ca="1">'Working Capital'!AP$45</f>
        <v>2232513.8714485411</v>
      </c>
      <c r="AQ10" s="9">
        <f ca="1">'Working Capital'!AQ$45</f>
        <v>1398613.1189983105</v>
      </c>
      <c r="AR10" s="9">
        <f ca="1">'Working Capital'!AR$45</f>
        <v>567030.66080340813</v>
      </c>
      <c r="AS10" s="9">
        <f ca="1">'Working Capital'!AS$45</f>
        <v>2327752.7966961241</v>
      </c>
      <c r="AT10" s="9">
        <f ca="1">'Working Capital'!AT$45</f>
        <v>2362406.5946300309</v>
      </c>
      <c r="AU10" s="9">
        <f ca="1">'Working Capital'!AU$45</f>
        <v>844911.99764072988</v>
      </c>
      <c r="AV10" s="9">
        <f ca="1">'Working Capital'!AV$45</f>
        <v>1932552.6137742538</v>
      </c>
      <c r="AW10" s="9">
        <f ca="1">'Working Capital'!AW$45</f>
        <v>2860527.7179277828</v>
      </c>
      <c r="AX10" s="9">
        <f ca="1">'Working Capital'!AX$45</f>
        <v>2928030.7415059381</v>
      </c>
      <c r="AY10" s="9">
        <f ca="1">'Working Capital'!AY$45</f>
        <v>2136729.1186568998</v>
      </c>
      <c r="AZ10" s="9">
        <f ca="1">'Working Capital'!AZ$45</f>
        <v>3076514.6809462737</v>
      </c>
      <c r="BA10" s="9">
        <f ca="1">'Working Capital'!BA$45</f>
        <v>4020891.3672537878</v>
      </c>
      <c r="BB10" s="9">
        <f ca="1">'Working Capital'!BB$45</f>
        <v>3241975.7261333056</v>
      </c>
      <c r="BC10" s="9">
        <f ca="1">'Working Capital'!BC$45</f>
        <v>3332505.6223563831</v>
      </c>
      <c r="BD10" s="9">
        <f ca="1">'Working Capital'!BD$45</f>
        <v>3430014.0202517183</v>
      </c>
      <c r="BE10" s="9">
        <f ca="1">'Working Capital'!BE$45</f>
        <v>3527977.4326262358</v>
      </c>
      <c r="BF10" s="9">
        <f ca="1">'Working Capital'!BF$45</f>
        <v>3631824.8507425506</v>
      </c>
      <c r="BG10" s="9">
        <f ca="1">'Working Capital'!BG$45</f>
        <v>3900638.6508684056</v>
      </c>
      <c r="BH10" s="9">
        <f ca="1">'Working Capital'!BH$45</f>
        <v>5050119.0266730497</v>
      </c>
      <c r="BI10" s="9">
        <f ca="1">'Working Capital'!BI$45</f>
        <v>5196834.841910081</v>
      </c>
      <c r="BJ10" s="9">
        <f ca="1">'Working Capital'!BJ$45</f>
        <v>5352090.9224040667</v>
      </c>
      <c r="BK10" s="9">
        <f ca="1">'Working Capital'!BK$45</f>
        <v>5519296.1173555572</v>
      </c>
      <c r="BL10" s="9">
        <f ca="1">'Working Capital'!BL$45</f>
        <v>5693601.655515058</v>
      </c>
      <c r="BM10" s="9">
        <f ca="1">'Working Capital'!BM$45</f>
        <v>6742466.5548765399</v>
      </c>
      <c r="BN10" s="9">
        <f ca="1">'Working Capital'!BN$45</f>
        <v>6074158.8627407458</v>
      </c>
      <c r="BO10" s="9">
        <f ca="1">'Working Capital'!BO$45</f>
        <v>6282462.4452538528</v>
      </c>
      <c r="BP10" s="9">
        <f ca="1">'Working Capital'!BP$45</f>
        <v>7370816.8290958125</v>
      </c>
      <c r="BQ10" s="9">
        <f ca="1">'Working Capital'!BQ$45</f>
        <v>6731994.6507732924</v>
      </c>
    </row>
    <row r="11" spans="1:69">
      <c r="E11" s="16" t="str">
        <f xml:space="preserve"> Financials!E$13</f>
        <v>Cash</v>
      </c>
      <c r="F11" s="16">
        <f xml:space="preserve"> Financials!F$13</f>
        <v>0</v>
      </c>
      <c r="G11" s="16" t="str">
        <f xml:space="preserve"> Financials!G$13</f>
        <v>GBP</v>
      </c>
      <c r="H11" s="42">
        <f xml:space="preserve"> Financials!H$13</f>
        <v>0</v>
      </c>
      <c r="I11" s="16">
        <f xml:space="preserve"> Financials!I$13</f>
        <v>0</v>
      </c>
      <c r="J11" s="9">
        <f ca="1">Financials!J$13</f>
        <v>65080</v>
      </c>
      <c r="K11" s="9">
        <f ca="1">Financials!K$13</f>
        <v>-1278.5814267161477</v>
      </c>
      <c r="L11" s="9">
        <f ca="1">Financials!L$13</f>
        <v>-22293.538857459123</v>
      </c>
      <c r="M11" s="9">
        <f ca="1">Financials!M$13</f>
        <v>-90197.196723540823</v>
      </c>
      <c r="N11" s="9">
        <f ca="1">Financials!N$13</f>
        <v>-158349.10984163778</v>
      </c>
      <c r="O11" s="9">
        <f ca="1">Financials!O$13</f>
        <v>-210483.1648393847</v>
      </c>
      <c r="P11" s="9">
        <f ca="1">Financials!P$13</f>
        <v>-304989.09830507642</v>
      </c>
      <c r="Q11" s="9">
        <f ca="1">Financials!Q$13</f>
        <v>-383826.99653525883</v>
      </c>
      <c r="R11" s="9">
        <f ca="1">Financials!R$13</f>
        <v>-531500.75634385983</v>
      </c>
      <c r="S11" s="9">
        <f ca="1">Financials!S$13</f>
        <v>113282.85980705544</v>
      </c>
      <c r="T11" s="9">
        <f ca="1">Financials!T$13</f>
        <v>162480.90729248483</v>
      </c>
      <c r="U11" s="9">
        <f ca="1">Financials!U$13</f>
        <v>85687.307120060359</v>
      </c>
      <c r="V11" s="9">
        <f ca="1">Financials!V$13</f>
        <v>-21235.963378236353</v>
      </c>
      <c r="W11" s="9">
        <f ca="1">Financials!W$13</f>
        <v>-112587.09431037454</v>
      </c>
      <c r="X11" s="9">
        <f ca="1">Financials!X$13</f>
        <v>-277417.68244850443</v>
      </c>
      <c r="Y11" s="9">
        <f ca="1">Financials!Y$13</f>
        <v>393862.8647888485</v>
      </c>
      <c r="Z11" s="9">
        <f ca="1">Financials!Z$13</f>
        <v>522500.47260836291</v>
      </c>
      <c r="AA11" s="9">
        <f ca="1">Financials!AA$13</f>
        <v>458771.91933099797</v>
      </c>
      <c r="AB11" s="9">
        <f ca="1">Financials!AB$13</f>
        <v>207820.75438051188</v>
      </c>
      <c r="AC11" s="9">
        <f ca="1">Financials!AC$13</f>
        <v>103568.05213959339</v>
      </c>
      <c r="AD11" s="9">
        <f ca="1">Financials!AD$13</f>
        <v>-121932.7064087187</v>
      </c>
      <c r="AE11" s="9">
        <f ca="1">Financials!AE$13</f>
        <v>1352029.9829183647</v>
      </c>
      <c r="AF11" s="9">
        <f ca="1">Financials!AF$13</f>
        <v>1219351.9533178117</v>
      </c>
      <c r="AG11" s="9">
        <f ca="1">Financials!AG$13</f>
        <v>1270059.1436541709</v>
      </c>
      <c r="AH11" s="9">
        <f ca="1">Financials!AH$13</f>
        <v>1136571.9236112288</v>
      </c>
      <c r="AI11" s="9">
        <f ca="1">Financials!AI$13</f>
        <v>1988680.368939661</v>
      </c>
      <c r="AJ11" s="9">
        <f ca="1">Financials!AJ$13</f>
        <v>1493816.009861479</v>
      </c>
      <c r="AK11" s="9">
        <f ca="1">Financials!AK$13</f>
        <v>2089026.9445731256</v>
      </c>
      <c r="AL11" s="9">
        <f ca="1">Financials!AL$13</f>
        <v>2346943.6905272803</v>
      </c>
      <c r="AM11" s="9">
        <f ca="1">Financials!AM$13</f>
        <v>2907144.5956911985</v>
      </c>
      <c r="AN11" s="9">
        <f ca="1">Financials!AN$13</f>
        <v>2952867.4310991955</v>
      </c>
      <c r="AO11" s="9">
        <f ca="1">Financials!AO$13</f>
        <v>2985100.5749406866</v>
      </c>
      <c r="AP11" s="9">
        <f ca="1">Financials!AP$13</f>
        <v>3571594.9770108908</v>
      </c>
      <c r="AQ11" s="9">
        <f ca="1">Financials!AQ$13</f>
        <v>4627996.2976419367</v>
      </c>
      <c r="AR11" s="9">
        <f ca="1">Financials!AR$13</f>
        <v>5419107.4814385166</v>
      </c>
      <c r="AS11" s="9">
        <f ca="1">Financials!AS$13</f>
        <v>5417962.1105279103</v>
      </c>
      <c r="AT11" s="9">
        <f ca="1">Financials!AT$13</f>
        <v>5632761.3181295507</v>
      </c>
      <c r="AU11" s="9">
        <f ca="1">Financials!AU$13</f>
        <v>7311254.2574025085</v>
      </c>
      <c r="AV11" s="9">
        <f ca="1">Financials!AV$13</f>
        <v>7176541.8878858238</v>
      </c>
      <c r="AW11" s="9">
        <f ca="1">Financials!AW$13</f>
        <v>6615483.5906824237</v>
      </c>
      <c r="AX11" s="9">
        <f ca="1">Financials!AX$13</f>
        <v>7792808.9858711632</v>
      </c>
      <c r="AY11" s="9">
        <f ca="1">Financials!AY$13</f>
        <v>8364893.5536060641</v>
      </c>
      <c r="AZ11" s="9">
        <f ca="1">Financials!AZ$13</f>
        <v>9568903.7634976264</v>
      </c>
      <c r="BA11" s="9">
        <f ca="1">Financials!BA$13</f>
        <v>10081503.126618337</v>
      </c>
      <c r="BB11" s="9">
        <f ca="1">Financials!BB$13</f>
        <v>11575627.624527765</v>
      </c>
      <c r="BC11" s="9">
        <f ca="1">Financials!BC$13</f>
        <v>12859222.467884783</v>
      </c>
      <c r="BD11" s="9">
        <f ca="1">Financials!BD$13</f>
        <v>14321000.017769378</v>
      </c>
      <c r="BE11" s="9">
        <f ca="1">Financials!BE$13</f>
        <v>14984790.399722619</v>
      </c>
      <c r="BF11" s="9">
        <f ca="1">Financials!BF$13</f>
        <v>16369550.379369862</v>
      </c>
      <c r="BG11" s="9">
        <f ca="1">Financials!BG$13</f>
        <v>17788642.260716364</v>
      </c>
      <c r="BH11" s="9">
        <f ca="1">Financials!BH$13</f>
        <v>18468975.262084499</v>
      </c>
      <c r="BI11" s="9">
        <f ca="1">Financials!BI$13</f>
        <v>18208606.425801814</v>
      </c>
      <c r="BJ11" s="9">
        <f ca="1">Financials!BJ$13</f>
        <v>20788446.028001931</v>
      </c>
      <c r="BK11" s="9">
        <f ca="1">Financials!BK$13</f>
        <v>21348061.694594067</v>
      </c>
      <c r="BL11" s="9">
        <f ca="1">Financials!BL$13</f>
        <v>24050398.192393359</v>
      </c>
      <c r="BM11" s="9">
        <f ca="1">Financials!BM$13</f>
        <v>25958666.134170778</v>
      </c>
      <c r="BN11" s="9">
        <f ca="1">Financials!BN$13</f>
        <v>27468981.104767993</v>
      </c>
      <c r="BO11" s="9">
        <f ca="1">Financials!BO$13</f>
        <v>30389349.899374958</v>
      </c>
      <c r="BP11" s="9">
        <f ca="1">Financials!BP$13</f>
        <v>32527227.920244526</v>
      </c>
      <c r="BQ11" s="9">
        <f ca="1">Financials!BQ$13</f>
        <v>34145444.452532314</v>
      </c>
    </row>
    <row r="12" spans="1:69">
      <c r="E12" s="12" t="s">
        <v>85</v>
      </c>
      <c r="F12" s="32"/>
      <c r="G12" s="12" t="s">
        <v>252</v>
      </c>
      <c r="H12" s="54"/>
      <c r="I12" s="32"/>
      <c r="J12" s="12">
        <f t="shared" ref="J12:BQ12" ca="1" si="0" xml:space="preserve"> SUM( J8:J11 )</f>
        <v>240080</v>
      </c>
      <c r="K12" s="12">
        <f t="shared" ca="1" si="0"/>
        <v>166429.7519066172</v>
      </c>
      <c r="L12" s="12">
        <f t="shared" ca="1" si="0"/>
        <v>138123.12780920754</v>
      </c>
      <c r="M12" s="12">
        <f t="shared" ca="1" si="0"/>
        <v>62927.803276459177</v>
      </c>
      <c r="N12" s="12">
        <f t="shared" ca="1" si="0"/>
        <v>-12515.776508304436</v>
      </c>
      <c r="O12" s="12">
        <f t="shared" ca="1" si="0"/>
        <v>-71941.498172718042</v>
      </c>
      <c r="P12" s="12">
        <f t="shared" ca="1" si="0"/>
        <v>1260.9016949235811</v>
      </c>
      <c r="Q12" s="12">
        <f t="shared" ca="1" si="0"/>
        <v>632984.96941161156</v>
      </c>
      <c r="R12" s="12">
        <f t="shared" ca="1" si="0"/>
        <v>600448.20522053994</v>
      </c>
      <c r="S12" s="12">
        <f t="shared" ca="1" si="0"/>
        <v>514637.56052685168</v>
      </c>
      <c r="T12" s="12">
        <f t="shared" ca="1" si="0"/>
        <v>419531.94572808495</v>
      </c>
      <c r="U12" s="12">
        <f t="shared" ca="1" si="0"/>
        <v>319020.64045339363</v>
      </c>
      <c r="V12" s="12">
        <f t="shared" ca="1" si="0"/>
        <v>372514.0366217636</v>
      </c>
      <c r="W12" s="12">
        <f t="shared" ca="1" si="0"/>
        <v>1023672.1616374113</v>
      </c>
      <c r="X12" s="12">
        <f t="shared" ca="1" si="0"/>
        <v>936582.31755149551</v>
      </c>
      <c r="Y12" s="12">
        <f t="shared" ca="1" si="0"/>
        <v>821603.60884106252</v>
      </c>
      <c r="Z12" s="12">
        <f t="shared" ca="1" si="0"/>
        <v>1003750.4726083628</v>
      </c>
      <c r="AA12" s="12">
        <f t="shared" ca="1" si="0"/>
        <v>910855.25266433123</v>
      </c>
      <c r="AB12" s="12">
        <f t="shared" ca="1" si="0"/>
        <v>630737.42104717856</v>
      </c>
      <c r="AC12" s="12">
        <f t="shared" ca="1" si="0"/>
        <v>2086463.3514197967</v>
      </c>
      <c r="AD12" s="12">
        <f t="shared" ca="1" si="0"/>
        <v>2136516.2551556807</v>
      </c>
      <c r="AE12" s="12">
        <f t="shared" ca="1" si="0"/>
        <v>1994009.683638161</v>
      </c>
      <c r="AF12" s="12">
        <f t="shared" ca="1" si="0"/>
        <v>1695152.9917534119</v>
      </c>
      <c r="AG12" s="12">
        <f t="shared" ca="1" si="0"/>
        <v>2739267.4769875044</v>
      </c>
      <c r="AH12" s="12">
        <f t="shared" ca="1" si="0"/>
        <v>2562030.2569445623</v>
      </c>
      <c r="AI12" s="12">
        <f t="shared" ca="1" si="0"/>
        <v>3619302.1248874469</v>
      </c>
      <c r="AJ12" s="12">
        <f t="shared" ca="1" si="0"/>
        <v>3357792.5315076876</v>
      </c>
      <c r="AK12" s="12">
        <f t="shared" ca="1" si="0"/>
        <v>4025121.6542366417</v>
      </c>
      <c r="AL12" s="12">
        <f t="shared" ca="1" si="0"/>
        <v>4333080.3638279159</v>
      </c>
      <c r="AM12" s="12">
        <f t="shared" ca="1" si="0"/>
        <v>3999302.0692235427</v>
      </c>
      <c r="AN12" s="12">
        <f t="shared" ca="1" si="0"/>
        <v>4881051.5707082981</v>
      </c>
      <c r="AO12" s="12">
        <f t="shared" ca="1" si="0"/>
        <v>5926878.0886781793</v>
      </c>
      <c r="AP12" s="12">
        <f t="shared" ca="1" si="0"/>
        <v>6483340.520924353</v>
      </c>
      <c r="AQ12" s="12">
        <f t="shared" ca="1" si="0"/>
        <v>6823591.8161155079</v>
      </c>
      <c r="AR12" s="12">
        <f t="shared" ca="1" si="0"/>
        <v>6719811.1603399059</v>
      </c>
      <c r="AS12" s="12">
        <f t="shared" ca="1" si="0"/>
        <v>8592377.7712420244</v>
      </c>
      <c r="AT12" s="12">
        <f t="shared" ca="1" si="0"/>
        <v>8948906.7434437983</v>
      </c>
      <c r="AU12" s="12">
        <f t="shared" ca="1" si="0"/>
        <v>9036147.7190603465</v>
      </c>
      <c r="AV12" s="12">
        <f t="shared" ca="1" si="0"/>
        <v>10091866.704548083</v>
      </c>
      <c r="AW12" s="12">
        <f t="shared" ca="1" si="0"/>
        <v>10555921.319378503</v>
      </c>
      <c r="AX12" s="12">
        <f t="shared" ca="1" si="0"/>
        <v>11717333.843711948</v>
      </c>
      <c r="AY12" s="12">
        <f t="shared" ca="1" si="0"/>
        <v>11591544.095686231</v>
      </c>
      <c r="AZ12" s="12">
        <f t="shared" ca="1" si="0"/>
        <v>13823426.615637807</v>
      </c>
      <c r="BA12" s="12">
        <f t="shared" ca="1" si="0"/>
        <v>15363266.996916566</v>
      </c>
      <c r="BB12" s="12">
        <f t="shared" ca="1" si="0"/>
        <v>16156238.908974461</v>
      </c>
      <c r="BC12" s="12">
        <f t="shared" ca="1" si="0"/>
        <v>17603159.287988223</v>
      </c>
      <c r="BD12" s="12">
        <f t="shared" ca="1" si="0"/>
        <v>19230414.263449896</v>
      </c>
      <c r="BE12" s="12">
        <f t="shared" ca="1" si="0"/>
        <v>20055444.96918489</v>
      </c>
      <c r="BF12" s="12">
        <f t="shared" ca="1" si="0"/>
        <v>21602794.643926576</v>
      </c>
      <c r="BG12" s="12">
        <f t="shared" ca="1" si="0"/>
        <v>23345725.697558358</v>
      </c>
      <c r="BH12" s="12">
        <f t="shared" ca="1" si="0"/>
        <v>25227064.140019346</v>
      </c>
      <c r="BI12" s="12">
        <f t="shared" ca="1" si="0"/>
        <v>25161657.975954313</v>
      </c>
      <c r="BJ12" s="12">
        <f t="shared" ca="1" si="0"/>
        <v>27941965.486277927</v>
      </c>
      <c r="BK12" s="12">
        <f t="shared" ca="1" si="0"/>
        <v>28711221.05948431</v>
      </c>
      <c r="BL12" s="12">
        <f t="shared" ca="1" si="0"/>
        <v>31627785.154366676</v>
      </c>
      <c r="BM12" s="12">
        <f t="shared" ca="1" si="0"/>
        <v>34622616.966335222</v>
      </c>
      <c r="BN12" s="12">
        <f t="shared" ca="1" si="0"/>
        <v>35500397.045821138</v>
      </c>
      <c r="BO12" s="12">
        <f t="shared" ca="1" si="0"/>
        <v>38663243.117435776</v>
      </c>
      <c r="BP12" s="12">
        <f t="shared" ca="1" si="0"/>
        <v>41922395.093455091</v>
      </c>
      <c r="BQ12" s="12">
        <f t="shared" ca="1" si="0"/>
        <v>42933784.798758037</v>
      </c>
    </row>
    <row r="14" spans="1:69">
      <c r="E14" s="16" t="str">
        <f xml:space="preserve"> Income!E$27</f>
        <v>Deferred Income</v>
      </c>
      <c r="F14" s="16">
        <f xml:space="preserve"> Income!F$27</f>
        <v>0</v>
      </c>
      <c r="G14" s="16" t="str">
        <f xml:space="preserve"> Income!G$27</f>
        <v>GBP</v>
      </c>
      <c r="H14" s="42">
        <f xml:space="preserve"> Income!H$27</f>
        <v>0</v>
      </c>
      <c r="I14" s="16">
        <f xml:space="preserve"> Income!I$27</f>
        <v>0</v>
      </c>
      <c r="J14" s="9">
        <f ca="1">Income!J$27</f>
        <v>0</v>
      </c>
      <c r="K14" s="9">
        <f ca="1">Income!K$27</f>
        <v>0</v>
      </c>
      <c r="L14" s="9">
        <f ca="1">Income!L$27</f>
        <v>0</v>
      </c>
      <c r="M14" s="9">
        <f ca="1">Income!M$27</f>
        <v>0</v>
      </c>
      <c r="N14" s="9">
        <f ca="1">Income!N$27</f>
        <v>0</v>
      </c>
      <c r="O14" s="9">
        <f ca="1">Income!O$27</f>
        <v>0</v>
      </c>
      <c r="P14" s="9">
        <f ca="1">Income!P$27</f>
        <v>0</v>
      </c>
      <c r="Q14" s="9">
        <f ca="1">Income!Q$27</f>
        <v>553930.43695015553</v>
      </c>
      <c r="R14" s="9">
        <f ca="1">Income!R$27</f>
        <v>602665.04244871717</v>
      </c>
      <c r="S14" s="9">
        <f ca="1">Income!S$27</f>
        <v>550277.01892282837</v>
      </c>
      <c r="T14" s="9">
        <f ca="1">Income!T$27</f>
        <v>490277.01892282837</v>
      </c>
      <c r="U14" s="9">
        <f ca="1">Income!U$27</f>
        <v>430277.01892282837</v>
      </c>
      <c r="V14" s="9">
        <f ca="1">Income!V$27</f>
        <v>370277.01892282837</v>
      </c>
      <c r="W14" s="9">
        <f ca="1">Income!W$27</f>
        <v>894181.65888294263</v>
      </c>
      <c r="X14" s="9">
        <f ca="1">Income!X$27</f>
        <v>857194.77892645437</v>
      </c>
      <c r="Y14" s="9">
        <f ca="1">Income!Y$27</f>
        <v>737194.77892645437</v>
      </c>
      <c r="Z14" s="9">
        <f ca="1">Income!Z$27</f>
        <v>617194.77892645437</v>
      </c>
      <c r="AA14" s="9">
        <f ca="1">Income!AA$27</f>
        <v>497194.77892645437</v>
      </c>
      <c r="AB14" s="9">
        <f ca="1">Income!AB$27</f>
        <v>377194.77892645437</v>
      </c>
      <c r="AC14" s="9">
        <f ca="1">Income!AC$27</f>
        <v>1521482.5283266241</v>
      </c>
      <c r="AD14" s="9">
        <f ca="1">Income!AD$27</f>
        <v>1449582.8024523431</v>
      </c>
      <c r="AE14" s="9">
        <f ca="1">Income!AE$27</f>
        <v>1277194.7789264543</v>
      </c>
      <c r="AF14" s="9">
        <f ca="1">Income!AF$27</f>
        <v>1097194.7789264543</v>
      </c>
      <c r="AG14" s="9">
        <f ca="1">Income!AG$27</f>
        <v>1577194.7789264543</v>
      </c>
      <c r="AH14" s="9">
        <f ca="1">Income!AH$27</f>
        <v>1343194.7789264543</v>
      </c>
      <c r="AI14" s="9">
        <f ca="1">Income!AI$27</f>
        <v>1884545.4831961114</v>
      </c>
      <c r="AJ14" s="9">
        <f ca="1">Income!AJ$27</f>
        <v>1874663.4666626155</v>
      </c>
      <c r="AK14" s="9">
        <f ca="1">Income!AK$27</f>
        <v>2444393.8518905523</v>
      </c>
      <c r="AL14" s="9">
        <f ca="1">Income!AL$27</f>
        <v>2297216.3019742006</v>
      </c>
      <c r="AM14" s="9">
        <f ca="1">Income!AM$27</f>
        <v>2153303.0612344462</v>
      </c>
      <c r="AN14" s="9">
        <f ca="1">Income!AN$27</f>
        <v>2672516.5598726608</v>
      </c>
      <c r="AO14" s="9">
        <f ca="1">Income!AO$27</f>
        <v>3195395.2815554696</v>
      </c>
      <c r="AP14" s="9">
        <f ca="1">Income!AP$27</f>
        <v>3661784.7605233816</v>
      </c>
      <c r="AQ14" s="9">
        <f ca="1">Income!AQ$27</f>
        <v>3412308.842067345</v>
      </c>
      <c r="AR14" s="9">
        <f ca="1">Income!AR$27</f>
        <v>3167160.5598689951</v>
      </c>
      <c r="AS14" s="9">
        <f ca="1">Income!AS$27</f>
        <v>4305331.5949776452</v>
      </c>
      <c r="AT14" s="9">
        <f ca="1">Income!AT$27</f>
        <v>4008342.6863485458</v>
      </c>
      <c r="AU14" s="9">
        <f ca="1">Income!AU$27</f>
        <v>3859999.1433506096</v>
      </c>
      <c r="AV14" s="9">
        <f ca="1">Income!AV$27</f>
        <v>4386123.1713973414</v>
      </c>
      <c r="AW14" s="9">
        <f ca="1">Income!AW$27</f>
        <v>4926431.3314525262</v>
      </c>
      <c r="AX14" s="9">
        <f ca="1">Income!AX$27</f>
        <v>5422704.923583284</v>
      </c>
      <c r="AY14" s="9">
        <f ca="1">Income!AY$27</f>
        <v>5215881.0477660028</v>
      </c>
      <c r="AZ14" s="9">
        <f ca="1">Income!AZ$27</f>
        <v>6405947.5957645979</v>
      </c>
      <c r="BA14" s="9">
        <f ca="1">Income!BA$27</f>
        <v>6834991.4431998078</v>
      </c>
      <c r="BB14" s="9">
        <f ca="1">Income!BB$27</f>
        <v>7283009.1511670472</v>
      </c>
      <c r="BC14" s="9">
        <f ca="1">Income!BC$27</f>
        <v>7692605.6327024661</v>
      </c>
      <c r="BD14" s="9">
        <f ca="1">Income!BD$27</f>
        <v>8064736.5165905915</v>
      </c>
      <c r="BE14" s="9">
        <f ca="1">Income!BE$27</f>
        <v>8456697.2648357581</v>
      </c>
      <c r="BF14" s="9">
        <f ca="1">Income!BF$27</f>
        <v>8819315.238161182</v>
      </c>
      <c r="BG14" s="9">
        <f ca="1">Income!BG$27</f>
        <v>9271696.9047981277</v>
      </c>
      <c r="BH14" s="9">
        <f ca="1">Income!BH$27</f>
        <v>10415212.378776886</v>
      </c>
      <c r="BI14" s="9">
        <f ca="1">Income!BI$27</f>
        <v>10809463.290414782</v>
      </c>
      <c r="BJ14" s="9">
        <f ca="1">Income!BJ$27</f>
        <v>11898431.032610863</v>
      </c>
      <c r="BK14" s="9">
        <f ca="1">Income!BK$27</f>
        <v>12244143.672873408</v>
      </c>
      <c r="BL14" s="9">
        <f ca="1">Income!BL$27</f>
        <v>13286452.127764825</v>
      </c>
      <c r="BM14" s="9">
        <f ca="1">Income!BM$27</f>
        <v>14310013.149255557</v>
      </c>
      <c r="BN14" s="9">
        <f ca="1">Income!BN$27</f>
        <v>14594675.469234642</v>
      </c>
      <c r="BO14" s="9">
        <f ca="1">Income!BO$27</f>
        <v>15586360.781217404</v>
      </c>
      <c r="BP14" s="9">
        <f ca="1">Income!BP$27</f>
        <v>16567016.444521323</v>
      </c>
      <c r="BQ14" s="9">
        <f ca="1">Income!BQ$27</f>
        <v>16810162.851556987</v>
      </c>
    </row>
    <row r="15" spans="1:69">
      <c r="E15" s="16" t="str">
        <f xml:space="preserve"> 'Working Capital'!E$36</f>
        <v>Creditors</v>
      </c>
      <c r="F15" s="16">
        <f xml:space="preserve"> 'Working Capital'!F$36</f>
        <v>0</v>
      </c>
      <c r="G15" s="16" t="str">
        <f xml:space="preserve"> 'Working Capital'!G$36</f>
        <v>GBP</v>
      </c>
      <c r="H15" s="42">
        <f xml:space="preserve"> 'Working Capital'!H$36</f>
        <v>0</v>
      </c>
      <c r="I15" s="16">
        <f xml:space="preserve"> 'Working Capital'!I$36</f>
        <v>0</v>
      </c>
      <c r="J15" s="9">
        <f ca="1">'Working Capital'!J$36</f>
        <v>157500</v>
      </c>
      <c r="K15" s="9">
        <f ca="1">'Working Capital'!K$36</f>
        <v>157500</v>
      </c>
      <c r="L15" s="9">
        <f ca="1">'Working Capital'!L$36</f>
        <v>157500</v>
      </c>
      <c r="M15" s="9">
        <f ca="1">'Working Capital'!M$36</f>
        <v>157500</v>
      </c>
      <c r="N15" s="9">
        <f ca="1">'Working Capital'!N$36</f>
        <v>157500</v>
      </c>
      <c r="O15" s="9">
        <f ca="1">'Working Capital'!O$36</f>
        <v>157500.00000000003</v>
      </c>
      <c r="P15" s="9">
        <f ca="1">'Working Capital'!P$36</f>
        <v>168000</v>
      </c>
      <c r="Q15" s="9">
        <f ca="1">'Working Capital'!Q$36</f>
        <v>168000</v>
      </c>
      <c r="R15" s="9">
        <f ca="1">'Working Capital'!R$36</f>
        <v>168000</v>
      </c>
      <c r="S15" s="9">
        <f ca="1">'Working Capital'!S$36</f>
        <v>168000</v>
      </c>
      <c r="T15" s="9">
        <f ca="1">'Working Capital'!T$36</f>
        <v>168000</v>
      </c>
      <c r="U15" s="9">
        <f ca="1">'Working Capital'!U$36</f>
        <v>168000</v>
      </c>
      <c r="V15" s="9">
        <f ca="1">'Working Capital'!V$36</f>
        <v>178500</v>
      </c>
      <c r="W15" s="9">
        <f ca="1">'Working Capital'!W$36</f>
        <v>178500</v>
      </c>
      <c r="X15" s="9">
        <f ca="1">'Working Capital'!X$36</f>
        <v>178500</v>
      </c>
      <c r="Y15" s="9">
        <f ca="1">'Working Capital'!Y$36</f>
        <v>178499.99999999997</v>
      </c>
      <c r="Z15" s="9">
        <f ca="1">'Working Capital'!Z$36</f>
        <v>336000</v>
      </c>
      <c r="AA15" s="9">
        <f ca="1">'Working Capital'!AA$36</f>
        <v>336000</v>
      </c>
      <c r="AB15" s="9">
        <f ca="1">'Working Capital'!AB$36</f>
        <v>189000.00000000006</v>
      </c>
      <c r="AC15" s="9">
        <f ca="1">'Working Capital'!AC$36</f>
        <v>189000.00000000006</v>
      </c>
      <c r="AD15" s="9">
        <f ca="1">'Working Capital'!AD$36</f>
        <v>346500.00000000006</v>
      </c>
      <c r="AE15" s="9">
        <f ca="1">'Working Capital'!AE$36</f>
        <v>346500</v>
      </c>
      <c r="AF15" s="9">
        <f ca="1">'Working Capital'!AF$36</f>
        <v>199500.00000000003</v>
      </c>
      <c r="AG15" s="9">
        <f ca="1">'Working Capital'!AG$36</f>
        <v>357000</v>
      </c>
      <c r="AH15" s="9">
        <f ca="1">'Working Capital'!AH$36</f>
        <v>357000</v>
      </c>
      <c r="AI15" s="9">
        <f ca="1">'Working Capital'!AI$36</f>
        <v>514500</v>
      </c>
      <c r="AJ15" s="9">
        <f ca="1">'Working Capital'!AJ$36</f>
        <v>367500</v>
      </c>
      <c r="AK15" s="9">
        <f ca="1">'Working Capital'!AK$36</f>
        <v>367499.99999999994</v>
      </c>
      <c r="AL15" s="9">
        <f ca="1">'Working Capital'!AL$36</f>
        <v>525000</v>
      </c>
      <c r="AM15" s="9">
        <f ca="1">'Working Capital'!AM$36</f>
        <v>378000</v>
      </c>
      <c r="AN15" s="9">
        <f ca="1">'Working Capital'!AN$36</f>
        <v>378000.00000000006</v>
      </c>
      <c r="AO15" s="9">
        <f ca="1">'Working Capital'!AO$36</f>
        <v>388500</v>
      </c>
      <c r="AP15" s="9">
        <f ca="1">'Working Capital'!AP$36</f>
        <v>388500</v>
      </c>
      <c r="AQ15" s="9">
        <f ca="1">'Working Capital'!AQ$36</f>
        <v>546000</v>
      </c>
      <c r="AR15" s="9">
        <f ca="1">'Working Capital'!AR$36</f>
        <v>398999.99999999994</v>
      </c>
      <c r="AS15" s="9">
        <f ca="1">'Working Capital'!AS$36</f>
        <v>556500.00000000012</v>
      </c>
      <c r="AT15" s="9">
        <f ca="1">'Working Capital'!AT$36</f>
        <v>714000.00000000023</v>
      </c>
      <c r="AU15" s="9">
        <f ca="1">'Working Capital'!AU$36</f>
        <v>567000.00000000023</v>
      </c>
      <c r="AV15" s="9">
        <f ca="1">'Working Capital'!AV$36</f>
        <v>724500.00000000023</v>
      </c>
      <c r="AW15" s="9">
        <f ca="1">'Working Capital'!AW$36</f>
        <v>735000.00000000035</v>
      </c>
      <c r="AX15" s="9">
        <f ca="1">'Working Capital'!AX$36</f>
        <v>735000.00000000035</v>
      </c>
      <c r="AY15" s="9">
        <f ca="1">'Working Capital'!AY$36</f>
        <v>745500.00000000035</v>
      </c>
      <c r="AZ15" s="9">
        <f ca="1">'Working Capital'!AZ$36</f>
        <v>756000.00000000023</v>
      </c>
      <c r="BA15" s="9">
        <f ca="1">'Working Capital'!BA$36</f>
        <v>913500.00000000012</v>
      </c>
      <c r="BB15" s="9">
        <f ca="1">'Working Capital'!BB$36</f>
        <v>924000</v>
      </c>
      <c r="BC15" s="9">
        <f ca="1">'Working Capital'!BC$36</f>
        <v>934500.00000000012</v>
      </c>
      <c r="BD15" s="9">
        <f ca="1">'Working Capital'!BD$36</f>
        <v>1092000</v>
      </c>
      <c r="BE15" s="9">
        <f ca="1">'Working Capital'!BE$36</f>
        <v>1102500</v>
      </c>
      <c r="BF15" s="9">
        <f ca="1">'Working Capital'!BF$36</f>
        <v>1113000</v>
      </c>
      <c r="BG15" s="9">
        <f ca="1">'Working Capital'!BG$36</f>
        <v>1123499.9999999998</v>
      </c>
      <c r="BH15" s="9">
        <f ca="1">'Working Capital'!BH$36</f>
        <v>1133999.9999999998</v>
      </c>
      <c r="BI15" s="9">
        <f ca="1">'Working Capital'!BI$36</f>
        <v>1144499.9999999995</v>
      </c>
      <c r="BJ15" s="9">
        <f ca="1">'Working Capital'!BJ$36</f>
        <v>1154999.9999999995</v>
      </c>
      <c r="BK15" s="9">
        <f ca="1">'Working Capital'!BK$36</f>
        <v>1165499.9999999995</v>
      </c>
      <c r="BL15" s="9">
        <f ca="1">'Working Capital'!BL$36</f>
        <v>1175999.9999999993</v>
      </c>
      <c r="BM15" s="9">
        <f ca="1">'Working Capital'!BM$36</f>
        <v>1186499.9999999993</v>
      </c>
      <c r="BN15" s="9">
        <f ca="1">'Working Capital'!BN$36</f>
        <v>1196999.9999999991</v>
      </c>
      <c r="BO15" s="9">
        <f ca="1">'Working Capital'!BO$36</f>
        <v>1207499.9999999986</v>
      </c>
      <c r="BP15" s="9">
        <f ca="1">'Working Capital'!BP$36</f>
        <v>1217999.9999999986</v>
      </c>
      <c r="BQ15" s="9">
        <f ca="1">'Working Capital'!BQ$36</f>
        <v>1228499.9999999986</v>
      </c>
    </row>
    <row r="16" spans="1:69">
      <c r="E16" s="16" t="str">
        <f xml:space="preserve"> 'Supply Chain finance'!E$15</f>
        <v>Supply Chain Finance balance</v>
      </c>
      <c r="F16" s="16">
        <f xml:space="preserve"> 'Supply Chain finance'!F$15</f>
        <v>0</v>
      </c>
      <c r="G16" s="16" t="str">
        <f xml:space="preserve"> 'Supply Chain finance'!G$15</f>
        <v>GBP</v>
      </c>
      <c r="H16" s="42">
        <f xml:space="preserve"> 'Supply Chain finance'!H$15</f>
        <v>0</v>
      </c>
      <c r="I16" s="16">
        <f xml:space="preserve"> 'Supply Chain finance'!I$15</f>
        <v>0</v>
      </c>
      <c r="J16" s="9">
        <f ca="1">'Supply Chain finance'!J$15</f>
        <v>0</v>
      </c>
      <c r="K16" s="9">
        <f ca="1">'Supply Chain finance'!K$15</f>
        <v>0</v>
      </c>
      <c r="L16" s="9">
        <f ca="1">'Supply Chain finance'!L$15</f>
        <v>0</v>
      </c>
      <c r="M16" s="9">
        <f ca="1">'Supply Chain finance'!M$15</f>
        <v>0</v>
      </c>
      <c r="N16" s="9">
        <f ca="1">'Supply Chain finance'!N$15</f>
        <v>0</v>
      </c>
      <c r="O16" s="9">
        <f ca="1">'Supply Chain finance'!O$15</f>
        <v>0</v>
      </c>
      <c r="P16" s="9">
        <f ca="1">'Supply Chain finance'!P$15</f>
        <v>0</v>
      </c>
      <c r="Q16" s="9">
        <f ca="1">'Supply Chain finance'!Q$15</f>
        <v>0</v>
      </c>
      <c r="R16" s="9">
        <f ca="1">'Supply Chain finance'!R$15</f>
        <v>0</v>
      </c>
      <c r="S16" s="9">
        <f ca="1">'Supply Chain finance'!S$15</f>
        <v>0</v>
      </c>
      <c r="T16" s="9">
        <f ca="1">'Supply Chain finance'!T$15</f>
        <v>0</v>
      </c>
      <c r="U16" s="9">
        <f ca="1">'Supply Chain finance'!U$15</f>
        <v>0</v>
      </c>
      <c r="V16" s="9">
        <f ca="1">'Supply Chain finance'!V$15</f>
        <v>0</v>
      </c>
      <c r="W16" s="9">
        <f ca="1">'Supply Chain finance'!W$15</f>
        <v>0</v>
      </c>
      <c r="X16" s="9">
        <f ca="1">'Supply Chain finance'!X$15</f>
        <v>0</v>
      </c>
      <c r="Y16" s="9">
        <f ca="1">'Supply Chain finance'!Y$15</f>
        <v>0</v>
      </c>
      <c r="Z16" s="9">
        <f ca="1">'Supply Chain finance'!Z$15</f>
        <v>0</v>
      </c>
      <c r="AA16" s="9">
        <f ca="1">'Supply Chain finance'!AA$15</f>
        <v>0</v>
      </c>
      <c r="AB16" s="9">
        <f ca="1">'Supply Chain finance'!AB$15</f>
        <v>0</v>
      </c>
      <c r="AC16" s="9">
        <f ca="1">'Supply Chain finance'!AC$15</f>
        <v>0</v>
      </c>
      <c r="AD16" s="9">
        <f ca="1">'Supply Chain finance'!AD$15</f>
        <v>0</v>
      </c>
      <c r="AE16" s="9">
        <f ca="1">'Supply Chain finance'!AE$15</f>
        <v>0</v>
      </c>
      <c r="AF16" s="9">
        <f ca="1">'Supply Chain finance'!AF$15</f>
        <v>0</v>
      </c>
      <c r="AG16" s="9">
        <f ca="1">'Supply Chain finance'!AG$15</f>
        <v>0</v>
      </c>
      <c r="AH16" s="9">
        <f ca="1">'Supply Chain finance'!AH$15</f>
        <v>0</v>
      </c>
      <c r="AI16" s="9">
        <f ca="1">'Supply Chain finance'!AI$15</f>
        <v>0</v>
      </c>
      <c r="AJ16" s="9">
        <f ca="1">'Supply Chain finance'!AJ$15</f>
        <v>0</v>
      </c>
      <c r="AK16" s="9">
        <f ca="1">'Supply Chain finance'!AK$15</f>
        <v>0</v>
      </c>
      <c r="AL16" s="9">
        <f ca="1">'Supply Chain finance'!AL$15</f>
        <v>0</v>
      </c>
      <c r="AM16" s="9">
        <f ca="1">'Supply Chain finance'!AM$15</f>
        <v>0</v>
      </c>
      <c r="AN16" s="9">
        <f ca="1">'Supply Chain finance'!AN$15</f>
        <v>0</v>
      </c>
      <c r="AO16" s="9">
        <f ca="1">'Supply Chain finance'!AO$15</f>
        <v>0</v>
      </c>
      <c r="AP16" s="9">
        <f ca="1">'Supply Chain finance'!AP$15</f>
        <v>0</v>
      </c>
      <c r="AQ16" s="9">
        <f ca="1">'Supply Chain finance'!AQ$15</f>
        <v>0</v>
      </c>
      <c r="AR16" s="9">
        <f ca="1">'Supply Chain finance'!AR$15</f>
        <v>0</v>
      </c>
      <c r="AS16" s="9">
        <f ca="1">'Supply Chain finance'!AS$15</f>
        <v>0</v>
      </c>
      <c r="AT16" s="9">
        <f ca="1">'Supply Chain finance'!AT$15</f>
        <v>0</v>
      </c>
      <c r="AU16" s="9">
        <f ca="1">'Supply Chain finance'!AU$15</f>
        <v>0</v>
      </c>
      <c r="AV16" s="9">
        <f ca="1">'Supply Chain finance'!AV$15</f>
        <v>0</v>
      </c>
      <c r="AW16" s="9">
        <f ca="1">'Supply Chain finance'!AW$15</f>
        <v>0</v>
      </c>
      <c r="AX16" s="9">
        <f ca="1">'Supply Chain finance'!AX$15</f>
        <v>0</v>
      </c>
      <c r="AY16" s="9">
        <f ca="1">'Supply Chain finance'!AY$15</f>
        <v>0</v>
      </c>
      <c r="AZ16" s="9">
        <f ca="1">'Supply Chain finance'!AZ$15</f>
        <v>0</v>
      </c>
      <c r="BA16" s="9">
        <f ca="1">'Supply Chain finance'!BA$15</f>
        <v>0</v>
      </c>
      <c r="BB16" s="9">
        <f ca="1">'Supply Chain finance'!BB$15</f>
        <v>0</v>
      </c>
      <c r="BC16" s="9">
        <f ca="1">'Supply Chain finance'!BC$15</f>
        <v>0</v>
      </c>
      <c r="BD16" s="9">
        <f ca="1">'Supply Chain finance'!BD$15</f>
        <v>0</v>
      </c>
      <c r="BE16" s="9">
        <f ca="1">'Supply Chain finance'!BE$15</f>
        <v>0</v>
      </c>
      <c r="BF16" s="9">
        <f ca="1">'Supply Chain finance'!BF$15</f>
        <v>0</v>
      </c>
      <c r="BG16" s="9">
        <f ca="1">'Supply Chain finance'!BG$15</f>
        <v>0</v>
      </c>
      <c r="BH16" s="9">
        <f ca="1">'Supply Chain finance'!BH$15</f>
        <v>0</v>
      </c>
      <c r="BI16" s="9">
        <f ca="1">'Supply Chain finance'!BI$15</f>
        <v>0</v>
      </c>
      <c r="BJ16" s="9">
        <f ca="1">'Supply Chain finance'!BJ$15</f>
        <v>0</v>
      </c>
      <c r="BK16" s="9">
        <f ca="1">'Supply Chain finance'!BK$15</f>
        <v>0</v>
      </c>
      <c r="BL16" s="9">
        <f ca="1">'Supply Chain finance'!BL$15</f>
        <v>0</v>
      </c>
      <c r="BM16" s="9">
        <f ca="1">'Supply Chain finance'!BM$15</f>
        <v>0</v>
      </c>
      <c r="BN16" s="9">
        <f ca="1">'Supply Chain finance'!BN$15</f>
        <v>0</v>
      </c>
      <c r="BO16" s="9">
        <f ca="1">'Supply Chain finance'!BO$15</f>
        <v>0</v>
      </c>
      <c r="BP16" s="9">
        <f ca="1">'Supply Chain finance'!BP$15</f>
        <v>0</v>
      </c>
      <c r="BQ16" s="9">
        <f ca="1">'Supply Chain finance'!BQ$15</f>
        <v>0</v>
      </c>
    </row>
    <row r="17" spans="5:16384">
      <c r="E17" s="16" t="str">
        <f xml:space="preserve"> 'Invoice finance'!E$15</f>
        <v>Invoice finance balance</v>
      </c>
      <c r="F17" s="16">
        <f xml:space="preserve"> 'Invoice finance'!F$15</f>
        <v>0</v>
      </c>
      <c r="G17" s="16" t="str">
        <f xml:space="preserve"> 'Invoice finance'!G$15</f>
        <v>GBP</v>
      </c>
      <c r="H17" s="42">
        <f xml:space="preserve"> 'Invoice finance'!H$15</f>
        <v>0</v>
      </c>
      <c r="I17" s="16">
        <f xml:space="preserve"> 'Invoice finance'!I$15</f>
        <v>0</v>
      </c>
      <c r="J17" s="9">
        <f ca="1">'Invoice finance'!J$15</f>
        <v>0</v>
      </c>
      <c r="K17" s="9">
        <f ca="1">'Invoice finance'!K$15</f>
        <v>0</v>
      </c>
      <c r="L17" s="9">
        <f ca="1">'Invoice finance'!L$15</f>
        <v>0</v>
      </c>
      <c r="M17" s="9">
        <f ca="1">'Invoice finance'!M$15</f>
        <v>0</v>
      </c>
      <c r="N17" s="9">
        <f ca="1">'Invoice finance'!N$15</f>
        <v>0</v>
      </c>
      <c r="O17" s="9">
        <f ca="1">'Invoice finance'!O$15</f>
        <v>0</v>
      </c>
      <c r="P17" s="9">
        <f ca="1">'Invoice finance'!P$15</f>
        <v>0</v>
      </c>
      <c r="Q17" s="9">
        <f ca="1">'Invoice finance'!Q$15</f>
        <v>0</v>
      </c>
      <c r="R17" s="9">
        <f ca="1">'Invoice finance'!R$15</f>
        <v>0</v>
      </c>
      <c r="S17" s="9">
        <f ca="1">'Invoice finance'!S$15</f>
        <v>0</v>
      </c>
      <c r="T17" s="9">
        <f ca="1">'Invoice finance'!T$15</f>
        <v>0</v>
      </c>
      <c r="U17" s="9">
        <f ca="1">'Invoice finance'!U$15</f>
        <v>0</v>
      </c>
      <c r="V17" s="9">
        <f ca="1">'Invoice finance'!V$15</f>
        <v>0</v>
      </c>
      <c r="W17" s="9">
        <f ca="1">'Invoice finance'!W$15</f>
        <v>0</v>
      </c>
      <c r="X17" s="9">
        <f ca="1">'Invoice finance'!X$15</f>
        <v>0</v>
      </c>
      <c r="Y17" s="9">
        <f ca="1">'Invoice finance'!Y$15</f>
        <v>0</v>
      </c>
      <c r="Z17" s="9">
        <f ca="1">'Invoice finance'!Z$15</f>
        <v>0</v>
      </c>
      <c r="AA17" s="9">
        <f ca="1">'Invoice finance'!AA$15</f>
        <v>0</v>
      </c>
      <c r="AB17" s="9">
        <f ca="1">'Invoice finance'!AB$15</f>
        <v>0</v>
      </c>
      <c r="AC17" s="9">
        <f ca="1">'Invoice finance'!AC$15</f>
        <v>0</v>
      </c>
      <c r="AD17" s="9">
        <f ca="1">'Invoice finance'!AD$15</f>
        <v>0</v>
      </c>
      <c r="AE17" s="9">
        <f ca="1">'Invoice finance'!AE$15</f>
        <v>0</v>
      </c>
      <c r="AF17" s="9">
        <f ca="1">'Invoice finance'!AF$15</f>
        <v>0</v>
      </c>
      <c r="AG17" s="9">
        <f ca="1">'Invoice finance'!AG$15</f>
        <v>0</v>
      </c>
      <c r="AH17" s="9">
        <f ca="1">'Invoice finance'!AH$15</f>
        <v>0</v>
      </c>
      <c r="AI17" s="9">
        <f ca="1">'Invoice finance'!AI$15</f>
        <v>0</v>
      </c>
      <c r="AJ17" s="9">
        <f ca="1">'Invoice finance'!AJ$15</f>
        <v>0</v>
      </c>
      <c r="AK17" s="9">
        <f ca="1">'Invoice finance'!AK$15</f>
        <v>0</v>
      </c>
      <c r="AL17" s="9">
        <f ca="1">'Invoice finance'!AL$15</f>
        <v>0</v>
      </c>
      <c r="AM17" s="9">
        <f ca="1">'Invoice finance'!AM$15</f>
        <v>0</v>
      </c>
      <c r="AN17" s="9">
        <f ca="1">'Invoice finance'!AN$15</f>
        <v>0</v>
      </c>
      <c r="AO17" s="9">
        <f ca="1">'Invoice finance'!AO$15</f>
        <v>0</v>
      </c>
      <c r="AP17" s="9">
        <f ca="1">'Invoice finance'!AP$15</f>
        <v>0</v>
      </c>
      <c r="AQ17" s="9">
        <f ca="1">'Invoice finance'!AQ$15</f>
        <v>0</v>
      </c>
      <c r="AR17" s="9">
        <f ca="1">'Invoice finance'!AR$15</f>
        <v>0</v>
      </c>
      <c r="AS17" s="9">
        <f ca="1">'Invoice finance'!AS$15</f>
        <v>0</v>
      </c>
      <c r="AT17" s="9">
        <f ca="1">'Invoice finance'!AT$15</f>
        <v>0</v>
      </c>
      <c r="AU17" s="9">
        <f ca="1">'Invoice finance'!AU$15</f>
        <v>0</v>
      </c>
      <c r="AV17" s="9">
        <f ca="1">'Invoice finance'!AV$15</f>
        <v>0</v>
      </c>
      <c r="AW17" s="9">
        <f ca="1">'Invoice finance'!AW$15</f>
        <v>0</v>
      </c>
      <c r="AX17" s="9">
        <f ca="1">'Invoice finance'!AX$15</f>
        <v>0</v>
      </c>
      <c r="AY17" s="9">
        <f ca="1">'Invoice finance'!AY$15</f>
        <v>0</v>
      </c>
      <c r="AZ17" s="9">
        <f ca="1">'Invoice finance'!AZ$15</f>
        <v>0</v>
      </c>
      <c r="BA17" s="9">
        <f ca="1">'Invoice finance'!BA$15</f>
        <v>0</v>
      </c>
      <c r="BB17" s="9">
        <f ca="1">'Invoice finance'!BB$15</f>
        <v>0</v>
      </c>
      <c r="BC17" s="9">
        <f ca="1">'Invoice finance'!BC$15</f>
        <v>0</v>
      </c>
      <c r="BD17" s="9">
        <f ca="1">'Invoice finance'!BD$15</f>
        <v>0</v>
      </c>
      <c r="BE17" s="9">
        <f ca="1">'Invoice finance'!BE$15</f>
        <v>0</v>
      </c>
      <c r="BF17" s="9">
        <f ca="1">'Invoice finance'!BF$15</f>
        <v>0</v>
      </c>
      <c r="BG17" s="9">
        <f ca="1">'Invoice finance'!BG$15</f>
        <v>0</v>
      </c>
      <c r="BH17" s="9">
        <f ca="1">'Invoice finance'!BH$15</f>
        <v>0</v>
      </c>
      <c r="BI17" s="9">
        <f ca="1">'Invoice finance'!BI$15</f>
        <v>0</v>
      </c>
      <c r="BJ17" s="9">
        <f ca="1">'Invoice finance'!BJ$15</f>
        <v>0</v>
      </c>
      <c r="BK17" s="9">
        <f ca="1">'Invoice finance'!BK$15</f>
        <v>0</v>
      </c>
      <c r="BL17" s="9">
        <f ca="1">'Invoice finance'!BL$15</f>
        <v>0</v>
      </c>
      <c r="BM17" s="9">
        <f ca="1">'Invoice finance'!BM$15</f>
        <v>0</v>
      </c>
      <c r="BN17" s="9">
        <f ca="1">'Invoice finance'!BN$15</f>
        <v>0</v>
      </c>
      <c r="BO17" s="9">
        <f ca="1">'Invoice finance'!BO$15</f>
        <v>0</v>
      </c>
      <c r="BP17" s="9">
        <f ca="1">'Invoice finance'!BP$15</f>
        <v>0</v>
      </c>
      <c r="BQ17" s="9">
        <f ca="1">'Invoice finance'!BQ$15</f>
        <v>0</v>
      </c>
    </row>
    <row r="18" spans="5:16384">
      <c r="E18" s="16" t="str">
        <f xml:space="preserve"> 'Asset Finance'!E$15</f>
        <v>Asset Finance balance</v>
      </c>
      <c r="F18" s="16">
        <f xml:space="preserve"> 'Asset Finance'!F$15</f>
        <v>0</v>
      </c>
      <c r="G18" s="16" t="str">
        <f xml:space="preserve"> 'Asset Finance'!G$15</f>
        <v>GBP</v>
      </c>
      <c r="H18" s="42">
        <f xml:space="preserve"> 'Asset Finance'!H$15</f>
        <v>0</v>
      </c>
      <c r="I18" s="16">
        <f xml:space="preserve"> 'Asset Finance'!I$15</f>
        <v>0</v>
      </c>
      <c r="J18" s="9">
        <f ca="1">'Asset Finance'!J$15</f>
        <v>175000</v>
      </c>
      <c r="K18" s="9">
        <f ca="1">'Asset Finance'!K$15</f>
        <v>167708.33333333334</v>
      </c>
      <c r="L18" s="9">
        <f ca="1">'Asset Finance'!L$15</f>
        <v>160720.48611111112</v>
      </c>
      <c r="M18" s="9">
        <f ca="1">'Asset Finance'!M$15</f>
        <v>154023.79918981483</v>
      </c>
      <c r="N18" s="9">
        <f ca="1">'Asset Finance'!N$15</f>
        <v>147606.14089023921</v>
      </c>
      <c r="O18" s="9">
        <f ca="1">'Asset Finance'!O$15</f>
        <v>141455.88501981259</v>
      </c>
      <c r="P18" s="9">
        <f ca="1">'Asset Finance'!P$15</f>
        <v>310561.88981065375</v>
      </c>
      <c r="Q18" s="9">
        <f ca="1">'Asset Finance'!Q$15</f>
        <v>297621.81106854317</v>
      </c>
      <c r="R18" s="9">
        <f ca="1">'Asset Finance'!R$15</f>
        <v>285220.90227402054</v>
      </c>
      <c r="S18" s="9">
        <f ca="1">'Asset Finance'!S$15</f>
        <v>273336.69801260304</v>
      </c>
      <c r="T18" s="9">
        <f ca="1">'Asset Finance'!T$15</f>
        <v>261947.66892874459</v>
      </c>
      <c r="U18" s="9">
        <f ca="1">'Asset Finance'!U$15</f>
        <v>251033.18272338025</v>
      </c>
      <c r="V18" s="9">
        <f ca="1">'Asset Finance'!V$15</f>
        <v>415573.46677657275</v>
      </c>
      <c r="W18" s="9">
        <f ca="1">'Asset Finance'!W$15</f>
        <v>398257.90566088224</v>
      </c>
      <c r="X18" s="9">
        <f ca="1">'Asset Finance'!X$15</f>
        <v>381663.82625834551</v>
      </c>
      <c r="Y18" s="9">
        <f ca="1">'Asset Finance'!Y$15</f>
        <v>365761.16683091444</v>
      </c>
      <c r="Z18" s="9">
        <f ca="1">'Asset Finance'!Z$15</f>
        <v>525521.11821295973</v>
      </c>
      <c r="AA18" s="9">
        <f ca="1">'Asset Finance'!AA$15</f>
        <v>503624.40495408641</v>
      </c>
      <c r="AB18" s="9">
        <f ca="1">'Asset Finance'!AB$15</f>
        <v>482640.05474766612</v>
      </c>
      <c r="AC18" s="9">
        <f ca="1">'Asset Finance'!AC$15</f>
        <v>462530.05246651336</v>
      </c>
      <c r="AD18" s="9">
        <f ca="1">'Asset Finance'!AD$15</f>
        <v>618257.96694707533</v>
      </c>
      <c r="AE18" s="9">
        <f ca="1">'Asset Finance'!AE$15</f>
        <v>592497.21832428058</v>
      </c>
      <c r="AF18" s="9">
        <f ca="1">'Asset Finance'!AF$15</f>
        <v>567809.83422743552</v>
      </c>
      <c r="AG18" s="9">
        <f ca="1">'Asset Finance'!AG$15</f>
        <v>719151.09113462572</v>
      </c>
      <c r="AH18" s="9">
        <f ca="1">'Asset Finance'!AH$15</f>
        <v>689186.46233734966</v>
      </c>
      <c r="AI18" s="9">
        <f ca="1">'Asset Finance'!AI$15</f>
        <v>835470.35973996005</v>
      </c>
      <c r="AJ18" s="9">
        <f ca="1">'Asset Finance'!AJ$15</f>
        <v>800659.09475079505</v>
      </c>
      <c r="AK18" s="9">
        <f ca="1">'Asset Finance'!AK$15</f>
        <v>767298.29913617857</v>
      </c>
      <c r="AL18" s="9">
        <f ca="1">'Asset Finance'!AL$15</f>
        <v>910327.53667217109</v>
      </c>
      <c r="AM18" s="9">
        <f ca="1">'Asset Finance'!AM$15</f>
        <v>872397.22264416399</v>
      </c>
      <c r="AN18" s="9">
        <f ca="1">'Asset Finance'!AN$15</f>
        <v>836047.33836732386</v>
      </c>
      <c r="AO18" s="9">
        <f ca="1">'Asset Finance'!AO$15</f>
        <v>976212.03260201868</v>
      </c>
      <c r="AP18" s="9">
        <f ca="1">'Asset Finance'!AP$15</f>
        <v>935536.53124360123</v>
      </c>
      <c r="AQ18" s="9">
        <f ca="1">'Asset Finance'!AQ$15</f>
        <v>1071555.8424417847</v>
      </c>
      <c r="AR18" s="9">
        <f ca="1">'Asset Finance'!AR$15</f>
        <v>1026907.6823400436</v>
      </c>
      <c r="AS18" s="9">
        <f ca="1">'Asset Finance'!AS$15</f>
        <v>1159119.8622425417</v>
      </c>
      <c r="AT18" s="9">
        <f ca="1">'Asset Finance'!AT$15</f>
        <v>1285823.2013157692</v>
      </c>
      <c r="AU18" s="9">
        <f ca="1">'Asset Finance'!AU$15</f>
        <v>1232247.2345942787</v>
      </c>
      <c r="AV18" s="9">
        <f ca="1">'Asset Finance'!AV$15</f>
        <v>1355903.5998195172</v>
      </c>
      <c r="AW18" s="9">
        <f ca="1">'Asset Finance'!AW$15</f>
        <v>1474407.616493704</v>
      </c>
      <c r="AX18" s="9">
        <f ca="1">'Asset Finance'!AX$15</f>
        <v>1412973.9658064663</v>
      </c>
      <c r="AY18" s="9">
        <f ca="1">'Asset Finance'!AY$15</f>
        <v>1529100.0505645303</v>
      </c>
      <c r="AZ18" s="9">
        <f ca="1">'Asset Finance'!AZ$15</f>
        <v>1640387.5484576749</v>
      </c>
      <c r="BA18" s="9">
        <f ca="1">'Asset Finance'!BA$15</f>
        <v>1747038.0672719385</v>
      </c>
      <c r="BB18" s="9">
        <f ca="1">'Asset Finance'!BB$15</f>
        <v>1849244.8144689412</v>
      </c>
      <c r="BC18" s="9">
        <f ca="1">'Asset Finance'!BC$15</f>
        <v>1947192.9471994019</v>
      </c>
      <c r="BD18" s="9">
        <f ca="1">'Asset Finance'!BD$15</f>
        <v>2041059.9077327601</v>
      </c>
      <c r="BE18" s="9">
        <f ca="1">'Asset Finance'!BE$15</f>
        <v>2131015.7449105619</v>
      </c>
      <c r="BF18" s="9">
        <f ca="1">'Asset Finance'!BF$15</f>
        <v>2217223.4222059553</v>
      </c>
      <c r="BG18" s="9">
        <f ca="1">'Asset Finance'!BG$15</f>
        <v>2299839.1129473737</v>
      </c>
      <c r="BH18" s="9">
        <f ca="1">'Asset Finance'!BH$15</f>
        <v>2379012.483241233</v>
      </c>
      <c r="BI18" s="9">
        <f ca="1">'Asset Finance'!BI$15</f>
        <v>2454886.9631061815</v>
      </c>
      <c r="BJ18" s="9">
        <f ca="1">'Asset Finance'!BJ$15</f>
        <v>2527600.0063100904</v>
      </c>
      <c r="BK18" s="9">
        <f ca="1">'Asset Finance'!BK$15</f>
        <v>2597283.3393805032</v>
      </c>
      <c r="BL18" s="9">
        <f ca="1">'Asset Finance'!BL$15</f>
        <v>2664063.200239649</v>
      </c>
      <c r="BM18" s="9">
        <f ca="1">'Asset Finance'!BM$15</f>
        <v>2728060.5668963306</v>
      </c>
      <c r="BN18" s="9">
        <f ca="1">'Asset Finance'!BN$15</f>
        <v>2789391.3766089836</v>
      </c>
      <c r="BO18" s="9">
        <f ca="1">'Asset Finance'!BO$15</f>
        <v>2848166.7359169428</v>
      </c>
      <c r="BP18" s="9">
        <f ca="1">'Asset Finance'!BP$15</f>
        <v>2904493.1219204036</v>
      </c>
      <c r="BQ18" s="9">
        <f ca="1">'Asset Finance'!BQ$15</f>
        <v>2958472.5751737203</v>
      </c>
    </row>
    <row r="19" spans="5:16384">
      <c r="E19" s="16" t="str">
        <f xml:space="preserve"> VAT!E$32</f>
        <v>VAT balance</v>
      </c>
      <c r="F19" s="16">
        <f xml:space="preserve"> VAT!F$32</f>
        <v>0</v>
      </c>
      <c r="G19" s="16" t="str">
        <f xml:space="preserve"> VAT!G$32</f>
        <v>GBP</v>
      </c>
      <c r="H19" s="42">
        <f xml:space="preserve"> VAT!H$32</f>
        <v>0</v>
      </c>
      <c r="I19" s="16">
        <f xml:space="preserve"> VAT!I$32</f>
        <v>0</v>
      </c>
      <c r="J19" s="9">
        <f ca="1">VAT!J$32</f>
        <v>-40220</v>
      </c>
      <c r="K19" s="9">
        <f ca="1">VAT!K$32</f>
        <v>-45483.658917580258</v>
      </c>
      <c r="L19" s="9">
        <f ca="1">VAT!L$32</f>
        <v>-5308.42850641322</v>
      </c>
      <c r="M19" s="9">
        <f ca="1">VAT!M$32</f>
        <v>-10775.292237083948</v>
      </c>
      <c r="N19" s="9">
        <f ca="1">VAT!N$32</f>
        <v>-16294.149463501151</v>
      </c>
      <c r="O19" s="9">
        <f ca="1">VAT!O$32</f>
        <v>-5572.1734228684691</v>
      </c>
      <c r="P19" s="9">
        <f ca="1">VAT!P$32</f>
        <v>-46314.800606783698</v>
      </c>
      <c r="Q19" s="9">
        <f ca="1">VAT!Q$32</f>
        <v>68740.257737856227</v>
      </c>
      <c r="R19" s="9">
        <f ca="1">VAT!R$32</f>
        <v>15752.014109771204</v>
      </c>
      <c r="S19" s="9">
        <f ca="1">VAT!S$32</f>
        <v>11222.045205862178</v>
      </c>
      <c r="T19" s="9">
        <f ca="1">VAT!T$32</f>
        <v>5102.8626851205763</v>
      </c>
      <c r="U19" s="9">
        <f ca="1">VAT!U$32</f>
        <v>-6196.7550234558857</v>
      </c>
      <c r="V19" s="9">
        <f ca="1">VAT!V$32</f>
        <v>-47586.755023455888</v>
      </c>
      <c r="W19" s="9">
        <f ca="1">VAT!W$32</f>
        <v>73331.977328029301</v>
      </c>
      <c r="X19" s="9">
        <f ca="1">VAT!X$32</f>
        <v>10034.489581142523</v>
      </c>
      <c r="Y19" s="9">
        <f ca="1">VAT!Y$32</f>
        <v>3247.5237834504405</v>
      </c>
      <c r="Z19" s="9">
        <f ca="1">VAT!Z$32</f>
        <v>-38643.356201628834</v>
      </c>
      <c r="AA19" s="9">
        <f ca="1">VAT!AA$32</f>
        <v>-6997.4292817000678</v>
      </c>
      <c r="AB19" s="9">
        <f ca="1">VAT!AB$32</f>
        <v>-14234.640073612671</v>
      </c>
      <c r="AC19" s="9">
        <f ca="1">VAT!AC$32</f>
        <v>243266.08257053205</v>
      </c>
      <c r="AD19" s="9">
        <f ca="1">VAT!AD$32</f>
        <v>-20868.95033624093</v>
      </c>
      <c r="AE19" s="9">
        <f ca="1">VAT!AE$32</f>
        <v>-27101.113364207602</v>
      </c>
      <c r="AF19" s="9">
        <f ca="1">VAT!AF$32</f>
        <v>-34988.476364123555</v>
      </c>
      <c r="AG19" s="9">
        <f ca="1">VAT!AG$32</f>
        <v>100957.13492645105</v>
      </c>
      <c r="AH19" s="9">
        <f ca="1">VAT!AH$32</f>
        <v>91981.839413896334</v>
      </c>
      <c r="AI19" s="9">
        <f ca="1">VAT!AI$32</f>
        <v>203990.04489077616</v>
      </c>
      <c r="AJ19" s="9">
        <f ca="1">VAT!AJ$32</f>
        <v>37740.50373009668</v>
      </c>
      <c r="AK19" s="9">
        <f ca="1">VAT!AK$32</f>
        <v>204296.76468046539</v>
      </c>
      <c r="AL19" s="9">
        <f ca="1">VAT!AL$32</f>
        <v>193559.19422678204</v>
      </c>
      <c r="AM19" s="9">
        <f ca="1">VAT!AM$32</f>
        <v>26081.030829183583</v>
      </c>
      <c r="AN19" s="9">
        <f ca="1">VAT!AN$32</f>
        <v>197873.29130389681</v>
      </c>
      <c r="AO19" s="9">
        <f ca="1">VAT!AO$32</f>
        <v>336707.53418296378</v>
      </c>
      <c r="AP19" s="9">
        <f ca="1">VAT!AP$32</f>
        <v>175905.86531561724</v>
      </c>
      <c r="AQ19" s="9">
        <f ca="1">VAT!AQ$32</f>
        <v>174953.91544635152</v>
      </c>
      <c r="AR19" s="9">
        <f ca="1">VAT!AR$32</f>
        <v>211457.16615017428</v>
      </c>
      <c r="AS19" s="9">
        <f ca="1">VAT!AS$32</f>
        <v>291795.14847907308</v>
      </c>
      <c r="AT19" s="9">
        <f ca="1">VAT!AT$32</f>
        <v>298165.1906225165</v>
      </c>
      <c r="AU19" s="9">
        <f ca="1">VAT!AU$32</f>
        <v>371087.59641166066</v>
      </c>
      <c r="AV19" s="9">
        <f ca="1">VAT!AV$32</f>
        <v>186775.9064405245</v>
      </c>
      <c r="AW19" s="9">
        <f ca="1">VAT!AW$32</f>
        <v>378296.45946276613</v>
      </c>
      <c r="AX19" s="9">
        <f ca="1">VAT!AX$32</f>
        <v>610187.77625286591</v>
      </c>
      <c r="AY19" s="9">
        <f ca="1">VAT!AY$32</f>
        <v>58605.366415737895</v>
      </c>
      <c r="AZ19" s="9">
        <f ca="1">VAT!AZ$32</f>
        <v>410884.45196055993</v>
      </c>
      <c r="BA19" s="9">
        <f ca="1">VAT!BA$32</f>
        <v>625578.68716786429</v>
      </c>
      <c r="BB19" s="9">
        <f ca="1">VAT!BB$32</f>
        <v>221227.18327054882</v>
      </c>
      <c r="BC19" s="9">
        <f ca="1">VAT!BC$32</f>
        <v>449529.14922285144</v>
      </c>
      <c r="BD19" s="9">
        <f ca="1">VAT!BD$32</f>
        <v>685522.65563876927</v>
      </c>
      <c r="BE19" s="9">
        <f ca="1">VAT!BE$32</f>
        <v>243216.41597105563</v>
      </c>
      <c r="BF19" s="9">
        <f ca="1">VAT!BF$32</f>
        <v>494823.17089939129</v>
      </c>
      <c r="BG19" s="9">
        <f ca="1">VAT!BG$32</f>
        <v>781053.70518652978</v>
      </c>
      <c r="BH19" s="9">
        <f ca="1">VAT!BH$32</f>
        <v>441454.00891815987</v>
      </c>
      <c r="BI19" s="9">
        <f ca="1">VAT!BI$32</f>
        <v>750139.25099852565</v>
      </c>
      <c r="BJ19" s="9">
        <f ca="1">VAT!BJ$32</f>
        <v>1215329.8641746363</v>
      </c>
      <c r="BK19" s="9">
        <f ca="1">VAT!BK$32</f>
        <v>334489.39073877851</v>
      </c>
      <c r="BL19" s="9">
        <f ca="1">VAT!BL$32</f>
        <v>826378.50027102837</v>
      </c>
      <c r="BM19" s="9">
        <f ca="1">VAT!BM$32</f>
        <v>1333198.0654881524</v>
      </c>
      <c r="BN19" s="9">
        <f ca="1">VAT!BN$32</f>
        <v>378067.39412687602</v>
      </c>
      <c r="BO19" s="9">
        <f ca="1">VAT!BO$32</f>
        <v>916812.72145914636</v>
      </c>
      <c r="BP19" s="9">
        <f ca="1">VAT!BP$32</f>
        <v>1473406.8591132574</v>
      </c>
      <c r="BQ19" s="9">
        <f ca="1">VAT!BQ$32</f>
        <v>429412.62476073159</v>
      </c>
    </row>
    <row r="20" spans="5:16384">
      <c r="E20" s="16" t="str">
        <f xml:space="preserve"> 'Corporation tax'!E$78</f>
        <v>Corporation tax creditor</v>
      </c>
      <c r="F20" s="16">
        <f xml:space="preserve"> 'Corporation tax'!F$78</f>
        <v>0</v>
      </c>
      <c r="G20" s="16" t="str">
        <f xml:space="preserve"> 'Corporation tax'!G$78</f>
        <v>GBP</v>
      </c>
      <c r="H20" s="42">
        <f xml:space="preserve"> 'Corporation tax'!H$78</f>
        <v>0</v>
      </c>
      <c r="I20" s="16">
        <f xml:space="preserve"> 'Corporation tax'!I$78</f>
        <v>0</v>
      </c>
      <c r="J20" s="9">
        <f ca="1">'Corporation tax'!J$78</f>
        <v>0</v>
      </c>
      <c r="K20" s="9">
        <f ca="1">'Corporation tax'!K$78</f>
        <v>0</v>
      </c>
      <c r="L20" s="9">
        <f ca="1">'Corporation tax'!L$78</f>
        <v>0</v>
      </c>
      <c r="M20" s="9">
        <f ca="1">'Corporation tax'!M$78</f>
        <v>0</v>
      </c>
      <c r="N20" s="9">
        <f ca="1">'Corporation tax'!N$78</f>
        <v>0</v>
      </c>
      <c r="O20" s="9">
        <f ca="1">'Corporation tax'!O$78</f>
        <v>0</v>
      </c>
      <c r="P20" s="9">
        <f ca="1">'Corporation tax'!P$78</f>
        <v>0</v>
      </c>
      <c r="Q20" s="9">
        <f ca="1">'Corporation tax'!Q$78</f>
        <v>0</v>
      </c>
      <c r="R20" s="9">
        <f ca="1">'Corporation tax'!R$78</f>
        <v>0</v>
      </c>
      <c r="S20" s="9">
        <f ca="1">'Corporation tax'!S$78</f>
        <v>0</v>
      </c>
      <c r="T20" s="9">
        <f ca="1">'Corporation tax'!T$78</f>
        <v>0</v>
      </c>
      <c r="U20" s="9">
        <f ca="1">'Corporation tax'!U$78</f>
        <v>0</v>
      </c>
      <c r="V20" s="9">
        <f ca="1">'Corporation tax'!V$78</f>
        <v>0</v>
      </c>
      <c r="W20" s="9">
        <f ca="1">'Corporation tax'!W$78</f>
        <v>0</v>
      </c>
      <c r="X20" s="9">
        <f ca="1">'Corporation tax'!X$78</f>
        <v>0</v>
      </c>
      <c r="Y20" s="9">
        <f ca="1">'Corporation tax'!Y$78</f>
        <v>0</v>
      </c>
      <c r="Z20" s="9">
        <f ca="1">'Corporation tax'!Z$78</f>
        <v>0</v>
      </c>
      <c r="AA20" s="9">
        <f ca="1">'Corporation tax'!AA$78</f>
        <v>0</v>
      </c>
      <c r="AB20" s="9">
        <f ca="1">'Corporation tax'!AB$78</f>
        <v>0</v>
      </c>
      <c r="AC20" s="9">
        <f ca="1">'Corporation tax'!AC$78</f>
        <v>13325.975932297117</v>
      </c>
      <c r="AD20" s="9">
        <f ca="1">'Corporation tax'!AD$78</f>
        <v>34347.96560952768</v>
      </c>
      <c r="AE20" s="9">
        <f ca="1">'Corporation tax'!AE$78</f>
        <v>54838.848963949837</v>
      </c>
      <c r="AF20" s="9">
        <f ca="1">'Corporation tax'!AF$78</f>
        <v>75064.122964117938</v>
      </c>
      <c r="AG20" s="9">
        <f ca="1">'Corporation tax'!AG$78</f>
        <v>106978.39281702002</v>
      </c>
      <c r="AH20" s="9">
        <f ca="1">'Corporation tax'!AH$78</f>
        <v>135827.80179191061</v>
      </c>
      <c r="AI20" s="9">
        <f ca="1">'Corporation tax'!AI$78</f>
        <v>165376.69590044121</v>
      </c>
      <c r="AJ20" s="9">
        <f ca="1">'Corporation tax'!AJ$78</f>
        <v>195685.12595542119</v>
      </c>
      <c r="AK20" s="9">
        <f ca="1">'Corporation tax'!AK$78</f>
        <v>42829.304598621035</v>
      </c>
      <c r="AL20" s="9">
        <f ca="1">'Corporation tax'!AL$78</f>
        <v>86491.693777383247</v>
      </c>
      <c r="AM20" s="9">
        <f ca="1">'Corporation tax'!AM$78</f>
        <v>131058.68385670075</v>
      </c>
      <c r="AN20" s="9">
        <f ca="1">'Corporation tax'!AN$78</f>
        <v>188290.1374934332</v>
      </c>
      <c r="AO20" s="9">
        <f ca="1">'Corporation tax'!AO$78</f>
        <v>246537.3433238696</v>
      </c>
      <c r="AP20" s="9">
        <f ca="1">'Corporation tax'!AP$78</f>
        <v>317831.06851123407</v>
      </c>
      <c r="AQ20" s="9">
        <f ca="1">'Corporation tax'!AQ$78</f>
        <v>389960.27561447921</v>
      </c>
      <c r="AR20" s="9">
        <f ca="1">'Corporation tax'!AR$78</f>
        <v>463353.40017732419</v>
      </c>
      <c r="AS20" s="9">
        <f ca="1">'Corporation tax'!AS$78</f>
        <v>549993.72394885693</v>
      </c>
      <c r="AT20" s="9">
        <f ca="1">'Corporation tax'!AT$78</f>
        <v>637712.9236881088</v>
      </c>
      <c r="AU20" s="9">
        <f ca="1">'Corporation tax'!AU$78</f>
        <v>726826.44386598445</v>
      </c>
      <c r="AV20" s="9">
        <f ca="1">'Corporation tax'!AV$78</f>
        <v>829461.348841978</v>
      </c>
      <c r="AW20" s="9">
        <f ca="1">'Corporation tax'!AW$78</f>
        <v>103916.9566745247</v>
      </c>
      <c r="AX20" s="9">
        <f ca="1">'Corporation tax'!AX$78</f>
        <v>221502.26560317131</v>
      </c>
      <c r="AY20" s="9">
        <f ca="1">'Corporation tax'!AY$78</f>
        <v>340898.86004735494</v>
      </c>
      <c r="AZ20" s="9">
        <f ca="1">'Corporation tax'!AZ$78</f>
        <v>473870.18826364947</v>
      </c>
      <c r="BA20" s="9">
        <f ca="1">'Corporation tax'!BA$78</f>
        <v>620874.86125588219</v>
      </c>
      <c r="BB20" s="9">
        <f ca="1">'Corporation tax'!BB$78</f>
        <v>769971.42644998198</v>
      </c>
      <c r="BC20" s="9">
        <f ca="1">'Corporation tax'!BC$78</f>
        <v>932992.71807498974</v>
      </c>
      <c r="BD20" s="9">
        <f ca="1">'Corporation tax'!BD$78</f>
        <v>1110547.894726428</v>
      </c>
      <c r="BE20" s="9">
        <f ca="1">'Corporation tax'!BE$78</f>
        <v>1290597.9976512392</v>
      </c>
      <c r="BF20" s="9">
        <f ca="1">'Corporation tax'!BF$78</f>
        <v>1483974.3504206678</v>
      </c>
      <c r="BG20" s="9">
        <f ca="1">'Corporation tax'!BG$78</f>
        <v>1693166.2062783132</v>
      </c>
      <c r="BH20" s="9">
        <f ca="1">'Corporation tax'!BH$78</f>
        <v>1918477.5042626159</v>
      </c>
      <c r="BI20" s="9">
        <f ca="1">'Corporation tax'!BI$78</f>
        <v>241274.78657107102</v>
      </c>
      <c r="BJ20" s="9">
        <f ca="1">'Corporation tax'!BJ$78</f>
        <v>499092.82601214631</v>
      </c>
      <c r="BK20" s="9">
        <f ca="1">'Corporation tax'!BK$78</f>
        <v>773816.03168319841</v>
      </c>
      <c r="BL20" s="9">
        <f ca="1">'Corporation tax'!BL$78</f>
        <v>1065311.9982709016</v>
      </c>
      <c r="BM20" s="9">
        <f ca="1">'Corporation tax'!BM$78</f>
        <v>1374315.0600927605</v>
      </c>
      <c r="BN20" s="9">
        <f ca="1">'Corporation tax'!BN$78</f>
        <v>1701081.4382081479</v>
      </c>
      <c r="BO20" s="9">
        <f ca="1">'Corporation tax'!BO$78</f>
        <v>2045593.9024097088</v>
      </c>
      <c r="BP20" s="9">
        <f ca="1">'Corporation tax'!BP$78</f>
        <v>2408822.7016076059</v>
      </c>
      <c r="BQ20" s="9">
        <f ca="1">'Corporation tax'!BQ$78</f>
        <v>2790847.9047092618</v>
      </c>
    </row>
    <row r="21" spans="5:16384">
      <c r="E21" s="12" t="s">
        <v>222</v>
      </c>
      <c r="F21" s="32"/>
      <c r="G21" s="12" t="s">
        <v>252</v>
      </c>
      <c r="H21" s="54"/>
      <c r="I21" s="32"/>
      <c r="J21" s="12">
        <f t="shared" ref="J21:BQ21" ca="1" si="1" xml:space="preserve"> SUM( J14:J20 )</f>
        <v>292280</v>
      </c>
      <c r="K21" s="12">
        <f t="shared" ca="1" si="1"/>
        <v>279724.67441575311</v>
      </c>
      <c r="L21" s="12">
        <f t="shared" ca="1" si="1"/>
        <v>312912.05760469788</v>
      </c>
      <c r="M21" s="12">
        <f t="shared" ca="1" si="1"/>
        <v>300748.50695273088</v>
      </c>
      <c r="N21" s="12">
        <f t="shared" ca="1" si="1"/>
        <v>288811.99142673804</v>
      </c>
      <c r="O21" s="12">
        <f t="shared" ca="1" si="1"/>
        <v>293383.71159694414</v>
      </c>
      <c r="P21" s="12">
        <f t="shared" ca="1" si="1"/>
        <v>432247.08920387004</v>
      </c>
      <c r="Q21" s="12">
        <f t="shared" ca="1" si="1"/>
        <v>1088292.5057565549</v>
      </c>
      <c r="R21" s="12">
        <f t="shared" ca="1" si="1"/>
        <v>1071637.9588325089</v>
      </c>
      <c r="S21" s="12">
        <f t="shared" ca="1" si="1"/>
        <v>1002835.7621412935</v>
      </c>
      <c r="T21" s="12">
        <f t="shared" ca="1" si="1"/>
        <v>925327.55053669354</v>
      </c>
      <c r="U21" s="12">
        <f t="shared" ca="1" si="1"/>
        <v>843113.44662275282</v>
      </c>
      <c r="V21" s="12">
        <f t="shared" ca="1" si="1"/>
        <v>916763.73067594529</v>
      </c>
      <c r="W21" s="12">
        <f t="shared" ca="1" si="1"/>
        <v>1544271.5418718539</v>
      </c>
      <c r="X21" s="12">
        <f t="shared" ca="1" si="1"/>
        <v>1427393.0947659425</v>
      </c>
      <c r="Y21" s="12">
        <f t="shared" ca="1" si="1"/>
        <v>1284703.4695408193</v>
      </c>
      <c r="Z21" s="12">
        <f t="shared" ca="1" si="1"/>
        <v>1440072.5409377853</v>
      </c>
      <c r="AA21" s="12">
        <f t="shared" ca="1" si="1"/>
        <v>1329821.7545988406</v>
      </c>
      <c r="AB21" s="12">
        <f t="shared" ca="1" si="1"/>
        <v>1034600.193600508</v>
      </c>
      <c r="AC21" s="12">
        <f t="shared" ca="1" si="1"/>
        <v>2429604.6392959668</v>
      </c>
      <c r="AD21" s="12">
        <f t="shared" ca="1" si="1"/>
        <v>2427819.784672705</v>
      </c>
      <c r="AE21" s="12">
        <f t="shared" ca="1" si="1"/>
        <v>2243929.7328504771</v>
      </c>
      <c r="AF21" s="12">
        <f t="shared" ca="1" si="1"/>
        <v>1904580.259753884</v>
      </c>
      <c r="AG21" s="12">
        <f t="shared" ca="1" si="1"/>
        <v>2861281.3978045508</v>
      </c>
      <c r="AH21" s="12">
        <f t="shared" ca="1" si="1"/>
        <v>2617190.8824696108</v>
      </c>
      <c r="AI21" s="12">
        <f t="shared" ca="1" si="1"/>
        <v>3603882.583727289</v>
      </c>
      <c r="AJ21" s="12">
        <f t="shared" ca="1" si="1"/>
        <v>3276248.1910989285</v>
      </c>
      <c r="AK21" s="12">
        <f t="shared" ca="1" si="1"/>
        <v>3826318.2203058172</v>
      </c>
      <c r="AL21" s="12">
        <f t="shared" ca="1" si="1"/>
        <v>4012594.726650537</v>
      </c>
      <c r="AM21" s="12">
        <f t="shared" ca="1" si="1"/>
        <v>3560839.9985644948</v>
      </c>
      <c r="AN21" s="12">
        <f t="shared" ca="1" si="1"/>
        <v>4272727.3270373149</v>
      </c>
      <c r="AO21" s="12">
        <f t="shared" ca="1" si="1"/>
        <v>5143352.1916643213</v>
      </c>
      <c r="AP21" s="12">
        <f t="shared" ca="1" si="1"/>
        <v>5479558.2255938333</v>
      </c>
      <c r="AQ21" s="12">
        <f t="shared" ca="1" si="1"/>
        <v>5594778.875569961</v>
      </c>
      <c r="AR21" s="12">
        <f t="shared" ca="1" si="1"/>
        <v>5267878.808536537</v>
      </c>
      <c r="AS21" s="12">
        <f t="shared" ca="1" si="1"/>
        <v>6862740.3296481175</v>
      </c>
      <c r="AT21" s="12">
        <f t="shared" ca="1" si="1"/>
        <v>6944044.0019749412</v>
      </c>
      <c r="AU21" s="12">
        <f t="shared" ca="1" si="1"/>
        <v>6757160.4182225335</v>
      </c>
      <c r="AV21" s="12">
        <f t="shared" ca="1" si="1"/>
        <v>7482764.0264993608</v>
      </c>
      <c r="AW21" s="12">
        <f t="shared" ca="1" si="1"/>
        <v>7618052.3640835211</v>
      </c>
      <c r="AX21" s="12">
        <f t="shared" ca="1" si="1"/>
        <v>8402368.9312457871</v>
      </c>
      <c r="AY21" s="12">
        <f t="shared" ca="1" si="1"/>
        <v>7889985.3247936266</v>
      </c>
      <c r="AZ21" s="12">
        <f t="shared" ca="1" si="1"/>
        <v>9687089.7844464816</v>
      </c>
      <c r="BA21" s="12">
        <f t="shared" ca="1" si="1"/>
        <v>10741983.058895493</v>
      </c>
      <c r="BB21" s="12">
        <f t="shared" ca="1" si="1"/>
        <v>11047452.575356521</v>
      </c>
      <c r="BC21" s="12">
        <f t="shared" ca="1" si="1"/>
        <v>11956820.44719971</v>
      </c>
      <c r="BD21" s="12">
        <f t="shared" ca="1" si="1"/>
        <v>12993866.974688549</v>
      </c>
      <c r="BE21" s="12">
        <f t="shared" ca="1" si="1"/>
        <v>13224027.423368616</v>
      </c>
      <c r="BF21" s="12">
        <f t="shared" ca="1" si="1"/>
        <v>14128336.181687195</v>
      </c>
      <c r="BG21" s="12">
        <f t="shared" ca="1" si="1"/>
        <v>15169255.929210344</v>
      </c>
      <c r="BH21" s="12">
        <f t="shared" ca="1" si="1"/>
        <v>16288156.375198897</v>
      </c>
      <c r="BI21" s="12">
        <f t="shared" ca="1" si="1"/>
        <v>15400264.291090559</v>
      </c>
      <c r="BJ21" s="12">
        <f t="shared" ca="1" si="1"/>
        <v>17295453.729107738</v>
      </c>
      <c r="BK21" s="12">
        <f t="shared" ca="1" si="1"/>
        <v>17115232.434675887</v>
      </c>
      <c r="BL21" s="12">
        <f t="shared" ca="1" si="1"/>
        <v>19018205.826546405</v>
      </c>
      <c r="BM21" s="12">
        <f t="shared" ca="1" si="1"/>
        <v>20932086.8417328</v>
      </c>
      <c r="BN21" s="12">
        <f t="shared" ca="1" si="1"/>
        <v>20660215.678178649</v>
      </c>
      <c r="BO21" s="12">
        <f t="shared" ca="1" si="1"/>
        <v>22604434.141003203</v>
      </c>
      <c r="BP21" s="12">
        <f t="shared" ca="1" si="1"/>
        <v>24571739.127162591</v>
      </c>
      <c r="BQ21" s="12">
        <f t="shared" ca="1" si="1"/>
        <v>24217395.9562007</v>
      </c>
    </row>
    <row r="23" spans="5:16384">
      <c r="E23" s="67" t="str">
        <f xml:space="preserve"> Financials!E$24</f>
        <v>Net Assets</v>
      </c>
      <c r="F23" s="67"/>
      <c r="G23" s="67" t="str">
        <f xml:space="preserve"> Financials!G$24</f>
        <v>GBP</v>
      </c>
      <c r="H23" s="110">
        <f xml:space="preserve"> Financials!H$24</f>
        <v>0</v>
      </c>
      <c r="I23" s="67">
        <f xml:space="preserve"> Financials!I$24</f>
        <v>0</v>
      </c>
      <c r="J23" s="17">
        <f ca="1">Financials!J$24</f>
        <v>-52200</v>
      </c>
      <c r="K23" s="17">
        <f ca="1">Financials!K$24</f>
        <v>-113294.92250913591</v>
      </c>
      <c r="L23" s="17">
        <f ca="1">Financials!L$24</f>
        <v>-174788.92979549034</v>
      </c>
      <c r="M23" s="17">
        <f ca="1">Financials!M$24</f>
        <v>-237820.70367627172</v>
      </c>
      <c r="N23" s="17">
        <f ca="1">Financials!N$24</f>
        <v>-301327.7679350425</v>
      </c>
      <c r="O23" s="17">
        <f ca="1">Financials!O$24</f>
        <v>-365325.20976966218</v>
      </c>
      <c r="P23" s="17">
        <f ca="1">Financials!P$24</f>
        <v>-430986.18750894646</v>
      </c>
      <c r="Q23" s="17">
        <f ca="1">Financials!Q$24</f>
        <v>-455307.53634494334</v>
      </c>
      <c r="R23" s="17">
        <f ca="1">Financials!R$24</f>
        <v>-471189.75361196895</v>
      </c>
      <c r="S23" s="17">
        <f ca="1">Financials!S$24</f>
        <v>-488198.20161444182</v>
      </c>
      <c r="T23" s="17">
        <f ca="1">Financials!T$24</f>
        <v>-505795.60480860859</v>
      </c>
      <c r="U23" s="17">
        <f ca="1">Financials!U$24</f>
        <v>-524092.80616935919</v>
      </c>
      <c r="V23" s="17">
        <f ca="1">Financials!V$24</f>
        <v>-544249.69405418169</v>
      </c>
      <c r="W23" s="17">
        <f ca="1">Financials!W$24</f>
        <v>-520599.38023444253</v>
      </c>
      <c r="X23" s="17">
        <f ca="1">Financials!X$24</f>
        <v>-490810.77721444704</v>
      </c>
      <c r="Y23" s="17">
        <f ca="1">Financials!Y$24</f>
        <v>-463099.86069975677</v>
      </c>
      <c r="Z23" s="17">
        <f ca="1">Financials!Z$24</f>
        <v>-436322.0683294225</v>
      </c>
      <c r="AA23" s="17">
        <f ca="1">Financials!AA$24</f>
        <v>-418966.50193450938</v>
      </c>
      <c r="AB23" s="17">
        <f ca="1">Financials!AB$24</f>
        <v>-403862.77255332947</v>
      </c>
      <c r="AC23" s="17">
        <f ca="1">Financials!AC$24</f>
        <v>-343141.28787617013</v>
      </c>
      <c r="AD23" s="17">
        <f ca="1">Financials!AD$24</f>
        <v>-291303.52951702429</v>
      </c>
      <c r="AE23" s="17">
        <f ca="1">Financials!AE$24</f>
        <v>-249920.04921231605</v>
      </c>
      <c r="AF23" s="17">
        <f ca="1">Financials!AF$24</f>
        <v>-209427.2680004721</v>
      </c>
      <c r="AG23" s="17">
        <f ca="1">Financials!AG$24</f>
        <v>-122013.92081704643</v>
      </c>
      <c r="AH23" s="17">
        <f ca="1">Financials!AH$24</f>
        <v>-55160.625525048468</v>
      </c>
      <c r="AI23" s="17">
        <f ca="1">Financials!AI$24</f>
        <v>15419.541160157882</v>
      </c>
      <c r="AJ23" s="17">
        <f ca="1">Financials!AJ$24</f>
        <v>81544.340408759192</v>
      </c>
      <c r="AK23" s="17">
        <f ca="1">Financials!AK$24</f>
        <v>198803.43393082451</v>
      </c>
      <c r="AL23" s="17">
        <f ca="1">Financials!AL$24</f>
        <v>320485.63717737887</v>
      </c>
      <c r="AM23" s="17">
        <f ca="1">Financials!AM$24</f>
        <v>438462.07065904792</v>
      </c>
      <c r="AN23" s="17">
        <f ca="1">Financials!AN$24</f>
        <v>608324.24367098324</v>
      </c>
      <c r="AO23" s="17">
        <f ca="1">Financials!AO$24</f>
        <v>783525.89701385796</v>
      </c>
      <c r="AP23" s="17">
        <f ca="1">Financials!AP$24</f>
        <v>1003782.2953305198</v>
      </c>
      <c r="AQ23" s="17">
        <f ca="1">Financials!AQ$24</f>
        <v>1228812.9405455468</v>
      </c>
      <c r="AR23" s="17">
        <f ca="1">Financials!AR$24</f>
        <v>1451932.3518033689</v>
      </c>
      <c r="AS23" s="17">
        <f ca="1">Financials!AS$24</f>
        <v>1729637.4415939068</v>
      </c>
      <c r="AT23" s="17">
        <f ca="1">Financials!AT$24</f>
        <v>2004862.741468857</v>
      </c>
      <c r="AU23" s="17">
        <f ca="1">Financials!AU$24</f>
        <v>2278987.3008378129</v>
      </c>
      <c r="AV23" s="17">
        <f ca="1">Financials!AV$24</f>
        <v>2609102.6780487224</v>
      </c>
      <c r="AW23" s="17">
        <f ca="1">Financials!AW$24</f>
        <v>2937868.9552949816</v>
      </c>
      <c r="AX23" s="17">
        <f ca="1">Financials!AX$24</f>
        <v>3314964.912466161</v>
      </c>
      <c r="AY23" s="17">
        <f ca="1">Financials!AY$24</f>
        <v>3701558.7708926043</v>
      </c>
      <c r="AZ23" s="17">
        <f ca="1">Financials!AZ$24</f>
        <v>4136336.8311913256</v>
      </c>
      <c r="BA23" s="17">
        <f ca="1">Financials!BA$24</f>
        <v>4621283.9380210731</v>
      </c>
      <c r="BB23" s="17">
        <f ca="1">Financials!BB$24</f>
        <v>5108786.3336179405</v>
      </c>
      <c r="BC23" s="17">
        <f ca="1">Financials!BC$24</f>
        <v>5646338.8407885134</v>
      </c>
      <c r="BD23" s="17">
        <f ca="1">Financials!BD$24</f>
        <v>6236547.2887613475</v>
      </c>
      <c r="BE23" s="17">
        <f ca="1">Financials!BE$24</f>
        <v>6831417.5458162744</v>
      </c>
      <c r="BF23" s="17">
        <f ca="1">Financials!BF$24</f>
        <v>7474458.4622393809</v>
      </c>
      <c r="BG23" s="17">
        <f ca="1">Financials!BG$24</f>
        <v>8176469.768348014</v>
      </c>
      <c r="BH23" s="17">
        <f ca="1">Financials!BH$24</f>
        <v>8938907.7648204491</v>
      </c>
      <c r="BI23" s="17">
        <f ca="1">Financials!BI$24</f>
        <v>9761393.6848637536</v>
      </c>
      <c r="BJ23" s="17">
        <f ca="1">Financials!BJ$24</f>
        <v>10646511.757170189</v>
      </c>
      <c r="BK23" s="17">
        <f ca="1">Financials!BK$24</f>
        <v>11595988.624808423</v>
      </c>
      <c r="BL23" s="17">
        <f ca="1">Financials!BL$24</f>
        <v>12609579.327820271</v>
      </c>
      <c r="BM23" s="17">
        <f ca="1">Financials!BM$24</f>
        <v>13690530.124602422</v>
      </c>
      <c r="BN23" s="17">
        <f ca="1">Financials!BN$24</f>
        <v>14840181.367642488</v>
      </c>
      <c r="BO23" s="17">
        <f ca="1">Financials!BO$24</f>
        <v>16058808.976432573</v>
      </c>
      <c r="BP23" s="17">
        <f ca="1">Financials!BP$24</f>
        <v>17350655.9662925</v>
      </c>
      <c r="BQ23" s="17">
        <f ca="1">Financials!BQ$24</f>
        <v>18716388.842557337</v>
      </c>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6" t="str">
        <f xml:space="preserve"> Financials!E$38</f>
        <v>Retained Earnings</v>
      </c>
      <c r="F25" s="16">
        <f xml:space="preserve"> Financials!F$38</f>
        <v>0</v>
      </c>
      <c r="G25" s="16" t="str">
        <f xml:space="preserve"> Financials!G$38</f>
        <v>GBP</v>
      </c>
      <c r="H25" s="42">
        <f xml:space="preserve"> Financials!H$38</f>
        <v>0</v>
      </c>
      <c r="I25" s="16">
        <f xml:space="preserve"> Financials!I$38</f>
        <v>0</v>
      </c>
      <c r="J25" s="9">
        <f ca="1">Financials!J$38</f>
        <v>-52200</v>
      </c>
      <c r="K25" s="9">
        <f ca="1">Financials!K$38</f>
        <v>-113294.92250913588</v>
      </c>
      <c r="L25" s="9">
        <f ca="1">Financials!L$38</f>
        <v>-174788.92979549034</v>
      </c>
      <c r="M25" s="9">
        <f ca="1">Financials!M$38</f>
        <v>-237820.70367627169</v>
      </c>
      <c r="N25" s="9">
        <f ca="1">Financials!N$38</f>
        <v>-301327.7679350425</v>
      </c>
      <c r="O25" s="9">
        <f ca="1">Financials!O$38</f>
        <v>-365325.20976966212</v>
      </c>
      <c r="P25" s="9">
        <f ca="1">Financials!P$38</f>
        <v>-430986.1875089464</v>
      </c>
      <c r="Q25" s="9">
        <f ca="1">Financials!Q$38</f>
        <v>-455307.53634494345</v>
      </c>
      <c r="R25" s="9">
        <f ca="1">Financials!R$38</f>
        <v>-471189.75361196895</v>
      </c>
      <c r="S25" s="9">
        <f ca="1">Financials!S$38</f>
        <v>-488198.20161444182</v>
      </c>
      <c r="T25" s="9">
        <f ca="1">Financials!T$38</f>
        <v>-505795.60480860854</v>
      </c>
      <c r="U25" s="9">
        <f ca="1">Financials!U$38</f>
        <v>-524092.80616935901</v>
      </c>
      <c r="V25" s="9">
        <f ca="1">Financials!V$38</f>
        <v>-544249.69405418157</v>
      </c>
      <c r="W25" s="9">
        <f ca="1">Financials!W$38</f>
        <v>-520599.38023444271</v>
      </c>
      <c r="X25" s="9">
        <f ca="1">Financials!X$38</f>
        <v>-490810.77721444675</v>
      </c>
      <c r="Y25" s="9">
        <f ca="1">Financials!Y$38</f>
        <v>-463099.86069975654</v>
      </c>
      <c r="Z25" s="9">
        <f ca="1">Financials!Z$38</f>
        <v>-436322.06832942209</v>
      </c>
      <c r="AA25" s="9">
        <f ca="1">Financials!AA$38</f>
        <v>-418966.50193450914</v>
      </c>
      <c r="AB25" s="9">
        <f ca="1">Financials!AB$38</f>
        <v>-403862.77255332906</v>
      </c>
      <c r="AC25" s="9">
        <f ca="1">Financials!AC$38</f>
        <v>-343141.28787616937</v>
      </c>
      <c r="AD25" s="9">
        <f ca="1">Financials!AD$38</f>
        <v>-291303.52951702388</v>
      </c>
      <c r="AE25" s="9">
        <f ca="1">Financials!AE$38</f>
        <v>-249920.04921231579</v>
      </c>
      <c r="AF25" s="9">
        <f ca="1">Financials!AF$38</f>
        <v>-209427.26800047196</v>
      </c>
      <c r="AG25" s="9">
        <f ca="1">Financials!AG$38</f>
        <v>-122013.92081704651</v>
      </c>
      <c r="AH25" s="9">
        <f ca="1">Financials!AH$38</f>
        <v>-55160.625525048381</v>
      </c>
      <c r="AI25" s="9">
        <f ca="1">Financials!AI$38</f>
        <v>15419.541160158347</v>
      </c>
      <c r="AJ25" s="9">
        <f ca="1">Financials!AJ$38</f>
        <v>81544.340408759512</v>
      </c>
      <c r="AK25" s="9">
        <f ca="1">Financials!AK$38</f>
        <v>198803.43393082428</v>
      </c>
      <c r="AL25" s="9">
        <f ca="1">Financials!AL$38</f>
        <v>320485.63717737759</v>
      </c>
      <c r="AM25" s="9">
        <f ca="1">Financials!AM$38</f>
        <v>438462.07065904653</v>
      </c>
      <c r="AN25" s="9">
        <f ca="1">Financials!AN$38</f>
        <v>608324.24367098208</v>
      </c>
      <c r="AO25" s="9">
        <f ca="1">Financials!AO$38</f>
        <v>783525.89701385703</v>
      </c>
      <c r="AP25" s="9">
        <f ca="1">Financials!AP$38</f>
        <v>1003782.2953305185</v>
      </c>
      <c r="AQ25" s="9">
        <f ca="1">Financials!AQ$38</f>
        <v>1228812.9405455473</v>
      </c>
      <c r="AR25" s="9">
        <f ca="1">Financials!AR$38</f>
        <v>1451932.3518033694</v>
      </c>
      <c r="AS25" s="9">
        <f ca="1">Financials!AS$38</f>
        <v>1729637.4415939085</v>
      </c>
      <c r="AT25" s="9">
        <f ca="1">Financials!AT$38</f>
        <v>2004862.741468858</v>
      </c>
      <c r="AU25" s="9">
        <f ca="1">Financials!AU$38</f>
        <v>2278987.3008378148</v>
      </c>
      <c r="AV25" s="9">
        <f ca="1">Financials!AV$38</f>
        <v>2609102.6780487243</v>
      </c>
      <c r="AW25" s="9">
        <f ca="1">Financials!AW$38</f>
        <v>2937868.9552949821</v>
      </c>
      <c r="AX25" s="9">
        <f ca="1">Financials!AX$38</f>
        <v>3314964.9124661624</v>
      </c>
      <c r="AY25" s="9">
        <f ca="1">Financials!AY$38</f>
        <v>3701558.7708926075</v>
      </c>
      <c r="AZ25" s="9">
        <f ca="1">Financials!AZ$38</f>
        <v>4136336.8311913284</v>
      </c>
      <c r="BA25" s="9">
        <f ca="1">Financials!BA$38</f>
        <v>4621283.9380210768</v>
      </c>
      <c r="BB25" s="9">
        <f ca="1">Financials!BB$38</f>
        <v>5108786.3336179443</v>
      </c>
      <c r="BC25" s="9">
        <f ca="1">Financials!BC$38</f>
        <v>5646338.8407885162</v>
      </c>
      <c r="BD25" s="9">
        <f ca="1">Financials!BD$38</f>
        <v>6236547.2887613494</v>
      </c>
      <c r="BE25" s="9">
        <f ca="1">Financials!BE$38</f>
        <v>6831417.5458162762</v>
      </c>
      <c r="BF25" s="9">
        <f ca="1">Financials!BF$38</f>
        <v>7474458.4622393819</v>
      </c>
      <c r="BG25" s="9">
        <f ca="1">Financials!BG$38</f>
        <v>8176469.7683480149</v>
      </c>
      <c r="BH25" s="9">
        <f ca="1">Financials!BH$38</f>
        <v>8938907.7648204528</v>
      </c>
      <c r="BI25" s="9">
        <f ca="1">Financials!BI$38</f>
        <v>9761393.6848637499</v>
      </c>
      <c r="BJ25" s="9">
        <f ca="1">Financials!BJ$38</f>
        <v>10646511.757170189</v>
      </c>
      <c r="BK25" s="9">
        <f ca="1">Financials!BK$38</f>
        <v>11595988.624808421</v>
      </c>
      <c r="BL25" s="9">
        <f ca="1">Financials!BL$38</f>
        <v>12609579.327820268</v>
      </c>
      <c r="BM25" s="9">
        <f ca="1">Financials!BM$38</f>
        <v>13690530.124602413</v>
      </c>
      <c r="BN25" s="9">
        <f ca="1">Financials!BN$38</f>
        <v>14840181.367642488</v>
      </c>
      <c r="BO25" s="9">
        <f ca="1">Financials!BO$38</f>
        <v>16058808.976432571</v>
      </c>
      <c r="BP25" s="9">
        <f ca="1">Financials!BP$38</f>
        <v>17350655.966292497</v>
      </c>
      <c r="BQ25" s="9">
        <f ca="1">Financials!BQ$38</f>
        <v>18716388.84255733</v>
      </c>
    </row>
    <row r="26" spans="5:16384">
      <c r="E26" s="16" t="str">
        <f xml:space="preserve"> Equity!E$13</f>
        <v>Share Capital</v>
      </c>
      <c r="F26" s="16">
        <f xml:space="preserve"> Equity!F$13</f>
        <v>0</v>
      </c>
      <c r="G26" s="16" t="str">
        <f xml:space="preserve"> Equity!G$13</f>
        <v>GBP</v>
      </c>
      <c r="H26" s="42">
        <f xml:space="preserve"> Equity!H$13</f>
        <v>0</v>
      </c>
      <c r="I26" s="16">
        <f xml:space="preserve"> Equity!I$13</f>
        <v>0</v>
      </c>
      <c r="J26" s="9">
        <f>Equity!J$13</f>
        <v>0</v>
      </c>
      <c r="K26" s="9">
        <f>Equity!K$13</f>
        <v>0</v>
      </c>
      <c r="L26" s="9">
        <f>Equity!L$13</f>
        <v>0</v>
      </c>
      <c r="M26" s="9">
        <f>Equity!M$13</f>
        <v>0</v>
      </c>
      <c r="N26" s="9">
        <f>Equity!N$13</f>
        <v>0</v>
      </c>
      <c r="O26" s="9">
        <f>Equity!O$13</f>
        <v>0</v>
      </c>
      <c r="P26" s="9">
        <f>Equity!P$13</f>
        <v>0</v>
      </c>
      <c r="Q26" s="9">
        <f>Equity!Q$13</f>
        <v>0</v>
      </c>
      <c r="R26" s="9">
        <f>Equity!R$13</f>
        <v>0</v>
      </c>
      <c r="S26" s="9">
        <f>Equity!S$13</f>
        <v>0</v>
      </c>
      <c r="T26" s="9">
        <f>Equity!T$13</f>
        <v>0</v>
      </c>
      <c r="U26" s="9">
        <f>Equity!U$13</f>
        <v>0</v>
      </c>
      <c r="V26" s="9">
        <f>Equity!V$13</f>
        <v>0</v>
      </c>
      <c r="W26" s="9">
        <f>Equity!W$13</f>
        <v>0</v>
      </c>
      <c r="X26" s="9">
        <f>Equity!X$13</f>
        <v>0</v>
      </c>
      <c r="Y26" s="9">
        <f>Equity!Y$13</f>
        <v>0</v>
      </c>
      <c r="Z26" s="9">
        <f>Equity!Z$13</f>
        <v>0</v>
      </c>
      <c r="AA26" s="9">
        <f>Equity!AA$13</f>
        <v>0</v>
      </c>
      <c r="AB26" s="9">
        <f>Equity!AB$13</f>
        <v>0</v>
      </c>
      <c r="AC26" s="9">
        <f>Equity!AC$13</f>
        <v>0</v>
      </c>
      <c r="AD26" s="9">
        <f>Equity!AD$13</f>
        <v>0</v>
      </c>
      <c r="AE26" s="9">
        <f>Equity!AE$13</f>
        <v>0</v>
      </c>
      <c r="AF26" s="9">
        <f>Equity!AF$13</f>
        <v>0</v>
      </c>
      <c r="AG26" s="9">
        <f>Equity!AG$13</f>
        <v>0</v>
      </c>
      <c r="AH26" s="9">
        <f>Equity!AH$13</f>
        <v>0</v>
      </c>
      <c r="AI26" s="9">
        <f>Equity!AI$13</f>
        <v>0</v>
      </c>
      <c r="AJ26" s="9">
        <f>Equity!AJ$13</f>
        <v>0</v>
      </c>
      <c r="AK26" s="9">
        <f>Equity!AK$13</f>
        <v>0</v>
      </c>
      <c r="AL26" s="9">
        <f>Equity!AL$13</f>
        <v>0</v>
      </c>
      <c r="AM26" s="9">
        <f>Equity!AM$13</f>
        <v>0</v>
      </c>
      <c r="AN26" s="9">
        <f>Equity!AN$13</f>
        <v>0</v>
      </c>
      <c r="AO26" s="9">
        <f>Equity!AO$13</f>
        <v>0</v>
      </c>
      <c r="AP26" s="9">
        <f>Equity!AP$13</f>
        <v>0</v>
      </c>
      <c r="AQ26" s="9">
        <f>Equity!AQ$13</f>
        <v>0</v>
      </c>
      <c r="AR26" s="9">
        <f>Equity!AR$13</f>
        <v>0</v>
      </c>
      <c r="AS26" s="9">
        <f>Equity!AS$13</f>
        <v>0</v>
      </c>
      <c r="AT26" s="9">
        <f>Equity!AT$13</f>
        <v>0</v>
      </c>
      <c r="AU26" s="9">
        <f>Equity!AU$13</f>
        <v>0</v>
      </c>
      <c r="AV26" s="9">
        <f>Equity!AV$13</f>
        <v>0</v>
      </c>
      <c r="AW26" s="9">
        <f>Equity!AW$13</f>
        <v>0</v>
      </c>
      <c r="AX26" s="9">
        <f>Equity!AX$13</f>
        <v>0</v>
      </c>
      <c r="AY26" s="9">
        <f>Equity!AY$13</f>
        <v>0</v>
      </c>
      <c r="AZ26" s="9">
        <f>Equity!AZ$13</f>
        <v>0</v>
      </c>
      <c r="BA26" s="9">
        <f>Equity!BA$13</f>
        <v>0</v>
      </c>
      <c r="BB26" s="9">
        <f>Equity!BB$13</f>
        <v>0</v>
      </c>
      <c r="BC26" s="9">
        <f>Equity!BC$13</f>
        <v>0</v>
      </c>
      <c r="BD26" s="9">
        <f>Equity!BD$13</f>
        <v>0</v>
      </c>
      <c r="BE26" s="9">
        <f>Equity!BE$13</f>
        <v>0</v>
      </c>
      <c r="BF26" s="9">
        <f>Equity!BF$13</f>
        <v>0</v>
      </c>
      <c r="BG26" s="9">
        <f>Equity!BG$13</f>
        <v>0</v>
      </c>
      <c r="BH26" s="9">
        <f>Equity!BH$13</f>
        <v>0</v>
      </c>
      <c r="BI26" s="9">
        <f>Equity!BI$13</f>
        <v>0</v>
      </c>
      <c r="BJ26" s="9">
        <f>Equity!BJ$13</f>
        <v>0</v>
      </c>
      <c r="BK26" s="9">
        <f>Equity!BK$13</f>
        <v>0</v>
      </c>
      <c r="BL26" s="9">
        <f>Equity!BL$13</f>
        <v>0</v>
      </c>
      <c r="BM26" s="9">
        <f>Equity!BM$13</f>
        <v>0</v>
      </c>
      <c r="BN26" s="9">
        <f>Equity!BN$13</f>
        <v>0</v>
      </c>
      <c r="BO26" s="9">
        <f>Equity!BO$13</f>
        <v>0</v>
      </c>
      <c r="BP26" s="9">
        <f>Equity!BP$13</f>
        <v>0</v>
      </c>
      <c r="BQ26" s="9">
        <f>Equity!BQ$13</f>
        <v>0</v>
      </c>
    </row>
    <row r="27" spans="5:16384">
      <c r="E27" s="67" t="str">
        <f xml:space="preserve"> Financials!E$30</f>
        <v>Shareholder Equity</v>
      </c>
      <c r="F27" s="67"/>
      <c r="G27" s="67" t="str">
        <f xml:space="preserve"> Financials!G$30</f>
        <v>GBP</v>
      </c>
      <c r="H27" s="110">
        <f xml:space="preserve"> Financials!H$30</f>
        <v>0</v>
      </c>
      <c r="I27" s="67">
        <f xml:space="preserve"> Financials!I$30</f>
        <v>0</v>
      </c>
      <c r="J27" s="17">
        <f ca="1">Financials!J$30</f>
        <v>-52200</v>
      </c>
      <c r="K27" s="17">
        <f ca="1">Financials!K$30</f>
        <v>-113294.92250913588</v>
      </c>
      <c r="L27" s="17">
        <f ca="1">Financials!L$30</f>
        <v>-174788.92979549034</v>
      </c>
      <c r="M27" s="17">
        <f ca="1">Financials!M$30</f>
        <v>-237820.70367627169</v>
      </c>
      <c r="N27" s="17">
        <f ca="1">Financials!N$30</f>
        <v>-301327.7679350425</v>
      </c>
      <c r="O27" s="17">
        <f ca="1">Financials!O$30</f>
        <v>-365325.20976966212</v>
      </c>
      <c r="P27" s="17">
        <f ca="1">Financials!P$30</f>
        <v>-430986.1875089464</v>
      </c>
      <c r="Q27" s="17">
        <f ca="1">Financials!Q$30</f>
        <v>-455307.53634494345</v>
      </c>
      <c r="R27" s="17">
        <f ca="1">Financials!R$30</f>
        <v>-471189.75361196895</v>
      </c>
      <c r="S27" s="17">
        <f ca="1">Financials!S$30</f>
        <v>-488198.20161444182</v>
      </c>
      <c r="T27" s="17">
        <f ca="1">Financials!T$30</f>
        <v>-505795.60480860854</v>
      </c>
      <c r="U27" s="17">
        <f ca="1">Financials!U$30</f>
        <v>-524092.80616935901</v>
      </c>
      <c r="V27" s="17">
        <f ca="1">Financials!V$30</f>
        <v>-544249.69405418157</v>
      </c>
      <c r="W27" s="17">
        <f ca="1">Financials!W$30</f>
        <v>-520599.38023444271</v>
      </c>
      <c r="X27" s="17">
        <f ca="1">Financials!X$30</f>
        <v>-490810.77721444675</v>
      </c>
      <c r="Y27" s="17">
        <f ca="1">Financials!Y$30</f>
        <v>-463099.86069975654</v>
      </c>
      <c r="Z27" s="17">
        <f ca="1">Financials!Z$30</f>
        <v>-436322.06832942209</v>
      </c>
      <c r="AA27" s="17">
        <f ca="1">Financials!AA$30</f>
        <v>-418966.50193450914</v>
      </c>
      <c r="AB27" s="17">
        <f ca="1">Financials!AB$30</f>
        <v>-403862.77255332906</v>
      </c>
      <c r="AC27" s="17">
        <f ca="1">Financials!AC$30</f>
        <v>-343141.28787616937</v>
      </c>
      <c r="AD27" s="17">
        <f ca="1">Financials!AD$30</f>
        <v>-291303.52951702388</v>
      </c>
      <c r="AE27" s="17">
        <f ca="1">Financials!AE$30</f>
        <v>-249920.04921231579</v>
      </c>
      <c r="AF27" s="17">
        <f ca="1">Financials!AF$30</f>
        <v>-209427.26800047196</v>
      </c>
      <c r="AG27" s="17">
        <f ca="1">Financials!AG$30</f>
        <v>-122013.92081704651</v>
      </c>
      <c r="AH27" s="17">
        <f ca="1">Financials!AH$30</f>
        <v>-55160.625525048381</v>
      </c>
      <c r="AI27" s="17">
        <f ca="1">Financials!AI$30</f>
        <v>15419.541160158347</v>
      </c>
      <c r="AJ27" s="17">
        <f ca="1">Financials!AJ$30</f>
        <v>81544.340408759512</v>
      </c>
      <c r="AK27" s="17">
        <f ca="1">Financials!AK$30</f>
        <v>198803.43393082428</v>
      </c>
      <c r="AL27" s="17">
        <f ca="1">Financials!AL$30</f>
        <v>320485.63717737759</v>
      </c>
      <c r="AM27" s="17">
        <f ca="1">Financials!AM$30</f>
        <v>438462.07065904653</v>
      </c>
      <c r="AN27" s="17">
        <f ca="1">Financials!AN$30</f>
        <v>608324.24367098208</v>
      </c>
      <c r="AO27" s="17">
        <f ca="1">Financials!AO$30</f>
        <v>783525.89701385703</v>
      </c>
      <c r="AP27" s="17">
        <f ca="1">Financials!AP$30</f>
        <v>1003782.2953305185</v>
      </c>
      <c r="AQ27" s="17">
        <f ca="1">Financials!AQ$30</f>
        <v>1228812.9405455473</v>
      </c>
      <c r="AR27" s="17">
        <f ca="1">Financials!AR$30</f>
        <v>1451932.3518033694</v>
      </c>
      <c r="AS27" s="17">
        <f ca="1">Financials!AS$30</f>
        <v>1729637.4415939085</v>
      </c>
      <c r="AT27" s="17">
        <f ca="1">Financials!AT$30</f>
        <v>2004862.741468858</v>
      </c>
      <c r="AU27" s="17">
        <f ca="1">Financials!AU$30</f>
        <v>2278987.3008378148</v>
      </c>
      <c r="AV27" s="17">
        <f ca="1">Financials!AV$30</f>
        <v>2609102.6780487243</v>
      </c>
      <c r="AW27" s="17">
        <f ca="1">Financials!AW$30</f>
        <v>2937868.9552949821</v>
      </c>
      <c r="AX27" s="17">
        <f ca="1">Financials!AX$30</f>
        <v>3314964.9124661624</v>
      </c>
      <c r="AY27" s="17">
        <f ca="1">Financials!AY$30</f>
        <v>3701558.7708926075</v>
      </c>
      <c r="AZ27" s="17">
        <f ca="1">Financials!AZ$30</f>
        <v>4136336.8311913284</v>
      </c>
      <c r="BA27" s="17">
        <f ca="1">Financials!BA$30</f>
        <v>4621283.9380210768</v>
      </c>
      <c r="BB27" s="17">
        <f ca="1">Financials!BB$30</f>
        <v>5108786.3336179443</v>
      </c>
      <c r="BC27" s="17">
        <f ca="1">Financials!BC$30</f>
        <v>5646338.8407885162</v>
      </c>
      <c r="BD27" s="17">
        <f ca="1">Financials!BD$30</f>
        <v>6236547.2887613494</v>
      </c>
      <c r="BE27" s="17">
        <f ca="1">Financials!BE$30</f>
        <v>6831417.5458162762</v>
      </c>
      <c r="BF27" s="17">
        <f ca="1">Financials!BF$30</f>
        <v>7474458.4622393819</v>
      </c>
      <c r="BG27" s="17">
        <f ca="1">Financials!BG$30</f>
        <v>8176469.7683480149</v>
      </c>
      <c r="BH27" s="17">
        <f ca="1">Financials!BH$30</f>
        <v>8938907.7648204528</v>
      </c>
      <c r="BI27" s="17">
        <f ca="1">Financials!BI$30</f>
        <v>9761393.6848637499</v>
      </c>
      <c r="BJ27" s="17">
        <f ca="1">Financials!BJ$30</f>
        <v>10646511.757170189</v>
      </c>
      <c r="BK27" s="17">
        <f ca="1">Financials!BK$30</f>
        <v>11595988.624808421</v>
      </c>
      <c r="BL27" s="17">
        <f ca="1">Financials!BL$30</f>
        <v>12609579.327820268</v>
      </c>
      <c r="BM27" s="17">
        <f ca="1">Financials!BM$30</f>
        <v>13690530.124602413</v>
      </c>
      <c r="BN27" s="17">
        <f ca="1">Financials!BN$30</f>
        <v>14840181.367642488</v>
      </c>
      <c r="BO27" s="17">
        <f ca="1">Financials!BO$30</f>
        <v>16058808.976432571</v>
      </c>
      <c r="BP27" s="17">
        <f ca="1">Financials!BP$30</f>
        <v>17350655.966292497</v>
      </c>
      <c r="BQ27" s="17">
        <f ca="1">Financials!BQ$30</f>
        <v>18716388.84255733</v>
      </c>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91" priority="1" stopIfTrue="1" operator="notEqual">
      <formula>0</formula>
    </cfRule>
    <cfRule type="cellIs" dxfId="90" priority="2" stopIfTrue="1" operator="equal">
      <formula>""</formula>
    </cfRule>
  </conditionalFormatting>
  <conditionalFormatting sqref="J3:BQ3">
    <cfRule type="cellIs" dxfId="89" priority="3" operator="equal">
      <formula>"PPA ext."</formula>
    </cfRule>
    <cfRule type="cellIs" dxfId="88" priority="4" operator="equal">
      <formula>"Delay"</formula>
    </cfRule>
    <cfRule type="cellIs" dxfId="87" priority="5" operator="equal">
      <formula>"Fin Close"</formula>
    </cfRule>
    <cfRule type="cellIs" dxfId="86" priority="6" stopIfTrue="1" operator="equal">
      <formula>"Construction"</formula>
    </cfRule>
    <cfRule type="cellIs" dxfId="8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08984375"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7.6328125" style="43" bestFit="1" customWidth="1"/>
    <col min="9" max="9" width="3.453125" customWidth="1"/>
    <col min="10" max="10" width="11.1796875" bestFit="1" customWidth="1"/>
    <col min="11" max="11" width="11.81640625" bestFit="1" customWidth="1"/>
    <col min="12" max="12" width="11.90625" bestFit="1" customWidth="1"/>
    <col min="13" max="15" width="11.81640625" bestFit="1" customWidth="1"/>
    <col min="16" max="16" width="11.90625" bestFit="1" customWidth="1"/>
    <col min="17" max="19" width="11.81640625" bestFit="1" customWidth="1"/>
    <col min="20" max="20" width="11.90625" bestFit="1" customWidth="1"/>
    <col min="21" max="21" width="11.81640625" bestFit="1" customWidth="1"/>
    <col min="22" max="29" width="13.1796875" bestFit="1" customWidth="1"/>
  </cols>
  <sheetData>
    <row r="1" spans="1:29" s="75" customFormat="1" ht="25.15">
      <c r="A1" s="45" t="str">
        <f ca="1" xml:space="preserve"> RIGHT(CELL("filename", A1), LEN(CELL("filename", A1)) - SEARCH("]", CELL("filename", A1)))</f>
        <v>Balance Sheet Qly</v>
      </c>
      <c r="B1" s="69"/>
      <c r="C1" s="74"/>
      <c r="D1" s="71"/>
      <c r="F1" s="52" t="str">
        <f>HYPERLINK("#Contents!A1","Go to contents")</f>
        <v>Go to contents</v>
      </c>
      <c r="H1" s="47"/>
      <c r="J1" s="47"/>
    </row>
    <row r="2" spans="1:29" s="53" customFormat="1">
      <c r="A2" s="48"/>
      <c r="B2" s="48"/>
      <c r="C2" s="72"/>
      <c r="D2" s="73"/>
      <c r="E2" s="22" t="s">
        <v>324</v>
      </c>
      <c r="F2" s="51">
        <f ca="1" xml:space="preserve"> 'Model Checks and Alerts'!F11</f>
        <v>0</v>
      </c>
      <c r="G2" s="55"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4" customFormat="1">
      <c r="A3" s="48"/>
      <c r="B3" s="48"/>
      <c r="C3" s="72"/>
      <c r="D3" s="73"/>
      <c r="E3" s="39" t="s">
        <v>203</v>
      </c>
      <c r="F3" s="51"/>
      <c r="G3" s="55" t="s">
        <v>97</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8" customFormat="1">
      <c r="A4" s="48"/>
      <c r="B4" s="48"/>
      <c r="C4" s="72"/>
      <c r="D4" s="73"/>
      <c r="E4" s="22" t="s">
        <v>325</v>
      </c>
      <c r="F4"/>
      <c r="G4"/>
      <c r="H4" s="50"/>
      <c r="I4" s="50"/>
      <c r="J4" s="28">
        <f xml:space="preserve"> Time!J$88</f>
        <v>3</v>
      </c>
      <c r="K4" s="28">
        <f xml:space="preserve"> Time!K$88</f>
        <v>6</v>
      </c>
      <c r="L4" s="28">
        <f xml:space="preserve"> Time!L$88</f>
        <v>9</v>
      </c>
      <c r="M4" s="28">
        <f xml:space="preserve"> Time!M$88</f>
        <v>12</v>
      </c>
      <c r="N4" s="28">
        <f xml:space="preserve"> Time!N$88</f>
        <v>15</v>
      </c>
      <c r="O4" s="28">
        <f xml:space="preserve"> Time!O$88</f>
        <v>18</v>
      </c>
      <c r="P4" s="28">
        <f xml:space="preserve"> Time!P$88</f>
        <v>21</v>
      </c>
      <c r="Q4" s="28">
        <f xml:space="preserve"> Time!Q$88</f>
        <v>24</v>
      </c>
      <c r="R4" s="28">
        <f xml:space="preserve"> Time!R$88</f>
        <v>27</v>
      </c>
      <c r="S4" s="28">
        <f xml:space="preserve"> Time!S$88</f>
        <v>30</v>
      </c>
      <c r="T4" s="28">
        <f xml:space="preserve"> Time!T$88</f>
        <v>33</v>
      </c>
      <c r="U4" s="28">
        <f xml:space="preserve"> Time!U$88</f>
        <v>36</v>
      </c>
      <c r="V4" s="28">
        <f xml:space="preserve"> Time!V$88</f>
        <v>39</v>
      </c>
      <c r="W4" s="28">
        <f xml:space="preserve"> Time!W$88</f>
        <v>42</v>
      </c>
      <c r="X4" s="28">
        <f xml:space="preserve"> Time!X$88</f>
        <v>45</v>
      </c>
      <c r="Y4" s="28">
        <f xml:space="preserve"> Time!Y$88</f>
        <v>48</v>
      </c>
      <c r="Z4" s="28">
        <f xml:space="preserve"> Time!Z$88</f>
        <v>51</v>
      </c>
      <c r="AA4" s="28">
        <f xml:space="preserve"> Time!AA$88</f>
        <v>54</v>
      </c>
      <c r="AB4" s="28">
        <f xml:space="preserve"> Time!AB$88</f>
        <v>57</v>
      </c>
      <c r="AC4" s="28">
        <f xml:space="preserve"> Time!AC$88</f>
        <v>60</v>
      </c>
    </row>
    <row r="5" spans="1:29" s="34" customFormat="1">
      <c r="A5" s="48"/>
      <c r="B5" s="48"/>
      <c r="C5" s="72"/>
      <c r="D5" s="73"/>
      <c r="E5" s="22" t="s">
        <v>305</v>
      </c>
      <c r="F5" s="24" t="s">
        <v>248</v>
      </c>
      <c r="G5" s="24" t="s">
        <v>224</v>
      </c>
      <c r="H5" s="24" t="s">
        <v>202</v>
      </c>
      <c r="I5" s="50"/>
      <c r="J5" s="15"/>
      <c r="K5" s="15"/>
      <c r="L5" s="15"/>
      <c r="M5" s="15"/>
      <c r="N5" s="15"/>
      <c r="O5" s="15"/>
      <c r="P5" s="15"/>
    </row>
    <row r="6" spans="1:29" s="43" customFormat="1">
      <c r="A6" s="24"/>
      <c r="B6" s="24"/>
      <c r="C6" s="49"/>
      <c r="D6" s="70"/>
      <c r="F6" s="24"/>
      <c r="G6" s="24"/>
      <c r="H6" s="24"/>
    </row>
    <row r="8" spans="1:29">
      <c r="E8" s="16" t="str">
        <f xml:space="preserve"> Assets!E$21</f>
        <v>Inventory</v>
      </c>
      <c r="F8" s="16">
        <f xml:space="preserve"> Assets!F$21</f>
        <v>0</v>
      </c>
      <c r="G8" s="16" t="str">
        <f xml:space="preserve"> Assets!G$21</f>
        <v>GBP</v>
      </c>
      <c r="H8" s="42">
        <f xml:space="preserve"> Assets!H$21</f>
        <v>0</v>
      </c>
      <c r="I8" s="16">
        <f xml:space="preserve"> Assets!I$21</f>
        <v>0</v>
      </c>
      <c r="J8" s="9">
        <f ca="1" xml:space="preserve"> SUMIF( Time!$J331:$BQ331, Time!J$28, Assets!$J21:$BQ21)</f>
        <v>175000</v>
      </c>
      <c r="K8" s="9">
        <f ca="1" xml:space="preserve"> SUMIF( Time!$J331:$BQ331, Time!K$28, Assets!$J21:$BQ21)</f>
        <v>175000</v>
      </c>
      <c r="L8" s="9">
        <f ca="1" xml:space="preserve"> SUMIF( Time!$J331:$BQ331, Time!L$28, Assets!$J21:$BQ21)</f>
        <v>350000</v>
      </c>
      <c r="M8" s="9">
        <f ca="1" xml:space="preserve"> SUMIF( Time!$J331:$BQ331, Time!M$28, Assets!$J21:$BQ21)</f>
        <v>350000</v>
      </c>
      <c r="N8" s="9">
        <f ca="1" xml:space="preserve"> SUMIF( Time!$J331:$BQ331, Time!N$28, Assets!$J21:$BQ21)</f>
        <v>525000</v>
      </c>
      <c r="O8" s="9">
        <f ca="1" xml:space="preserve"> SUMIF( Time!$J331:$BQ331, Time!O$28, Assets!$J21:$BQ21)</f>
        <v>700000</v>
      </c>
      <c r="P8" s="9">
        <f ca="1" xml:space="preserve"> SUMIF( Time!$J331:$BQ331, Time!P$28, Assets!$J21:$BQ21)</f>
        <v>875000</v>
      </c>
      <c r="Q8" s="9">
        <f ca="1" xml:space="preserve"> SUMIF( Time!$J331:$BQ331, Time!Q$28, Assets!$J21:$BQ21)</f>
        <v>1050000</v>
      </c>
      <c r="R8" s="9">
        <f ca="1" xml:space="preserve"> SUMIF( Time!$J331:$BQ331, Time!R$28, Assets!$J21:$BQ21)</f>
        <v>1169289.5417779363</v>
      </c>
      <c r="S8" s="9">
        <f ca="1" xml:space="preserve"> SUMIF( Time!$J331:$BQ331, Time!S$28, Assets!$J21:$BQ21)</f>
        <v>1277943.8412167949</v>
      </c>
      <c r="T8" s="9">
        <f ca="1" xml:space="preserve"> SUMIF( Time!$J331:$BQ331, Time!T$28, Assets!$J21:$BQ21)</f>
        <v>1373982.551751866</v>
      </c>
      <c r="U8" s="9">
        <f ca="1" xml:space="preserve"> SUMIF( Time!$J331:$BQ331, Time!U$28, Assets!$J21:$BQ21)</f>
        <v>1630176.8000105759</v>
      </c>
      <c r="V8" s="9">
        <f ca="1" xml:space="preserve"> SUMIF( Time!$J331:$BQ331, Time!V$28, Assets!$J21:$BQ21)</f>
        <v>1868692.6108730552</v>
      </c>
      <c r="W8" s="9">
        <f ca="1" xml:space="preserve"> SUMIF( Time!$J331:$BQ331, Time!W$28, Assets!$J21:$BQ21)</f>
        <v>2085918.0535046426</v>
      </c>
      <c r="X8" s="9">
        <f ca="1" xml:space="preserve"> SUMIF( Time!$J331:$BQ331, Time!X$28, Assets!$J21:$BQ21)</f>
        <v>2452904.6535919858</v>
      </c>
      <c r="Y8" s="9">
        <f ca="1" xml:space="preserve"> SUMIF( Time!$J331:$BQ331, Time!Y$28, Assets!$J21:$BQ21)</f>
        <v>2790185.3525249097</v>
      </c>
      <c r="Z8" s="9">
        <f ca="1" xml:space="preserve"> SUMIF( Time!$J331:$BQ331, Time!Z$28, Assets!$J21:$BQ21)</f>
        <v>3042075.4324651109</v>
      </c>
      <c r="AA8" s="9">
        <f ca="1" xml:space="preserve"> SUMIF( Time!$J331:$BQ331, Time!AA$28, Assets!$J21:$BQ21)</f>
        <v>3241870.5858342983</v>
      </c>
      <c r="AB8" s="9">
        <f ca="1" xml:space="preserve"> SUMIF( Time!$J331:$BQ331, Time!AB$28, Assets!$J21:$BQ21)</f>
        <v>3379831.3321304158</v>
      </c>
      <c r="AC8" s="9">
        <f ca="1" xml:space="preserve"> SUMIF( Time!$J331:$BQ331, Time!AC$28, Assets!$J21:$BQ21)</f>
        <v>3445036.4383722316</v>
      </c>
    </row>
    <row r="9" spans="1:29">
      <c r="E9" s="16" t="str">
        <f xml:space="preserve"> Assets!E$30</f>
        <v xml:space="preserve">Depreciation </v>
      </c>
      <c r="F9" s="16">
        <f xml:space="preserve"> Assets!F$30</f>
        <v>0</v>
      </c>
      <c r="G9" s="16" t="str">
        <f xml:space="preserve"> Assets!G$30</f>
        <v>GBP</v>
      </c>
      <c r="H9" s="42">
        <f xml:space="preserve"> Assets!H$30</f>
        <v>0</v>
      </c>
      <c r="I9" s="16">
        <f xml:space="preserve"> Assets!I$30</f>
        <v>0</v>
      </c>
      <c r="J9" s="9">
        <f ca="1" xml:space="preserve"> SUMIF( Time!$J331:$BQ331, Time!J$28, Assets!$J30:$BQ30)</f>
        <v>-14583.333333333334</v>
      </c>
      <c r="K9" s="9">
        <f ca="1" xml:space="preserve"> SUMIF( Time!$J331:$BQ331, Time!K$28, Assets!$J30:$BQ30)</f>
        <v>-36458.333333333336</v>
      </c>
      <c r="L9" s="9">
        <f ca="1" xml:space="preserve"> SUMIF( Time!$J331:$BQ331, Time!L$28, Assets!$J30:$BQ30)</f>
        <v>-72916.666666666672</v>
      </c>
      <c r="M9" s="9">
        <f ca="1" xml:space="preserve"> SUMIF( Time!$J331:$BQ331, Time!M$28, Assets!$J30:$BQ30)</f>
        <v>-116666.66666666666</v>
      </c>
      <c r="N9" s="9">
        <f ca="1" xml:space="preserve"> SUMIF( Time!$J331:$BQ331, Time!N$28, Assets!$J30:$BQ30)</f>
        <v>-175000</v>
      </c>
      <c r="O9" s="9">
        <f ca="1" xml:space="preserve"> SUMIF( Time!$J331:$BQ331, Time!O$28, Assets!$J30:$BQ30)</f>
        <v>-247916.66666666666</v>
      </c>
      <c r="P9" s="9">
        <f ca="1" xml:space="preserve"> SUMIF( Time!$J331:$BQ331, Time!P$28, Assets!$J30:$BQ30)</f>
        <v>-335416.66666666669</v>
      </c>
      <c r="Q9" s="9">
        <f ca="1" xml:space="preserve"> SUMIF( Time!$J331:$BQ331, Time!Q$28, Assets!$J30:$BQ30)</f>
        <v>-444791.66666666663</v>
      </c>
      <c r="R9" s="9">
        <f ca="1" xml:space="preserve"> SUMIF( Time!$J331:$BQ331, Time!R$28, Assets!$J30:$BQ30)</f>
        <v>-525391.16035098862</v>
      </c>
      <c r="S9" s="9">
        <f ca="1" xml:space="preserve"> SUMIF( Time!$J331:$BQ331, Time!S$28, Assets!$J30:$BQ30)</f>
        <v>-609840.56542930205</v>
      </c>
      <c r="T9" s="9">
        <f ca="1" xml:space="preserve"> SUMIF( Time!$J331:$BQ331, Time!T$28, Assets!$J30:$BQ30)</f>
        <v>-694750.87928694463</v>
      </c>
      <c r="U9" s="9">
        <f ca="1" xml:space="preserve"> SUMIF( Time!$J331:$BQ331, Time!U$28, Assets!$J30:$BQ30)</f>
        <v>-783513.93599258631</v>
      </c>
      <c r="V9" s="9">
        <f ca="1" xml:space="preserve"> SUMIF( Time!$J331:$BQ331, Time!V$28, Assets!$J30:$BQ30)</f>
        <v>-885920.40798504965</v>
      </c>
      <c r="W9" s="9">
        <f ca="1" xml:space="preserve"> SUMIF( Time!$J331:$BQ331, Time!W$28, Assets!$J30:$BQ30)</f>
        <v>-995996.63008137571</v>
      </c>
      <c r="X9" s="9">
        <f ca="1" xml:space="preserve"> SUMIF( Time!$J331:$BQ331, Time!X$28, Assets!$J30:$BQ30)</f>
        <v>-1114269.0952785963</v>
      </c>
      <c r="Y9" s="9">
        <f ca="1" xml:space="preserve"> SUMIF( Time!$J331:$BQ331, Time!Y$28, Assets!$J30:$BQ30)</f>
        <v>-1247508.2156888754</v>
      </c>
      <c r="Z9" s="9">
        <f ca="1" xml:space="preserve"> SUMIF( Time!$J331:$BQ331, Time!Z$28, Assets!$J30:$BQ30)</f>
        <v>-1334105.5812033135</v>
      </c>
      <c r="AA9" s="9">
        <f ca="1" xml:space="preserve"> SUMIF( Time!$J331:$BQ331, Time!AA$28, Assets!$J30:$BQ30)</f>
        <v>-1398007.3382996104</v>
      </c>
      <c r="AB9" s="9">
        <f ca="1" xml:space="preserve"> SUMIF( Time!$J331:$BQ331, Time!AB$28, Assets!$J30:$BQ30)</f>
        <v>-1422574.2538180149</v>
      </c>
      <c r="AC9" s="9">
        <f ca="1" xml:space="preserve"> SUMIF( Time!$J331:$BQ331, Time!AC$28, Assets!$J30:$BQ30)</f>
        <v>-1388690.7429198015</v>
      </c>
    </row>
    <row r="10" spans="1:29">
      <c r="E10" s="16" t="str">
        <f xml:space="preserve"> 'Working Capital'!E$45</f>
        <v>Debtors</v>
      </c>
      <c r="F10" s="16">
        <f xml:space="preserve"> 'Working Capital'!F$45</f>
        <v>0</v>
      </c>
      <c r="G10" s="16" t="str">
        <f xml:space="preserve"> 'Working Capital'!G$45</f>
        <v>GBP</v>
      </c>
      <c r="H10" s="42">
        <f xml:space="preserve"> 'Working Capital'!H$45</f>
        <v>0</v>
      </c>
      <c r="I10" s="16">
        <f xml:space="preserve"> 'Working Capital'!I$45</f>
        <v>0</v>
      </c>
      <c r="J10" s="9">
        <f ca="1" xml:space="preserve"> SUMIF( Time!$J331:$BQ331, Time!J$28, 'Working Capital'!$J45:$BQ45)</f>
        <v>0</v>
      </c>
      <c r="K10" s="9">
        <f ca="1" xml:space="preserve"> SUMIF( Time!$J331:$BQ331, Time!K$28, 'Working Capital'!$J45:$BQ45)</f>
        <v>0</v>
      </c>
      <c r="L10" s="9">
        <f ca="1" xml:space="preserve"> SUMIF( Time!$J331:$BQ331, Time!L$28, 'Working Capital'!$J45:$BQ45)</f>
        <v>854865.6282310664</v>
      </c>
      <c r="M10" s="9">
        <f ca="1" xml:space="preserve"> SUMIF( Time!$J331:$BQ331, Time!M$28, 'Working Capital'!$J45:$BQ45)</f>
        <v>-6.3664629124104977E-11</v>
      </c>
      <c r="N10" s="9">
        <f ca="1" xml:space="preserve"> SUMIF( Time!$J331:$BQ331, Time!N$28, 'Working Capital'!$J45:$BQ45)</f>
        <v>863999.99999999988</v>
      </c>
      <c r="O10" s="9">
        <f ca="1" xml:space="preserve"> SUMIF( Time!$J331:$BQ331, Time!O$28, 'Working Capital'!$J45:$BQ45)</f>
        <v>-8.7311491370201111E-11</v>
      </c>
      <c r="P10" s="9">
        <f ca="1" xml:space="preserve"> SUMIF( Time!$J331:$BQ331, Time!P$28, 'Working Capital'!$J45:$BQ45)</f>
        <v>1718865.6282310663</v>
      </c>
      <c r="Q10" s="9">
        <f ca="1" xml:space="preserve"> SUMIF( Time!$J331:$BQ331, Time!Q$28, 'Working Capital'!$J45:$BQ45)</f>
        <v>864000</v>
      </c>
      <c r="R10" s="9">
        <f ca="1" xml:space="preserve"> SUMIF( Time!$J331:$BQ331, Time!R$28, 'Working Capital'!$J45:$BQ45)</f>
        <v>1220078.1402192612</v>
      </c>
      <c r="S10" s="9">
        <f ca="1" xml:space="preserve"> SUMIF( Time!$J331:$BQ331, Time!S$28, 'Working Capital'!$J45:$BQ45)</f>
        <v>424054.19774485123</v>
      </c>
      <c r="T10" s="9">
        <f ca="1" xml:space="preserve"> SUMIF( Time!$J331:$BQ331, Time!T$28, 'Working Capital'!$J45:$BQ45)</f>
        <v>2232513.8714485411</v>
      </c>
      <c r="U10" s="9">
        <f ca="1" xml:space="preserve"> SUMIF( Time!$J331:$BQ331, Time!U$28, 'Working Capital'!$J45:$BQ45)</f>
        <v>2327752.7966961241</v>
      </c>
      <c r="V10" s="9">
        <f ca="1" xml:space="preserve"> SUMIF( Time!$J331:$BQ331, Time!V$28, 'Working Capital'!$J45:$BQ45)</f>
        <v>1932552.6137742538</v>
      </c>
      <c r="W10" s="9">
        <f ca="1" xml:space="preserve"> SUMIF( Time!$J331:$BQ331, Time!W$28, 'Working Capital'!$J45:$BQ45)</f>
        <v>2136729.1186568998</v>
      </c>
      <c r="X10" s="9">
        <f ca="1" xml:space="preserve"> SUMIF( Time!$J331:$BQ331, Time!X$28, 'Working Capital'!$J45:$BQ45)</f>
        <v>3241975.7261333056</v>
      </c>
      <c r="Y10" s="9">
        <f ca="1" xml:space="preserve"> SUMIF( Time!$J331:$BQ331, Time!Y$28, 'Working Capital'!$J45:$BQ45)</f>
        <v>3527977.4326262358</v>
      </c>
      <c r="Z10" s="9">
        <f ca="1" xml:space="preserve"> SUMIF( Time!$J331:$BQ331, Time!Z$28, 'Working Capital'!$J45:$BQ45)</f>
        <v>5050119.0266730497</v>
      </c>
      <c r="AA10" s="9">
        <f ca="1" xml:space="preserve"> SUMIF( Time!$J331:$BQ331, Time!AA$28, 'Working Capital'!$J45:$BQ45)</f>
        <v>5519296.1173555572</v>
      </c>
      <c r="AB10" s="9">
        <f ca="1" xml:space="preserve"> SUMIF( Time!$J331:$BQ331, Time!AB$28, 'Working Capital'!$J45:$BQ45)</f>
        <v>6074158.8627407458</v>
      </c>
      <c r="AC10" s="9">
        <f ca="1" xml:space="preserve"> SUMIF( Time!$J331:$BQ331, Time!AC$28, 'Working Capital'!$J45:$BQ45)</f>
        <v>6731994.6507732924</v>
      </c>
    </row>
    <row r="11" spans="1:29">
      <c r="E11" s="16" t="str">
        <f xml:space="preserve"> Financials!E$13</f>
        <v>Cash</v>
      </c>
      <c r="F11" s="16">
        <f xml:space="preserve"> Financials!F$13</f>
        <v>0</v>
      </c>
      <c r="G11" s="16" t="str">
        <f xml:space="preserve"> Financials!G$13</f>
        <v>GBP</v>
      </c>
      <c r="H11" s="42">
        <f xml:space="preserve"> Financials!H$13</f>
        <v>0</v>
      </c>
      <c r="I11" s="16">
        <f xml:space="preserve"> Financials!I$13</f>
        <v>0</v>
      </c>
      <c r="J11" s="9">
        <f ca="1" xml:space="preserve"> SUMIF( Time!$J331:$BQ331, Time!J$28, Financials!$J13:$BQ13)</f>
        <v>-22293.538857459123</v>
      </c>
      <c r="K11" s="9">
        <f ca="1" xml:space="preserve"> SUMIF( Time!$J331:$BQ331, Time!K$28, Financials!$J13:$BQ13)</f>
        <v>-210483.1648393847</v>
      </c>
      <c r="L11" s="9">
        <f ca="1" xml:space="preserve"> SUMIF( Time!$J331:$BQ331, Time!L$28, Financials!$J13:$BQ13)</f>
        <v>-531500.75634385983</v>
      </c>
      <c r="M11" s="9">
        <f ca="1" xml:space="preserve"> SUMIF( Time!$J331:$BQ331, Time!M$28, Financials!$J13:$BQ13)</f>
        <v>85687.307120060359</v>
      </c>
      <c r="N11" s="9">
        <f ca="1" xml:space="preserve"> SUMIF( Time!$J331:$BQ331, Time!N$28, Financials!$J13:$BQ13)</f>
        <v>-277417.68244850443</v>
      </c>
      <c r="O11" s="9">
        <f ca="1" xml:space="preserve"> SUMIF( Time!$J331:$BQ331, Time!O$28, Financials!$J13:$BQ13)</f>
        <v>458771.91933099797</v>
      </c>
      <c r="P11" s="9">
        <f ca="1" xml:space="preserve"> SUMIF( Time!$J331:$BQ331, Time!P$28, Financials!$J13:$BQ13)</f>
        <v>-121932.7064087187</v>
      </c>
      <c r="Q11" s="9">
        <f ca="1" xml:space="preserve"> SUMIF( Time!$J331:$BQ331, Time!Q$28, Financials!$J13:$BQ13)</f>
        <v>1270059.1436541709</v>
      </c>
      <c r="R11" s="9">
        <f ca="1" xml:space="preserve"> SUMIF( Time!$J331:$BQ331, Time!R$28, Financials!$J13:$BQ13)</f>
        <v>1493816.009861479</v>
      </c>
      <c r="S11" s="9">
        <f ca="1" xml:space="preserve"> SUMIF( Time!$J331:$BQ331, Time!S$28, Financials!$J13:$BQ13)</f>
        <v>2907144.5956911985</v>
      </c>
      <c r="T11" s="9">
        <f ca="1" xml:space="preserve"> SUMIF( Time!$J331:$BQ331, Time!T$28, Financials!$J13:$BQ13)</f>
        <v>3571594.9770108908</v>
      </c>
      <c r="U11" s="9">
        <f ca="1" xml:space="preserve"> SUMIF( Time!$J331:$BQ331, Time!U$28, Financials!$J13:$BQ13)</f>
        <v>5417962.1105279103</v>
      </c>
      <c r="V11" s="9">
        <f ca="1" xml:space="preserve"> SUMIF( Time!$J331:$BQ331, Time!V$28, Financials!$J13:$BQ13)</f>
        <v>7176541.8878858238</v>
      </c>
      <c r="W11" s="9">
        <f ca="1" xml:space="preserve"> SUMIF( Time!$J331:$BQ331, Time!W$28, Financials!$J13:$BQ13)</f>
        <v>8364893.5536060641</v>
      </c>
      <c r="X11" s="9">
        <f ca="1" xml:space="preserve"> SUMIF( Time!$J331:$BQ331, Time!X$28, Financials!$J13:$BQ13)</f>
        <v>11575627.624527765</v>
      </c>
      <c r="Y11" s="9">
        <f ca="1" xml:space="preserve"> SUMIF( Time!$J331:$BQ331, Time!Y$28, Financials!$J13:$BQ13)</f>
        <v>14984790.399722619</v>
      </c>
      <c r="Z11" s="9">
        <f ca="1" xml:space="preserve"> SUMIF( Time!$J331:$BQ331, Time!Z$28, Financials!$J13:$BQ13)</f>
        <v>18468975.262084499</v>
      </c>
      <c r="AA11" s="9">
        <f ca="1" xml:space="preserve"> SUMIF( Time!$J331:$BQ331, Time!AA$28, Financials!$J13:$BQ13)</f>
        <v>21348061.694594067</v>
      </c>
      <c r="AB11" s="9">
        <f ca="1" xml:space="preserve"> SUMIF( Time!$J331:$BQ331, Time!AB$28, Financials!$J13:$BQ13)</f>
        <v>27468981.104767993</v>
      </c>
      <c r="AC11" s="9">
        <f ca="1" xml:space="preserve"> SUMIF( Time!$J331:$BQ331, Time!AC$28, Financials!$J13:$BQ13)</f>
        <v>34145444.452532314</v>
      </c>
    </row>
    <row r="12" spans="1:29">
      <c r="E12" s="12" t="s">
        <v>85</v>
      </c>
      <c r="F12" s="32"/>
      <c r="G12" s="12" t="s">
        <v>252</v>
      </c>
      <c r="H12" s="54"/>
      <c r="I12" s="32"/>
      <c r="J12" s="12">
        <f ca="1" xml:space="preserve"> SUMIF( Time!$J331:$BQ331, Time!J$28, 'Balance Sheet'!$J12:$BQ12)</f>
        <v>138123.12780920754</v>
      </c>
      <c r="K12" s="12">
        <f ca="1" xml:space="preserve"> SUMIF( Time!$J331:$BQ331, Time!K$28, 'Balance Sheet'!$J12:$BQ12)</f>
        <v>-71941.498172718042</v>
      </c>
      <c r="L12" s="12">
        <f ca="1" xml:space="preserve"> SUMIF( Time!$J331:$BQ331, Time!L$28, 'Balance Sheet'!$J12:$BQ12)</f>
        <v>600448.20522053994</v>
      </c>
      <c r="M12" s="12">
        <f ca="1" xml:space="preserve"> SUMIF( Time!$J331:$BQ331, Time!M$28, 'Balance Sheet'!$J12:$BQ12)</f>
        <v>319020.64045339363</v>
      </c>
      <c r="N12" s="12">
        <f ca="1" xml:space="preserve"> SUMIF( Time!$J331:$BQ331, Time!N$28, 'Balance Sheet'!$J12:$BQ12)</f>
        <v>936582.31755149551</v>
      </c>
      <c r="O12" s="12">
        <f ca="1" xml:space="preserve"> SUMIF( Time!$J331:$BQ331, Time!O$28, 'Balance Sheet'!$J12:$BQ12)</f>
        <v>910855.25266433123</v>
      </c>
      <c r="P12" s="12">
        <f ca="1" xml:space="preserve"> SUMIF( Time!$J331:$BQ331, Time!P$28, 'Balance Sheet'!$J12:$BQ12)</f>
        <v>2136516.2551556807</v>
      </c>
      <c r="Q12" s="12">
        <f ca="1" xml:space="preserve"> SUMIF( Time!$J331:$BQ331, Time!Q$28, 'Balance Sheet'!$J12:$BQ12)</f>
        <v>2739267.4769875044</v>
      </c>
      <c r="R12" s="12">
        <f ca="1" xml:space="preserve"> SUMIF( Time!$J331:$BQ331, Time!R$28, 'Balance Sheet'!$J12:$BQ12)</f>
        <v>3357792.5315076876</v>
      </c>
      <c r="S12" s="12">
        <f ca="1" xml:space="preserve"> SUMIF( Time!$J331:$BQ331, Time!S$28, 'Balance Sheet'!$J12:$BQ12)</f>
        <v>3999302.0692235427</v>
      </c>
      <c r="T12" s="12">
        <f ca="1" xml:space="preserve"> SUMIF( Time!$J331:$BQ331, Time!T$28, 'Balance Sheet'!$J12:$BQ12)</f>
        <v>6483340.520924353</v>
      </c>
      <c r="U12" s="12">
        <f ca="1" xml:space="preserve"> SUMIF( Time!$J331:$BQ331, Time!U$28, 'Balance Sheet'!$J12:$BQ12)</f>
        <v>8592377.7712420244</v>
      </c>
      <c r="V12" s="12">
        <f ca="1" xml:space="preserve"> SUMIF( Time!$J331:$BQ331, Time!V$28, 'Balance Sheet'!$J12:$BQ12)</f>
        <v>10091866.704548083</v>
      </c>
      <c r="W12" s="12">
        <f ca="1" xml:space="preserve"> SUMIF( Time!$J331:$BQ331, Time!W$28, 'Balance Sheet'!$J12:$BQ12)</f>
        <v>11591544.095686231</v>
      </c>
      <c r="X12" s="12">
        <f ca="1" xml:space="preserve"> SUMIF( Time!$J331:$BQ331, Time!X$28, 'Balance Sheet'!$J12:$BQ12)</f>
        <v>16156238.908974461</v>
      </c>
      <c r="Y12" s="12">
        <f ca="1" xml:space="preserve"> SUMIF( Time!$J331:$BQ331, Time!Y$28, 'Balance Sheet'!$J12:$BQ12)</f>
        <v>20055444.96918489</v>
      </c>
      <c r="Z12" s="12">
        <f ca="1" xml:space="preserve"> SUMIF( Time!$J331:$BQ331, Time!Z$28, 'Balance Sheet'!$J12:$BQ12)</f>
        <v>25227064.140019346</v>
      </c>
      <c r="AA12" s="12">
        <f ca="1" xml:space="preserve"> SUMIF( Time!$J331:$BQ331, Time!AA$28, 'Balance Sheet'!$J12:$BQ12)</f>
        <v>28711221.05948431</v>
      </c>
      <c r="AB12" s="12">
        <f ca="1" xml:space="preserve"> SUMIF( Time!$J331:$BQ331, Time!AB$28, 'Balance Sheet'!$J12:$BQ12)</f>
        <v>35500397.045821138</v>
      </c>
      <c r="AC12" s="12">
        <f ca="1" xml:space="preserve"> SUMIF( Time!$J331:$BQ331, Time!AC$28, 'Balance Sheet'!$J12:$BQ12)</f>
        <v>42933784.798758037</v>
      </c>
    </row>
    <row r="14" spans="1:29">
      <c r="E14" s="16" t="str">
        <f xml:space="preserve"> Income!E$27</f>
        <v>Deferred Income</v>
      </c>
      <c r="F14" s="16">
        <f xml:space="preserve"> Income!F$27</f>
        <v>0</v>
      </c>
      <c r="G14" s="16" t="str">
        <f xml:space="preserve"> Income!G$27</f>
        <v>GBP</v>
      </c>
      <c r="H14" s="42">
        <f xml:space="preserve"> Income!H$27</f>
        <v>0</v>
      </c>
      <c r="I14" s="16">
        <f xml:space="preserve"> Income!I$27</f>
        <v>0</v>
      </c>
      <c r="J14" s="9">
        <f ca="1" xml:space="preserve"> SUMIF( Time!$J331:$BQ331, Time!J$28, Income!$J27:$BQ27)</f>
        <v>0</v>
      </c>
      <c r="K14" s="9">
        <f ca="1" xml:space="preserve"> SUMIF( Time!$J331:$BQ331, Time!K$28, Income!$J27:$BQ27)</f>
        <v>0</v>
      </c>
      <c r="L14" s="9">
        <f ca="1" xml:space="preserve"> SUMIF( Time!$J331:$BQ331, Time!L$28, Income!$J27:$BQ27)</f>
        <v>602665.04244871717</v>
      </c>
      <c r="M14" s="9">
        <f ca="1" xml:space="preserve"> SUMIF( Time!$J331:$BQ331, Time!M$28, Income!$J27:$BQ27)</f>
        <v>430277.01892282837</v>
      </c>
      <c r="N14" s="9">
        <f ca="1" xml:space="preserve"> SUMIF( Time!$J331:$BQ331, Time!N$28, Income!$J27:$BQ27)</f>
        <v>857194.77892645437</v>
      </c>
      <c r="O14" s="9">
        <f ca="1" xml:space="preserve"> SUMIF( Time!$J331:$BQ331, Time!O$28, Income!$J27:$BQ27)</f>
        <v>497194.77892645437</v>
      </c>
      <c r="P14" s="9">
        <f ca="1" xml:space="preserve"> SUMIF( Time!$J331:$BQ331, Time!P$28, Income!$J27:$BQ27)</f>
        <v>1449582.8024523431</v>
      </c>
      <c r="Q14" s="9">
        <f ca="1" xml:space="preserve"> SUMIF( Time!$J331:$BQ331, Time!Q$28, Income!$J27:$BQ27)</f>
        <v>1577194.7789264543</v>
      </c>
      <c r="R14" s="9">
        <f ca="1" xml:space="preserve"> SUMIF( Time!$J331:$BQ331, Time!R$28, Income!$J27:$BQ27)</f>
        <v>1874663.4666626155</v>
      </c>
      <c r="S14" s="9">
        <f ca="1" xml:space="preserve"> SUMIF( Time!$J331:$BQ331, Time!S$28, Income!$J27:$BQ27)</f>
        <v>2153303.0612344462</v>
      </c>
      <c r="T14" s="9">
        <f ca="1" xml:space="preserve"> SUMIF( Time!$J331:$BQ331, Time!T$28, Income!$J27:$BQ27)</f>
        <v>3661784.7605233816</v>
      </c>
      <c r="U14" s="9">
        <f ca="1" xml:space="preserve"> SUMIF( Time!$J331:$BQ331, Time!U$28, Income!$J27:$BQ27)</f>
        <v>4305331.5949776452</v>
      </c>
      <c r="V14" s="9">
        <f ca="1" xml:space="preserve"> SUMIF( Time!$J331:$BQ331, Time!V$28, Income!$J27:$BQ27)</f>
        <v>4386123.1713973414</v>
      </c>
      <c r="W14" s="9">
        <f ca="1" xml:space="preserve"> SUMIF( Time!$J331:$BQ331, Time!W$28, Income!$J27:$BQ27)</f>
        <v>5215881.0477660028</v>
      </c>
      <c r="X14" s="9">
        <f ca="1" xml:space="preserve"> SUMIF( Time!$J331:$BQ331, Time!X$28, Income!$J27:$BQ27)</f>
        <v>7283009.1511670472</v>
      </c>
      <c r="Y14" s="9">
        <f ca="1" xml:space="preserve"> SUMIF( Time!$J331:$BQ331, Time!Y$28, Income!$J27:$BQ27)</f>
        <v>8456697.2648357581</v>
      </c>
      <c r="Z14" s="9">
        <f ca="1" xml:space="preserve"> SUMIF( Time!$J331:$BQ331, Time!Z$28, Income!$J27:$BQ27)</f>
        <v>10415212.378776886</v>
      </c>
      <c r="AA14" s="9">
        <f ca="1" xml:space="preserve"> SUMIF( Time!$J331:$BQ331, Time!AA$28, Income!$J27:$BQ27)</f>
        <v>12244143.672873408</v>
      </c>
      <c r="AB14" s="9">
        <f ca="1" xml:space="preserve"> SUMIF( Time!$J331:$BQ331, Time!AB$28, Income!$J27:$BQ27)</f>
        <v>14594675.469234642</v>
      </c>
      <c r="AC14" s="9">
        <f ca="1" xml:space="preserve"> SUMIF( Time!$J331:$BQ331, Time!AC$28, Income!$J27:$BQ27)</f>
        <v>16810162.851556987</v>
      </c>
    </row>
    <row r="15" spans="1:29">
      <c r="E15" s="16" t="str">
        <f xml:space="preserve"> 'Working Capital'!E$36</f>
        <v>Creditors</v>
      </c>
      <c r="F15" s="16">
        <f xml:space="preserve"> 'Working Capital'!F$36</f>
        <v>0</v>
      </c>
      <c r="G15" s="16" t="str">
        <f xml:space="preserve"> 'Working Capital'!G$36</f>
        <v>GBP</v>
      </c>
      <c r="H15" s="42">
        <f xml:space="preserve"> 'Working Capital'!H$36</f>
        <v>0</v>
      </c>
      <c r="I15" s="16">
        <f xml:space="preserve"> 'Working Capital'!I$36</f>
        <v>0</v>
      </c>
      <c r="J15" s="9">
        <f ca="1" xml:space="preserve"> SUMIF( Time!$J331:$BQ331, Time!J$28, 'Working Capital'!$J36:$BQ36)</f>
        <v>157500</v>
      </c>
      <c r="K15" s="9">
        <f ca="1" xml:space="preserve"> SUMIF( Time!$J331:$BQ331, Time!K$28, 'Working Capital'!$J36:$BQ36)</f>
        <v>157500.00000000003</v>
      </c>
      <c r="L15" s="9">
        <f ca="1" xml:space="preserve"> SUMIF( Time!$J331:$BQ331, Time!L$28, 'Working Capital'!$J36:$BQ36)</f>
        <v>168000</v>
      </c>
      <c r="M15" s="9">
        <f ca="1" xml:space="preserve"> SUMIF( Time!$J331:$BQ331, Time!M$28, 'Working Capital'!$J36:$BQ36)</f>
        <v>168000</v>
      </c>
      <c r="N15" s="9">
        <f ca="1" xml:space="preserve"> SUMIF( Time!$J331:$BQ331, Time!N$28, 'Working Capital'!$J36:$BQ36)</f>
        <v>178500</v>
      </c>
      <c r="O15" s="9">
        <f ca="1" xml:space="preserve"> SUMIF( Time!$J331:$BQ331, Time!O$28, 'Working Capital'!$J36:$BQ36)</f>
        <v>336000</v>
      </c>
      <c r="P15" s="9">
        <f ca="1" xml:space="preserve"> SUMIF( Time!$J331:$BQ331, Time!P$28, 'Working Capital'!$J36:$BQ36)</f>
        <v>346500.00000000006</v>
      </c>
      <c r="Q15" s="9">
        <f ca="1" xml:space="preserve"> SUMIF( Time!$J331:$BQ331, Time!Q$28, 'Working Capital'!$J36:$BQ36)</f>
        <v>357000</v>
      </c>
      <c r="R15" s="9">
        <f ca="1" xml:space="preserve"> SUMIF( Time!$J331:$BQ331, Time!R$28, 'Working Capital'!$J36:$BQ36)</f>
        <v>367500</v>
      </c>
      <c r="S15" s="9">
        <f ca="1" xml:space="preserve"> SUMIF( Time!$J331:$BQ331, Time!S$28, 'Working Capital'!$J36:$BQ36)</f>
        <v>378000</v>
      </c>
      <c r="T15" s="9">
        <f ca="1" xml:space="preserve"> SUMIF( Time!$J331:$BQ331, Time!T$28, 'Working Capital'!$J36:$BQ36)</f>
        <v>388500</v>
      </c>
      <c r="U15" s="9">
        <f ca="1" xml:space="preserve"> SUMIF( Time!$J331:$BQ331, Time!U$28, 'Working Capital'!$J36:$BQ36)</f>
        <v>556500.00000000012</v>
      </c>
      <c r="V15" s="9">
        <f ca="1" xml:space="preserve"> SUMIF( Time!$J331:$BQ331, Time!V$28, 'Working Capital'!$J36:$BQ36)</f>
        <v>724500.00000000023</v>
      </c>
      <c r="W15" s="9">
        <f ca="1" xml:space="preserve"> SUMIF( Time!$J331:$BQ331, Time!W$28, 'Working Capital'!$J36:$BQ36)</f>
        <v>745500.00000000035</v>
      </c>
      <c r="X15" s="9">
        <f ca="1" xml:space="preserve"> SUMIF( Time!$J331:$BQ331, Time!X$28, 'Working Capital'!$J36:$BQ36)</f>
        <v>924000</v>
      </c>
      <c r="Y15" s="9">
        <f ca="1" xml:space="preserve"> SUMIF( Time!$J331:$BQ331, Time!Y$28, 'Working Capital'!$J36:$BQ36)</f>
        <v>1102500</v>
      </c>
      <c r="Z15" s="9">
        <f ca="1" xml:space="preserve"> SUMIF( Time!$J331:$BQ331, Time!Z$28, 'Working Capital'!$J36:$BQ36)</f>
        <v>1133999.9999999998</v>
      </c>
      <c r="AA15" s="9">
        <f ca="1" xml:space="preserve"> SUMIF( Time!$J331:$BQ331, Time!AA$28, 'Working Capital'!$J36:$BQ36)</f>
        <v>1165499.9999999995</v>
      </c>
      <c r="AB15" s="9">
        <f ca="1" xml:space="preserve"> SUMIF( Time!$J331:$BQ331, Time!AB$28, 'Working Capital'!$J36:$BQ36)</f>
        <v>1196999.9999999991</v>
      </c>
      <c r="AC15" s="9">
        <f ca="1" xml:space="preserve"> SUMIF( Time!$J331:$BQ331, Time!AC$28, 'Working Capital'!$J36:$BQ36)</f>
        <v>1228499.9999999986</v>
      </c>
    </row>
    <row r="16" spans="1:29">
      <c r="E16" s="16" t="str">
        <f xml:space="preserve"> 'Supply Chain finance'!E$15</f>
        <v>Supply Chain Finance balance</v>
      </c>
      <c r="F16" s="16">
        <f xml:space="preserve"> 'Supply Chain finance'!F$15</f>
        <v>0</v>
      </c>
      <c r="G16" s="16" t="str">
        <f xml:space="preserve"> 'Supply Chain finance'!G$15</f>
        <v>GBP</v>
      </c>
      <c r="H16" s="42">
        <f xml:space="preserve"> 'Supply Chain finance'!H$15</f>
        <v>0</v>
      </c>
      <c r="I16" s="16">
        <f xml:space="preserve"> 'Supply Chain finance'!I$15</f>
        <v>0</v>
      </c>
      <c r="J16" s="9">
        <f ca="1" xml:space="preserve"> SUMIF( Time!$J331:$BQ331, Time!J$28, 'Supply Chain finance'!$J15:$BQ15)</f>
        <v>0</v>
      </c>
      <c r="K16" s="9">
        <f ca="1" xml:space="preserve"> SUMIF( Time!$J331:$BQ331, Time!K$28, 'Supply Chain finance'!$J15:$BQ15)</f>
        <v>0</v>
      </c>
      <c r="L16" s="9">
        <f ca="1" xml:space="preserve"> SUMIF( Time!$J331:$BQ331, Time!L$28, 'Supply Chain finance'!$J15:$BQ15)</f>
        <v>0</v>
      </c>
      <c r="M16" s="9">
        <f ca="1" xml:space="preserve"> SUMIF( Time!$J331:$BQ331, Time!M$28, 'Supply Chain finance'!$J15:$BQ15)</f>
        <v>0</v>
      </c>
      <c r="N16" s="9">
        <f ca="1" xml:space="preserve"> SUMIF( Time!$J331:$BQ331, Time!N$28, 'Supply Chain finance'!$J15:$BQ15)</f>
        <v>0</v>
      </c>
      <c r="O16" s="9">
        <f ca="1" xml:space="preserve"> SUMIF( Time!$J331:$BQ331, Time!O$28, 'Supply Chain finance'!$J15:$BQ15)</f>
        <v>0</v>
      </c>
      <c r="P16" s="9">
        <f ca="1" xml:space="preserve"> SUMIF( Time!$J331:$BQ331, Time!P$28, 'Supply Chain finance'!$J15:$BQ15)</f>
        <v>0</v>
      </c>
      <c r="Q16" s="9">
        <f ca="1" xml:space="preserve"> SUMIF( Time!$J331:$BQ331, Time!Q$28, 'Supply Chain finance'!$J15:$BQ15)</f>
        <v>0</v>
      </c>
      <c r="R16" s="9">
        <f ca="1" xml:space="preserve"> SUMIF( Time!$J331:$BQ331, Time!R$28, 'Supply Chain finance'!$J15:$BQ15)</f>
        <v>0</v>
      </c>
      <c r="S16" s="9">
        <f ca="1" xml:space="preserve"> SUMIF( Time!$J331:$BQ331, Time!S$28, 'Supply Chain finance'!$J15:$BQ15)</f>
        <v>0</v>
      </c>
      <c r="T16" s="9">
        <f ca="1" xml:space="preserve"> SUMIF( Time!$J331:$BQ331, Time!T$28, 'Supply Chain finance'!$J15:$BQ15)</f>
        <v>0</v>
      </c>
      <c r="U16" s="9">
        <f ca="1" xml:space="preserve"> SUMIF( Time!$J331:$BQ331, Time!U$28, 'Supply Chain finance'!$J15:$BQ15)</f>
        <v>0</v>
      </c>
      <c r="V16" s="9">
        <f ca="1" xml:space="preserve"> SUMIF( Time!$J331:$BQ331, Time!V$28, 'Supply Chain finance'!$J15:$BQ15)</f>
        <v>0</v>
      </c>
      <c r="W16" s="9">
        <f ca="1" xml:space="preserve"> SUMIF( Time!$J331:$BQ331, Time!W$28, 'Supply Chain finance'!$J15:$BQ15)</f>
        <v>0</v>
      </c>
      <c r="X16" s="9">
        <f ca="1" xml:space="preserve"> SUMIF( Time!$J331:$BQ331, Time!X$28, 'Supply Chain finance'!$J15:$BQ15)</f>
        <v>0</v>
      </c>
      <c r="Y16" s="9">
        <f ca="1" xml:space="preserve"> SUMIF( Time!$J331:$BQ331, Time!Y$28, 'Supply Chain finance'!$J15:$BQ15)</f>
        <v>0</v>
      </c>
      <c r="Z16" s="9">
        <f ca="1" xml:space="preserve"> SUMIF( Time!$J331:$BQ331, Time!Z$28, 'Supply Chain finance'!$J15:$BQ15)</f>
        <v>0</v>
      </c>
      <c r="AA16" s="9">
        <f ca="1" xml:space="preserve"> SUMIF( Time!$J331:$BQ331, Time!AA$28, 'Supply Chain finance'!$J15:$BQ15)</f>
        <v>0</v>
      </c>
      <c r="AB16" s="9">
        <f ca="1" xml:space="preserve"> SUMIF( Time!$J331:$BQ331, Time!AB$28, 'Supply Chain finance'!$J15:$BQ15)</f>
        <v>0</v>
      </c>
      <c r="AC16" s="9">
        <f ca="1" xml:space="preserve"> SUMIF( Time!$J331:$BQ331, Time!AC$28, 'Supply Chain finance'!$J15:$BQ15)</f>
        <v>0</v>
      </c>
    </row>
    <row r="17" spans="5:16384">
      <c r="E17" s="16" t="str">
        <f xml:space="preserve"> 'Invoice finance'!E$15</f>
        <v>Invoice finance balance</v>
      </c>
      <c r="F17" s="16">
        <f xml:space="preserve"> 'Invoice finance'!F$15</f>
        <v>0</v>
      </c>
      <c r="G17" s="16" t="str">
        <f xml:space="preserve"> 'Invoice finance'!G$15</f>
        <v>GBP</v>
      </c>
      <c r="H17" s="42">
        <f xml:space="preserve"> 'Invoice finance'!H$15</f>
        <v>0</v>
      </c>
      <c r="I17" s="16">
        <f xml:space="preserve"> 'Invoice finance'!I$15</f>
        <v>0</v>
      </c>
      <c r="J17" s="9">
        <f ca="1" xml:space="preserve"> SUMIF( Time!$J331:$BQ331, Time!J$28, 'Invoice finance'!$J15:$BQ15)</f>
        <v>0</v>
      </c>
      <c r="K17" s="9">
        <f ca="1" xml:space="preserve"> SUMIF( Time!$J331:$BQ331, Time!K$28, 'Invoice finance'!$J15:$BQ15)</f>
        <v>0</v>
      </c>
      <c r="L17" s="9">
        <f ca="1" xml:space="preserve"> SUMIF( Time!$J331:$BQ331, Time!L$28, 'Invoice finance'!$J15:$BQ15)</f>
        <v>0</v>
      </c>
      <c r="M17" s="9">
        <f ca="1" xml:space="preserve"> SUMIF( Time!$J331:$BQ331, Time!M$28, 'Invoice finance'!$J15:$BQ15)</f>
        <v>0</v>
      </c>
      <c r="N17" s="9">
        <f ca="1" xml:space="preserve"> SUMIF( Time!$J331:$BQ331, Time!N$28, 'Invoice finance'!$J15:$BQ15)</f>
        <v>0</v>
      </c>
      <c r="O17" s="9">
        <f ca="1" xml:space="preserve"> SUMIF( Time!$J331:$BQ331, Time!O$28, 'Invoice finance'!$J15:$BQ15)</f>
        <v>0</v>
      </c>
      <c r="P17" s="9">
        <f ca="1" xml:space="preserve"> SUMIF( Time!$J331:$BQ331, Time!P$28, 'Invoice finance'!$J15:$BQ15)</f>
        <v>0</v>
      </c>
      <c r="Q17" s="9">
        <f ca="1" xml:space="preserve"> SUMIF( Time!$J331:$BQ331, Time!Q$28, 'Invoice finance'!$J15:$BQ15)</f>
        <v>0</v>
      </c>
      <c r="R17" s="9">
        <f ca="1" xml:space="preserve"> SUMIF( Time!$J331:$BQ331, Time!R$28, 'Invoice finance'!$J15:$BQ15)</f>
        <v>0</v>
      </c>
      <c r="S17" s="9">
        <f ca="1" xml:space="preserve"> SUMIF( Time!$J331:$BQ331, Time!S$28, 'Invoice finance'!$J15:$BQ15)</f>
        <v>0</v>
      </c>
      <c r="T17" s="9">
        <f ca="1" xml:space="preserve"> SUMIF( Time!$J331:$BQ331, Time!T$28, 'Invoice finance'!$J15:$BQ15)</f>
        <v>0</v>
      </c>
      <c r="U17" s="9">
        <f ca="1" xml:space="preserve"> SUMIF( Time!$J331:$BQ331, Time!U$28, 'Invoice finance'!$J15:$BQ15)</f>
        <v>0</v>
      </c>
      <c r="V17" s="9">
        <f ca="1" xml:space="preserve"> SUMIF( Time!$J331:$BQ331, Time!V$28, 'Invoice finance'!$J15:$BQ15)</f>
        <v>0</v>
      </c>
      <c r="W17" s="9">
        <f ca="1" xml:space="preserve"> SUMIF( Time!$J331:$BQ331, Time!W$28, 'Invoice finance'!$J15:$BQ15)</f>
        <v>0</v>
      </c>
      <c r="X17" s="9">
        <f ca="1" xml:space="preserve"> SUMIF( Time!$J331:$BQ331, Time!X$28, 'Invoice finance'!$J15:$BQ15)</f>
        <v>0</v>
      </c>
      <c r="Y17" s="9">
        <f ca="1" xml:space="preserve"> SUMIF( Time!$J331:$BQ331, Time!Y$28, 'Invoice finance'!$J15:$BQ15)</f>
        <v>0</v>
      </c>
      <c r="Z17" s="9">
        <f ca="1" xml:space="preserve"> SUMIF( Time!$J331:$BQ331, Time!Z$28, 'Invoice finance'!$J15:$BQ15)</f>
        <v>0</v>
      </c>
      <c r="AA17" s="9">
        <f ca="1" xml:space="preserve"> SUMIF( Time!$J331:$BQ331, Time!AA$28, 'Invoice finance'!$J15:$BQ15)</f>
        <v>0</v>
      </c>
      <c r="AB17" s="9">
        <f ca="1" xml:space="preserve"> SUMIF( Time!$J331:$BQ331, Time!AB$28, 'Invoice finance'!$J15:$BQ15)</f>
        <v>0</v>
      </c>
      <c r="AC17" s="9">
        <f ca="1" xml:space="preserve"> SUMIF( Time!$J331:$BQ331, Time!AC$28, 'Invoice finance'!$J15:$BQ15)</f>
        <v>0</v>
      </c>
    </row>
    <row r="18" spans="5:16384">
      <c r="E18" s="16" t="str">
        <f xml:space="preserve"> 'Asset Finance'!E$15</f>
        <v>Asset Finance balance</v>
      </c>
      <c r="F18" s="16">
        <f xml:space="preserve"> 'Asset Finance'!F$15</f>
        <v>0</v>
      </c>
      <c r="G18" s="16" t="str">
        <f xml:space="preserve"> 'Asset Finance'!G$15</f>
        <v>GBP</v>
      </c>
      <c r="H18" s="42">
        <f xml:space="preserve"> 'Asset Finance'!H$15</f>
        <v>0</v>
      </c>
      <c r="I18" s="16">
        <f xml:space="preserve"> 'Asset Finance'!I$15</f>
        <v>0</v>
      </c>
      <c r="J18" s="9">
        <f ca="1" xml:space="preserve"> SUMIF( Time!$J331:$BQ331, Time!J$28, 'Asset Finance'!$J15:$BQ15)</f>
        <v>160720.48611111112</v>
      </c>
      <c r="K18" s="9">
        <f ca="1" xml:space="preserve"> SUMIF( Time!$J331:$BQ331, Time!K$28, 'Asset Finance'!$J15:$BQ15)</f>
        <v>141455.88501981259</v>
      </c>
      <c r="L18" s="9">
        <f ca="1" xml:space="preserve"> SUMIF( Time!$J331:$BQ331, Time!L$28, 'Asset Finance'!$J15:$BQ15)</f>
        <v>285220.90227402054</v>
      </c>
      <c r="M18" s="9">
        <f ca="1" xml:space="preserve"> SUMIF( Time!$J331:$BQ331, Time!M$28, 'Asset Finance'!$J15:$BQ15)</f>
        <v>251033.18272338025</v>
      </c>
      <c r="N18" s="9">
        <f ca="1" xml:space="preserve"> SUMIF( Time!$J331:$BQ331, Time!N$28, 'Asset Finance'!$J15:$BQ15)</f>
        <v>381663.82625834551</v>
      </c>
      <c r="O18" s="9">
        <f ca="1" xml:space="preserve"> SUMIF( Time!$J331:$BQ331, Time!O$28, 'Asset Finance'!$J15:$BQ15)</f>
        <v>503624.40495408641</v>
      </c>
      <c r="P18" s="9">
        <f ca="1" xml:space="preserve"> SUMIF( Time!$J331:$BQ331, Time!P$28, 'Asset Finance'!$J15:$BQ15)</f>
        <v>618257.96694707533</v>
      </c>
      <c r="Q18" s="9">
        <f ca="1" xml:space="preserve"> SUMIF( Time!$J331:$BQ331, Time!Q$28, 'Asset Finance'!$J15:$BQ15)</f>
        <v>719151.09113462572</v>
      </c>
      <c r="R18" s="9">
        <f ca="1" xml:space="preserve"> SUMIF( Time!$J331:$BQ331, Time!R$28, 'Asset Finance'!$J15:$BQ15)</f>
        <v>800659.09475079505</v>
      </c>
      <c r="S18" s="9">
        <f ca="1" xml:space="preserve"> SUMIF( Time!$J331:$BQ331, Time!S$28, 'Asset Finance'!$J15:$BQ15)</f>
        <v>872397.22264416399</v>
      </c>
      <c r="T18" s="9">
        <f ca="1" xml:space="preserve"> SUMIF( Time!$J331:$BQ331, Time!T$28, 'Asset Finance'!$J15:$BQ15)</f>
        <v>935536.53124360123</v>
      </c>
      <c r="U18" s="9">
        <f ca="1" xml:space="preserve"> SUMIF( Time!$J331:$BQ331, Time!U$28, 'Asset Finance'!$J15:$BQ15)</f>
        <v>1159119.8622425417</v>
      </c>
      <c r="V18" s="9">
        <f ca="1" xml:space="preserve"> SUMIF( Time!$J331:$BQ331, Time!V$28, 'Asset Finance'!$J15:$BQ15)</f>
        <v>1355903.5998195172</v>
      </c>
      <c r="W18" s="9">
        <f ca="1" xml:space="preserve"> SUMIF( Time!$J331:$BQ331, Time!W$28, 'Asset Finance'!$J15:$BQ15)</f>
        <v>1529100.0505645303</v>
      </c>
      <c r="X18" s="9">
        <f ca="1" xml:space="preserve"> SUMIF( Time!$J331:$BQ331, Time!X$28, 'Asset Finance'!$J15:$BQ15)</f>
        <v>1849244.8144689412</v>
      </c>
      <c r="Y18" s="9">
        <f ca="1" xml:space="preserve"> SUMIF( Time!$J331:$BQ331, Time!Y$28, 'Asset Finance'!$J15:$BQ15)</f>
        <v>2131015.7449105619</v>
      </c>
      <c r="Z18" s="9">
        <f ca="1" xml:space="preserve"> SUMIF( Time!$J331:$BQ331, Time!Z$28, 'Asset Finance'!$J15:$BQ15)</f>
        <v>2379012.483241233</v>
      </c>
      <c r="AA18" s="9">
        <f ca="1" xml:space="preserve"> SUMIF( Time!$J331:$BQ331, Time!AA$28, 'Asset Finance'!$J15:$BQ15)</f>
        <v>2597283.3393805032</v>
      </c>
      <c r="AB18" s="9">
        <f ca="1" xml:space="preserve"> SUMIF( Time!$J331:$BQ331, Time!AB$28, 'Asset Finance'!$J15:$BQ15)</f>
        <v>2789391.3766089836</v>
      </c>
      <c r="AC18" s="9">
        <f ca="1" xml:space="preserve"> SUMIF( Time!$J331:$BQ331, Time!AC$28, 'Asset Finance'!$J15:$BQ15)</f>
        <v>2958472.5751737203</v>
      </c>
    </row>
    <row r="19" spans="5:16384">
      <c r="E19" s="16" t="str">
        <f xml:space="preserve"> VAT!E$32</f>
        <v>VAT balance</v>
      </c>
      <c r="F19" s="16">
        <f xml:space="preserve"> VAT!F$32</f>
        <v>0</v>
      </c>
      <c r="G19" s="16" t="str">
        <f xml:space="preserve"> VAT!G$32</f>
        <v>GBP</v>
      </c>
      <c r="H19" s="42">
        <f xml:space="preserve"> VAT!H$32</f>
        <v>0</v>
      </c>
      <c r="I19" s="16">
        <f xml:space="preserve"> VAT!I$32</f>
        <v>0</v>
      </c>
      <c r="J19" s="9">
        <f ca="1" xml:space="preserve"> SUMIF( Time!$J331:$BQ331, Time!J$28, VAT!$J32:$BQ32)</f>
        <v>-5308.42850641322</v>
      </c>
      <c r="K19" s="9">
        <f ca="1" xml:space="preserve"> SUMIF( Time!$J331:$BQ331, Time!K$28, VAT!$J32:$BQ32)</f>
        <v>-5572.1734228684691</v>
      </c>
      <c r="L19" s="9">
        <f ca="1" xml:space="preserve"> SUMIF( Time!$J331:$BQ331, Time!L$28, VAT!$J32:$BQ32)</f>
        <v>15752.014109771204</v>
      </c>
      <c r="M19" s="9">
        <f ca="1" xml:space="preserve"> SUMIF( Time!$J331:$BQ331, Time!M$28, VAT!$J32:$BQ32)</f>
        <v>-6196.7550234558857</v>
      </c>
      <c r="N19" s="9">
        <f ca="1" xml:space="preserve"> SUMIF( Time!$J331:$BQ331, Time!N$28, VAT!$J32:$BQ32)</f>
        <v>10034.489581142523</v>
      </c>
      <c r="O19" s="9">
        <f ca="1" xml:space="preserve"> SUMIF( Time!$J331:$BQ331, Time!O$28, VAT!$J32:$BQ32)</f>
        <v>-6997.4292817000678</v>
      </c>
      <c r="P19" s="9">
        <f ca="1" xml:space="preserve"> SUMIF( Time!$J331:$BQ331, Time!P$28, VAT!$J32:$BQ32)</f>
        <v>-20868.95033624093</v>
      </c>
      <c r="Q19" s="9">
        <f ca="1" xml:space="preserve"> SUMIF( Time!$J331:$BQ331, Time!Q$28, VAT!$J32:$BQ32)</f>
        <v>100957.13492645105</v>
      </c>
      <c r="R19" s="9">
        <f ca="1" xml:space="preserve"> SUMIF( Time!$J331:$BQ331, Time!R$28, VAT!$J32:$BQ32)</f>
        <v>37740.50373009668</v>
      </c>
      <c r="S19" s="9">
        <f ca="1" xml:space="preserve"> SUMIF( Time!$J331:$BQ331, Time!S$28, VAT!$J32:$BQ32)</f>
        <v>26081.030829183583</v>
      </c>
      <c r="T19" s="9">
        <f ca="1" xml:space="preserve"> SUMIF( Time!$J331:$BQ331, Time!T$28, VAT!$J32:$BQ32)</f>
        <v>175905.86531561724</v>
      </c>
      <c r="U19" s="9">
        <f ca="1" xml:space="preserve"> SUMIF( Time!$J331:$BQ331, Time!U$28, VAT!$J32:$BQ32)</f>
        <v>291795.14847907308</v>
      </c>
      <c r="V19" s="9">
        <f ca="1" xml:space="preserve"> SUMIF( Time!$J331:$BQ331, Time!V$28, VAT!$J32:$BQ32)</f>
        <v>186775.9064405245</v>
      </c>
      <c r="W19" s="9">
        <f ca="1" xml:space="preserve"> SUMIF( Time!$J331:$BQ331, Time!W$28, VAT!$J32:$BQ32)</f>
        <v>58605.366415737895</v>
      </c>
      <c r="X19" s="9">
        <f ca="1" xml:space="preserve"> SUMIF( Time!$J331:$BQ331, Time!X$28, VAT!$J32:$BQ32)</f>
        <v>221227.18327054882</v>
      </c>
      <c r="Y19" s="9">
        <f ca="1" xml:space="preserve"> SUMIF( Time!$J331:$BQ331, Time!Y$28, VAT!$J32:$BQ32)</f>
        <v>243216.41597105563</v>
      </c>
      <c r="Z19" s="9">
        <f ca="1" xml:space="preserve"> SUMIF( Time!$J331:$BQ331, Time!Z$28, VAT!$J32:$BQ32)</f>
        <v>441454.00891815987</v>
      </c>
      <c r="AA19" s="9">
        <f ca="1" xml:space="preserve"> SUMIF( Time!$J331:$BQ331, Time!AA$28, VAT!$J32:$BQ32)</f>
        <v>334489.39073877851</v>
      </c>
      <c r="AB19" s="9">
        <f ca="1" xml:space="preserve"> SUMIF( Time!$J331:$BQ331, Time!AB$28, VAT!$J32:$BQ32)</f>
        <v>378067.39412687602</v>
      </c>
      <c r="AC19" s="9">
        <f ca="1" xml:space="preserve"> SUMIF( Time!$J331:$BQ331, Time!AC$28, VAT!$J32:$BQ32)</f>
        <v>429412.62476073159</v>
      </c>
    </row>
    <row r="20" spans="5:16384">
      <c r="E20" s="16" t="str">
        <f xml:space="preserve"> 'Corporation tax'!E$78</f>
        <v>Corporation tax creditor</v>
      </c>
      <c r="F20" s="16">
        <f xml:space="preserve"> 'Corporation tax'!F$78</f>
        <v>0</v>
      </c>
      <c r="G20" s="16" t="str">
        <f xml:space="preserve"> 'Corporation tax'!G$78</f>
        <v>GBP</v>
      </c>
      <c r="H20" s="42">
        <f xml:space="preserve"> 'Corporation tax'!H$78</f>
        <v>0</v>
      </c>
      <c r="I20" s="16">
        <f xml:space="preserve"> 'Corporation tax'!I$78</f>
        <v>0</v>
      </c>
      <c r="J20" s="9">
        <f ca="1" xml:space="preserve"> SUMIF( Time!$J331:$BQ331, Time!J$28, 'Corporation tax'!$J78:$BQ78)</f>
        <v>0</v>
      </c>
      <c r="K20" s="9">
        <f ca="1" xml:space="preserve"> SUMIF( Time!$J331:$BQ331, Time!K$28, 'Corporation tax'!$J78:$BQ78)</f>
        <v>0</v>
      </c>
      <c r="L20" s="9">
        <f ca="1" xml:space="preserve"> SUMIF( Time!$J331:$BQ331, Time!L$28, 'Corporation tax'!$J78:$BQ78)</f>
        <v>0</v>
      </c>
      <c r="M20" s="9">
        <f ca="1" xml:space="preserve"> SUMIF( Time!$J331:$BQ331, Time!M$28, 'Corporation tax'!$J78:$BQ78)</f>
        <v>0</v>
      </c>
      <c r="N20" s="9">
        <f ca="1" xml:space="preserve"> SUMIF( Time!$J331:$BQ331, Time!N$28, 'Corporation tax'!$J78:$BQ78)</f>
        <v>0</v>
      </c>
      <c r="O20" s="9">
        <f ca="1" xml:space="preserve"> SUMIF( Time!$J331:$BQ331, Time!O$28, 'Corporation tax'!$J78:$BQ78)</f>
        <v>0</v>
      </c>
      <c r="P20" s="9">
        <f ca="1" xml:space="preserve"> SUMIF( Time!$J331:$BQ331, Time!P$28, 'Corporation tax'!$J78:$BQ78)</f>
        <v>34347.96560952768</v>
      </c>
      <c r="Q20" s="9">
        <f ca="1" xml:space="preserve"> SUMIF( Time!$J331:$BQ331, Time!Q$28, 'Corporation tax'!$J78:$BQ78)</f>
        <v>106978.39281702002</v>
      </c>
      <c r="R20" s="9">
        <f ca="1" xml:space="preserve"> SUMIF( Time!$J331:$BQ331, Time!R$28, 'Corporation tax'!$J78:$BQ78)</f>
        <v>195685.12595542119</v>
      </c>
      <c r="S20" s="9">
        <f ca="1" xml:space="preserve"> SUMIF( Time!$J331:$BQ331, Time!S$28, 'Corporation tax'!$J78:$BQ78)</f>
        <v>131058.68385670075</v>
      </c>
      <c r="T20" s="9">
        <f ca="1" xml:space="preserve"> SUMIF( Time!$J331:$BQ331, Time!T$28, 'Corporation tax'!$J78:$BQ78)</f>
        <v>317831.06851123407</v>
      </c>
      <c r="U20" s="9">
        <f ca="1" xml:space="preserve"> SUMIF( Time!$J331:$BQ331, Time!U$28, 'Corporation tax'!$J78:$BQ78)</f>
        <v>549993.72394885693</v>
      </c>
      <c r="V20" s="9">
        <f ca="1" xml:space="preserve"> SUMIF( Time!$J331:$BQ331, Time!V$28, 'Corporation tax'!$J78:$BQ78)</f>
        <v>829461.348841978</v>
      </c>
      <c r="W20" s="9">
        <f ca="1" xml:space="preserve"> SUMIF( Time!$J331:$BQ331, Time!W$28, 'Corporation tax'!$J78:$BQ78)</f>
        <v>340898.86004735494</v>
      </c>
      <c r="X20" s="9">
        <f ca="1" xml:space="preserve"> SUMIF( Time!$J331:$BQ331, Time!X$28, 'Corporation tax'!$J78:$BQ78)</f>
        <v>769971.42644998198</v>
      </c>
      <c r="Y20" s="9">
        <f ca="1" xml:space="preserve"> SUMIF( Time!$J331:$BQ331, Time!Y$28, 'Corporation tax'!$J78:$BQ78)</f>
        <v>1290597.9976512392</v>
      </c>
      <c r="Z20" s="9">
        <f ca="1" xml:space="preserve"> SUMIF( Time!$J331:$BQ331, Time!Z$28, 'Corporation tax'!$J78:$BQ78)</f>
        <v>1918477.5042626159</v>
      </c>
      <c r="AA20" s="9">
        <f ca="1" xml:space="preserve"> SUMIF( Time!$J331:$BQ331, Time!AA$28, 'Corporation tax'!$J78:$BQ78)</f>
        <v>773816.03168319841</v>
      </c>
      <c r="AB20" s="9">
        <f ca="1" xml:space="preserve"> SUMIF( Time!$J331:$BQ331, Time!AB$28, 'Corporation tax'!$J78:$BQ78)</f>
        <v>1701081.4382081479</v>
      </c>
      <c r="AC20" s="9">
        <f ca="1" xml:space="preserve"> SUMIF( Time!$J331:$BQ331, Time!AC$28, 'Corporation tax'!$J78:$BQ78)</f>
        <v>2790847.9047092618</v>
      </c>
    </row>
    <row r="21" spans="5:16384">
      <c r="E21" s="12" t="s">
        <v>222</v>
      </c>
      <c r="F21" s="32"/>
      <c r="G21" s="12" t="s">
        <v>252</v>
      </c>
      <c r="H21" s="54"/>
      <c r="I21" s="32"/>
      <c r="J21" s="12">
        <f ca="1" xml:space="preserve"> SUMIF( Time!$J331:$BQ331, Time!J$28, 'Balance Sheet'!$J21:$BQ21)</f>
        <v>312912.05760469788</v>
      </c>
      <c r="K21" s="12">
        <f ca="1" xml:space="preserve"> SUMIF( Time!$J331:$BQ331, Time!K$28, 'Balance Sheet'!$J21:$BQ21)</f>
        <v>293383.71159694414</v>
      </c>
      <c r="L21" s="12">
        <f ca="1" xml:space="preserve"> SUMIF( Time!$J331:$BQ331, Time!L$28, 'Balance Sheet'!$J21:$BQ21)</f>
        <v>1071637.9588325089</v>
      </c>
      <c r="M21" s="12">
        <f ca="1" xml:space="preserve"> SUMIF( Time!$J331:$BQ331, Time!M$28, 'Balance Sheet'!$J21:$BQ21)</f>
        <v>843113.44662275282</v>
      </c>
      <c r="N21" s="12">
        <f ca="1" xml:space="preserve"> SUMIF( Time!$J331:$BQ331, Time!N$28, 'Balance Sheet'!$J21:$BQ21)</f>
        <v>1427393.0947659425</v>
      </c>
      <c r="O21" s="12">
        <f ca="1" xml:space="preserve"> SUMIF( Time!$J331:$BQ331, Time!O$28, 'Balance Sheet'!$J21:$BQ21)</f>
        <v>1329821.7545988406</v>
      </c>
      <c r="P21" s="12">
        <f ca="1" xml:space="preserve"> SUMIF( Time!$J331:$BQ331, Time!P$28, 'Balance Sheet'!$J21:$BQ21)</f>
        <v>2427819.784672705</v>
      </c>
      <c r="Q21" s="12">
        <f ca="1" xml:space="preserve"> SUMIF( Time!$J331:$BQ331, Time!Q$28, 'Balance Sheet'!$J21:$BQ21)</f>
        <v>2861281.3978045508</v>
      </c>
      <c r="R21" s="12">
        <f ca="1" xml:space="preserve"> SUMIF( Time!$J331:$BQ331, Time!R$28, 'Balance Sheet'!$J21:$BQ21)</f>
        <v>3276248.1910989285</v>
      </c>
      <c r="S21" s="12">
        <f ca="1" xml:space="preserve"> SUMIF( Time!$J331:$BQ331, Time!S$28, 'Balance Sheet'!$J21:$BQ21)</f>
        <v>3560839.9985644948</v>
      </c>
      <c r="T21" s="12">
        <f ca="1" xml:space="preserve"> SUMIF( Time!$J331:$BQ331, Time!T$28, 'Balance Sheet'!$J21:$BQ21)</f>
        <v>5479558.2255938333</v>
      </c>
      <c r="U21" s="12">
        <f ca="1" xml:space="preserve"> SUMIF( Time!$J331:$BQ331, Time!U$28, 'Balance Sheet'!$J21:$BQ21)</f>
        <v>6862740.3296481175</v>
      </c>
      <c r="V21" s="12">
        <f ca="1" xml:space="preserve"> SUMIF( Time!$J331:$BQ331, Time!V$28, 'Balance Sheet'!$J21:$BQ21)</f>
        <v>7482764.0264993608</v>
      </c>
      <c r="W21" s="12">
        <f ca="1" xml:space="preserve"> SUMIF( Time!$J331:$BQ331, Time!W$28, 'Balance Sheet'!$J21:$BQ21)</f>
        <v>7889985.3247936266</v>
      </c>
      <c r="X21" s="12">
        <f ca="1" xml:space="preserve"> SUMIF( Time!$J331:$BQ331, Time!X$28, 'Balance Sheet'!$J21:$BQ21)</f>
        <v>11047452.575356521</v>
      </c>
      <c r="Y21" s="12">
        <f ca="1" xml:space="preserve"> SUMIF( Time!$J331:$BQ331, Time!Y$28, 'Balance Sheet'!$J21:$BQ21)</f>
        <v>13224027.423368616</v>
      </c>
      <c r="Z21" s="12">
        <f ca="1" xml:space="preserve"> SUMIF( Time!$J331:$BQ331, Time!Z$28, 'Balance Sheet'!$J21:$BQ21)</f>
        <v>16288156.375198897</v>
      </c>
      <c r="AA21" s="12">
        <f ca="1" xml:space="preserve"> SUMIF( Time!$J331:$BQ331, Time!AA$28, 'Balance Sheet'!$J21:$BQ21)</f>
        <v>17115232.434675887</v>
      </c>
      <c r="AB21" s="12">
        <f ca="1" xml:space="preserve"> SUMIF( Time!$J331:$BQ331, Time!AB$28, 'Balance Sheet'!$J21:$BQ21)</f>
        <v>20660215.678178649</v>
      </c>
      <c r="AC21" s="12">
        <f ca="1" xml:space="preserve"> SUMIF( Time!$J331:$BQ331, Time!AC$28, 'Balance Sheet'!$J21:$BQ21)</f>
        <v>24217395.9562007</v>
      </c>
    </row>
    <row r="23" spans="5:16384">
      <c r="E23" s="67" t="str">
        <f xml:space="preserve"> Financials!E$24</f>
        <v>Net Assets</v>
      </c>
      <c r="F23" s="67"/>
      <c r="G23" s="67" t="str">
        <f xml:space="preserve"> Financials!G$24</f>
        <v>GBP</v>
      </c>
      <c r="H23" s="110">
        <f xml:space="preserve"> Financials!H$24</f>
        <v>0</v>
      </c>
      <c r="I23" s="67">
        <f xml:space="preserve"> Financials!I$24</f>
        <v>0</v>
      </c>
      <c r="J23" s="17">
        <f ca="1" xml:space="preserve"> SUMIF( Time!$J331:$BQ331, Time!J$28, Financials!$J24:$BQ24)</f>
        <v>-174788.92979549034</v>
      </c>
      <c r="K23" s="17">
        <f ca="1" xml:space="preserve"> SUMIF( Time!$J331:$BQ331, Time!K$28, Financials!$J24:$BQ24)</f>
        <v>-365325.20976966218</v>
      </c>
      <c r="L23" s="17">
        <f ca="1" xml:space="preserve"> SUMIF( Time!$J331:$BQ331, Time!L$28, Financials!$J24:$BQ24)</f>
        <v>-471189.75361196895</v>
      </c>
      <c r="M23" s="17">
        <f ca="1" xml:space="preserve"> SUMIF( Time!$J331:$BQ331, Time!M$28, Financials!$J24:$BQ24)</f>
        <v>-524092.80616935919</v>
      </c>
      <c r="N23" s="17">
        <f ca="1" xml:space="preserve"> SUMIF( Time!$J331:$BQ331, Time!N$28, Financials!$J24:$BQ24)</f>
        <v>-490810.77721444704</v>
      </c>
      <c r="O23" s="17">
        <f ca="1" xml:space="preserve"> SUMIF( Time!$J331:$BQ331, Time!O$28, Financials!$J24:$BQ24)</f>
        <v>-418966.50193450938</v>
      </c>
      <c r="P23" s="17">
        <f ca="1" xml:space="preserve"> SUMIF( Time!$J331:$BQ331, Time!P$28, Financials!$J24:$BQ24)</f>
        <v>-291303.52951702429</v>
      </c>
      <c r="Q23" s="17">
        <f ca="1" xml:space="preserve"> SUMIF( Time!$J331:$BQ331, Time!Q$28, Financials!$J24:$BQ24)</f>
        <v>-122013.92081704643</v>
      </c>
      <c r="R23" s="17">
        <f ca="1" xml:space="preserve"> SUMIF( Time!$J331:$BQ331, Time!R$28, Financials!$J24:$BQ24)</f>
        <v>81544.340408759192</v>
      </c>
      <c r="S23" s="17">
        <f ca="1" xml:space="preserve"> SUMIF( Time!$J331:$BQ331, Time!S$28, Financials!$J24:$BQ24)</f>
        <v>438462.07065904792</v>
      </c>
      <c r="T23" s="17">
        <f ca="1" xml:space="preserve"> SUMIF( Time!$J331:$BQ331, Time!T$28, Financials!$J24:$BQ24)</f>
        <v>1003782.2953305198</v>
      </c>
      <c r="U23" s="17">
        <f ca="1" xml:space="preserve"> SUMIF( Time!$J331:$BQ331, Time!U$28, Financials!$J24:$BQ24)</f>
        <v>1729637.4415939068</v>
      </c>
      <c r="V23" s="17">
        <f ca="1" xml:space="preserve"> SUMIF( Time!$J331:$BQ331, Time!V$28, Financials!$J24:$BQ24)</f>
        <v>2609102.6780487224</v>
      </c>
      <c r="W23" s="17">
        <f ca="1" xml:space="preserve"> SUMIF( Time!$J331:$BQ331, Time!W$28, Financials!$J24:$BQ24)</f>
        <v>3701558.7708926043</v>
      </c>
      <c r="X23" s="17">
        <f ca="1" xml:space="preserve"> SUMIF( Time!$J331:$BQ331, Time!X$28, Financials!$J24:$BQ24)</f>
        <v>5108786.3336179405</v>
      </c>
      <c r="Y23" s="17">
        <f ca="1" xml:space="preserve"> SUMIF( Time!$J331:$BQ331, Time!Y$28, Financials!$J24:$BQ24)</f>
        <v>6831417.5458162744</v>
      </c>
      <c r="Z23" s="17">
        <f ca="1" xml:space="preserve"> SUMIF( Time!$J331:$BQ331, Time!Z$28, Financials!$J24:$BQ24)</f>
        <v>8938907.7648204491</v>
      </c>
      <c r="AA23" s="17">
        <f ca="1" xml:space="preserve"> SUMIF( Time!$J331:$BQ331, Time!AA$28, Financials!$J24:$BQ24)</f>
        <v>11595988.624808423</v>
      </c>
      <c r="AB23" s="17">
        <f ca="1" xml:space="preserve"> SUMIF( Time!$J331:$BQ331, Time!AB$28, Financials!$J24:$BQ24)</f>
        <v>14840181.367642488</v>
      </c>
      <c r="AC23" s="17">
        <f ca="1" xml:space="preserve"> SUMIF( Time!$J331:$BQ331, Time!AC$28, Financials!$J24:$BQ24)</f>
        <v>18716388.842557337</v>
      </c>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6" t="str">
        <f xml:space="preserve"> Financials!E$38</f>
        <v>Retained Earnings</v>
      </c>
      <c r="F25" s="16">
        <f xml:space="preserve"> Financials!F$38</f>
        <v>0</v>
      </c>
      <c r="G25" s="16" t="str">
        <f xml:space="preserve"> Financials!G$38</f>
        <v>GBP</v>
      </c>
      <c r="H25" s="42">
        <f xml:space="preserve"> Financials!H$38</f>
        <v>0</v>
      </c>
      <c r="I25" s="16">
        <f xml:space="preserve"> Financials!I$38</f>
        <v>0</v>
      </c>
      <c r="J25" s="9">
        <f ca="1" xml:space="preserve"> SUMIF( Time!$J331:$BQ331, Time!J$28, Financials!$J38:$BQ38)</f>
        <v>-174788.92979549034</v>
      </c>
      <c r="K25" s="9">
        <f ca="1" xml:space="preserve"> SUMIF( Time!$J331:$BQ331, Time!K$28, Financials!$J38:$BQ38)</f>
        <v>-365325.20976966212</v>
      </c>
      <c r="L25" s="9">
        <f ca="1" xml:space="preserve"> SUMIF( Time!$J331:$BQ331, Time!L$28, Financials!$J38:$BQ38)</f>
        <v>-471189.75361196895</v>
      </c>
      <c r="M25" s="9">
        <f ca="1" xml:space="preserve"> SUMIF( Time!$J331:$BQ331, Time!M$28, Financials!$J38:$BQ38)</f>
        <v>-524092.80616935901</v>
      </c>
      <c r="N25" s="9">
        <f ca="1" xml:space="preserve"> SUMIF( Time!$J331:$BQ331, Time!N$28, Financials!$J38:$BQ38)</f>
        <v>-490810.77721444675</v>
      </c>
      <c r="O25" s="9">
        <f ca="1" xml:space="preserve"> SUMIF( Time!$J331:$BQ331, Time!O$28, Financials!$J38:$BQ38)</f>
        <v>-418966.50193450914</v>
      </c>
      <c r="P25" s="9">
        <f ca="1" xml:space="preserve"> SUMIF( Time!$J331:$BQ331, Time!P$28, Financials!$J38:$BQ38)</f>
        <v>-291303.52951702388</v>
      </c>
      <c r="Q25" s="9">
        <f ca="1" xml:space="preserve"> SUMIF( Time!$J331:$BQ331, Time!Q$28, Financials!$J38:$BQ38)</f>
        <v>-122013.92081704651</v>
      </c>
      <c r="R25" s="9">
        <f ca="1" xml:space="preserve"> SUMIF( Time!$J331:$BQ331, Time!R$28, Financials!$J38:$BQ38)</f>
        <v>81544.340408759512</v>
      </c>
      <c r="S25" s="9">
        <f ca="1" xml:space="preserve"> SUMIF( Time!$J331:$BQ331, Time!S$28, Financials!$J38:$BQ38)</f>
        <v>438462.07065904653</v>
      </c>
      <c r="T25" s="9">
        <f ca="1" xml:space="preserve"> SUMIF( Time!$J331:$BQ331, Time!T$28, Financials!$J38:$BQ38)</f>
        <v>1003782.2953305185</v>
      </c>
      <c r="U25" s="9">
        <f ca="1" xml:space="preserve"> SUMIF( Time!$J331:$BQ331, Time!U$28, Financials!$J38:$BQ38)</f>
        <v>1729637.4415939085</v>
      </c>
      <c r="V25" s="9">
        <f ca="1" xml:space="preserve"> SUMIF( Time!$J331:$BQ331, Time!V$28, Financials!$J38:$BQ38)</f>
        <v>2609102.6780487243</v>
      </c>
      <c r="W25" s="9">
        <f ca="1" xml:space="preserve"> SUMIF( Time!$J331:$BQ331, Time!W$28, Financials!$J38:$BQ38)</f>
        <v>3701558.7708926075</v>
      </c>
      <c r="X25" s="9">
        <f ca="1" xml:space="preserve"> SUMIF( Time!$J331:$BQ331, Time!X$28, Financials!$J38:$BQ38)</f>
        <v>5108786.3336179443</v>
      </c>
      <c r="Y25" s="9">
        <f ca="1" xml:space="preserve"> SUMIF( Time!$J331:$BQ331, Time!Y$28, Financials!$J38:$BQ38)</f>
        <v>6831417.5458162762</v>
      </c>
      <c r="Z25" s="9">
        <f ca="1" xml:space="preserve"> SUMIF( Time!$J331:$BQ331, Time!Z$28, Financials!$J38:$BQ38)</f>
        <v>8938907.7648204528</v>
      </c>
      <c r="AA25" s="9">
        <f ca="1" xml:space="preserve"> SUMIF( Time!$J331:$BQ331, Time!AA$28, Financials!$J38:$BQ38)</f>
        <v>11595988.624808421</v>
      </c>
      <c r="AB25" s="9">
        <f ca="1" xml:space="preserve"> SUMIF( Time!$J331:$BQ331, Time!AB$28, Financials!$J38:$BQ38)</f>
        <v>14840181.367642488</v>
      </c>
      <c r="AC25" s="9">
        <f ca="1" xml:space="preserve"> SUMIF( Time!$J331:$BQ331, Time!AC$28, Financials!$J38:$BQ38)</f>
        <v>18716388.84255733</v>
      </c>
    </row>
    <row r="26" spans="5:16384">
      <c r="E26" s="16" t="str">
        <f xml:space="preserve"> Equity!E$13</f>
        <v>Share Capital</v>
      </c>
      <c r="F26" s="16">
        <f xml:space="preserve"> Equity!F$13</f>
        <v>0</v>
      </c>
      <c r="G26" s="16" t="str">
        <f xml:space="preserve"> Equity!G$13</f>
        <v>GBP</v>
      </c>
      <c r="H26" s="42">
        <f xml:space="preserve"> Equity!H$13</f>
        <v>0</v>
      </c>
      <c r="I26" s="16">
        <f xml:space="preserve"> Equity!I$13</f>
        <v>0</v>
      </c>
      <c r="J26" s="9">
        <f xml:space="preserve"> SUMIF( Time!$J331:$BQ331, Time!J$28, Equity!$J13:$BQ13)</f>
        <v>0</v>
      </c>
      <c r="K26" s="9">
        <f xml:space="preserve"> SUMIF( Time!$J331:$BQ331, Time!K$28, Equity!$J13:$BQ13)</f>
        <v>0</v>
      </c>
      <c r="L26" s="9">
        <f xml:space="preserve"> SUMIF( Time!$J331:$BQ331, Time!L$28, Equity!$J13:$BQ13)</f>
        <v>0</v>
      </c>
      <c r="M26" s="9">
        <f xml:space="preserve"> SUMIF( Time!$J331:$BQ331, Time!M$28, Equity!$J13:$BQ13)</f>
        <v>0</v>
      </c>
      <c r="N26" s="9">
        <f xml:space="preserve"> SUMIF( Time!$J331:$BQ331, Time!N$28, Equity!$J13:$BQ13)</f>
        <v>0</v>
      </c>
      <c r="O26" s="9">
        <f xml:space="preserve"> SUMIF( Time!$J331:$BQ331, Time!O$28, Equity!$J13:$BQ13)</f>
        <v>0</v>
      </c>
      <c r="P26" s="9">
        <f xml:space="preserve"> SUMIF( Time!$J331:$BQ331, Time!P$28, Equity!$J13:$BQ13)</f>
        <v>0</v>
      </c>
      <c r="Q26" s="9">
        <f xml:space="preserve"> SUMIF( Time!$J331:$BQ331, Time!Q$28, Equity!$J13:$BQ13)</f>
        <v>0</v>
      </c>
      <c r="R26" s="9">
        <f xml:space="preserve"> SUMIF( Time!$J331:$BQ331, Time!R$28, Equity!$J13:$BQ13)</f>
        <v>0</v>
      </c>
      <c r="S26" s="9">
        <f xml:space="preserve"> SUMIF( Time!$J331:$BQ331, Time!S$28, Equity!$J13:$BQ13)</f>
        <v>0</v>
      </c>
      <c r="T26" s="9">
        <f xml:space="preserve"> SUMIF( Time!$J331:$BQ331, Time!T$28, Equity!$J13:$BQ13)</f>
        <v>0</v>
      </c>
      <c r="U26" s="9">
        <f xml:space="preserve"> SUMIF( Time!$J331:$BQ331, Time!U$28, Equity!$J13:$BQ13)</f>
        <v>0</v>
      </c>
      <c r="V26" s="9">
        <f xml:space="preserve"> SUMIF( Time!$J331:$BQ331, Time!V$28, Equity!$J13:$BQ13)</f>
        <v>0</v>
      </c>
      <c r="W26" s="9">
        <f xml:space="preserve"> SUMIF( Time!$J331:$BQ331, Time!W$28, Equity!$J13:$BQ13)</f>
        <v>0</v>
      </c>
      <c r="X26" s="9">
        <f xml:space="preserve"> SUMIF( Time!$J331:$BQ331, Time!X$28, Equity!$J13:$BQ13)</f>
        <v>0</v>
      </c>
      <c r="Y26" s="9">
        <f xml:space="preserve"> SUMIF( Time!$J331:$BQ331, Time!Y$28, Equity!$J13:$BQ13)</f>
        <v>0</v>
      </c>
      <c r="Z26" s="9">
        <f xml:space="preserve"> SUMIF( Time!$J331:$BQ331, Time!Z$28, Equity!$J13:$BQ13)</f>
        <v>0</v>
      </c>
      <c r="AA26" s="9">
        <f xml:space="preserve"> SUMIF( Time!$J331:$BQ331, Time!AA$28, Equity!$J13:$BQ13)</f>
        <v>0</v>
      </c>
      <c r="AB26" s="9">
        <f xml:space="preserve"> SUMIF( Time!$J331:$BQ331, Time!AB$28, Equity!$J13:$BQ13)</f>
        <v>0</v>
      </c>
      <c r="AC26" s="9">
        <f xml:space="preserve"> SUMIF( Time!$J331:$BQ331, Time!AC$28, Equity!$J13:$BQ13)</f>
        <v>0</v>
      </c>
    </row>
    <row r="27" spans="5:16384">
      <c r="E27" s="67" t="str">
        <f xml:space="preserve"> Financials!E$30</f>
        <v>Shareholder Equity</v>
      </c>
      <c r="F27" s="67"/>
      <c r="G27" s="67" t="str">
        <f xml:space="preserve"> Financials!G$30</f>
        <v>GBP</v>
      </c>
      <c r="H27" s="110">
        <f xml:space="preserve"> Financials!H$30</f>
        <v>0</v>
      </c>
      <c r="I27" s="67">
        <f xml:space="preserve"> Financials!I$30</f>
        <v>0</v>
      </c>
      <c r="J27" s="17">
        <f ca="1" xml:space="preserve"> SUMIF( Time!$J331:$BQ331, Time!J$28, Financials!$J30:$BQ30)</f>
        <v>-174788.92979549034</v>
      </c>
      <c r="K27" s="17">
        <f ca="1" xml:space="preserve"> SUMIF( Time!$J331:$BQ331, Time!K$28, Financials!$J30:$BQ30)</f>
        <v>-365325.20976966212</v>
      </c>
      <c r="L27" s="17">
        <f ca="1" xml:space="preserve"> SUMIF( Time!$J331:$BQ331, Time!L$28, Financials!$J30:$BQ30)</f>
        <v>-471189.75361196895</v>
      </c>
      <c r="M27" s="17">
        <f ca="1" xml:space="preserve"> SUMIF( Time!$J331:$BQ331, Time!M$28, Financials!$J30:$BQ30)</f>
        <v>-524092.80616935901</v>
      </c>
      <c r="N27" s="17">
        <f ca="1" xml:space="preserve"> SUMIF( Time!$J331:$BQ331, Time!N$28, Financials!$J30:$BQ30)</f>
        <v>-490810.77721444675</v>
      </c>
      <c r="O27" s="17">
        <f ca="1" xml:space="preserve"> SUMIF( Time!$J331:$BQ331, Time!O$28, Financials!$J30:$BQ30)</f>
        <v>-418966.50193450914</v>
      </c>
      <c r="P27" s="17">
        <f ca="1" xml:space="preserve"> SUMIF( Time!$J331:$BQ331, Time!P$28, Financials!$J30:$BQ30)</f>
        <v>-291303.52951702388</v>
      </c>
      <c r="Q27" s="17">
        <f ca="1" xml:space="preserve"> SUMIF( Time!$J331:$BQ331, Time!Q$28, Financials!$J30:$BQ30)</f>
        <v>-122013.92081704651</v>
      </c>
      <c r="R27" s="17">
        <f ca="1" xml:space="preserve"> SUMIF( Time!$J331:$BQ331, Time!R$28, Financials!$J30:$BQ30)</f>
        <v>81544.340408759512</v>
      </c>
      <c r="S27" s="17">
        <f ca="1" xml:space="preserve"> SUMIF( Time!$J331:$BQ331, Time!S$28, Financials!$J30:$BQ30)</f>
        <v>438462.07065904653</v>
      </c>
      <c r="T27" s="17">
        <f ca="1" xml:space="preserve"> SUMIF( Time!$J331:$BQ331, Time!T$28, Financials!$J30:$BQ30)</f>
        <v>1003782.2953305185</v>
      </c>
      <c r="U27" s="17">
        <f ca="1" xml:space="preserve"> SUMIF( Time!$J331:$BQ331, Time!U$28, Financials!$J30:$BQ30)</f>
        <v>1729637.4415939085</v>
      </c>
      <c r="V27" s="17">
        <f ca="1" xml:space="preserve"> SUMIF( Time!$J331:$BQ331, Time!V$28, Financials!$J30:$BQ30)</f>
        <v>2609102.6780487243</v>
      </c>
      <c r="W27" s="17">
        <f ca="1" xml:space="preserve"> SUMIF( Time!$J331:$BQ331, Time!W$28, Financials!$J30:$BQ30)</f>
        <v>3701558.7708926075</v>
      </c>
      <c r="X27" s="17">
        <f ca="1" xml:space="preserve"> SUMIF( Time!$J331:$BQ331, Time!X$28, Financials!$J30:$BQ30)</f>
        <v>5108786.3336179443</v>
      </c>
      <c r="Y27" s="17">
        <f ca="1" xml:space="preserve"> SUMIF( Time!$J331:$BQ331, Time!Y$28, Financials!$J30:$BQ30)</f>
        <v>6831417.5458162762</v>
      </c>
      <c r="Z27" s="17">
        <f ca="1" xml:space="preserve"> SUMIF( Time!$J331:$BQ331, Time!Z$28, Financials!$J30:$BQ30)</f>
        <v>8938907.7648204528</v>
      </c>
      <c r="AA27" s="17">
        <f ca="1" xml:space="preserve"> SUMIF( Time!$J331:$BQ331, Time!AA$28, Financials!$J30:$BQ30)</f>
        <v>11595988.624808421</v>
      </c>
      <c r="AB27" s="17">
        <f ca="1" xml:space="preserve"> SUMIF( Time!$J331:$BQ331, Time!AB$28, Financials!$J30:$BQ30)</f>
        <v>14840181.367642488</v>
      </c>
      <c r="AC27" s="17">
        <f ca="1" xml:space="preserve"> SUMIF( Time!$J331:$BQ331, Time!AC$28, Financials!$J30:$BQ30)</f>
        <v>18716388.84255733</v>
      </c>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84" priority="1" stopIfTrue="1" operator="notEqual">
      <formula>0</formula>
    </cfRule>
    <cfRule type="cellIs" dxfId="83" priority="2" stopIfTrue="1" operator="equal">
      <formula>""</formula>
    </cfRule>
  </conditionalFormatting>
  <conditionalFormatting sqref="J3:AC3">
    <cfRule type="cellIs" dxfId="82" priority="3" operator="equal">
      <formula>"PPA ext."</formula>
    </cfRule>
    <cfRule type="cellIs" dxfId="81" priority="4" operator="equal">
      <formula>"Delay"</formula>
    </cfRule>
    <cfRule type="cellIs" dxfId="80" priority="5" operator="equal">
      <formula>"Fin Close"</formula>
    </cfRule>
    <cfRule type="cellIs" dxfId="79" priority="6" stopIfTrue="1" operator="equal">
      <formula>"Construction"</formula>
    </cfRule>
    <cfRule type="cellIs" dxfId="7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4F81BD"/>
    <outlinePr summaryBelow="0" summaryRight="0"/>
  </sheetPr>
  <dimension ref="A1:XFD27"/>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15.08984375" defaultRowHeight="13.15"/>
  <cols>
    <col min="1" max="2" width="1.453125" style="24" customWidth="1"/>
    <col min="3" max="3" width="1.453125" style="49" customWidth="1"/>
    <col min="4" max="4" width="1.453125" style="76" customWidth="1"/>
    <col min="5" max="5" width="31.81640625" bestFit="1" customWidth="1"/>
    <col min="6" max="6" width="20.54296875" bestFit="1" customWidth="1"/>
    <col min="7" max="7" width="13.1796875" bestFit="1" customWidth="1"/>
    <col min="8" max="8" width="7.6328125" style="43" bestFit="1" customWidth="1"/>
    <col min="9" max="9" width="3.453125" customWidth="1"/>
    <col min="10" max="15" width="11.81640625" bestFit="1" customWidth="1"/>
    <col min="16" max="19" width="13.1796875" bestFit="1" customWidth="1"/>
  </cols>
  <sheetData>
    <row r="1" spans="1:19" s="75" customFormat="1" ht="25.15">
      <c r="A1" s="45" t="str">
        <f ca="1" xml:space="preserve"> RIGHT(CELL("filename", A1), LEN(CELL("filename", A1)) - SEARCH("]", CELL("filename", A1)))</f>
        <v>Balance Sheet SemiAnnually</v>
      </c>
      <c r="B1" s="69"/>
      <c r="C1" s="74"/>
      <c r="D1" s="71"/>
      <c r="F1" s="52" t="str">
        <f>HYPERLINK("#Contents!A1","Go to contents")</f>
        <v>Go to contents</v>
      </c>
      <c r="H1" s="47"/>
      <c r="J1" s="47"/>
    </row>
    <row r="2" spans="1:19" s="53" customFormat="1">
      <c r="A2" s="48"/>
      <c r="B2" s="48"/>
      <c r="C2" s="72"/>
      <c r="D2" s="73"/>
      <c r="E2" s="22" t="s">
        <v>324</v>
      </c>
      <c r="F2" s="51">
        <f ca="1" xml:space="preserve"> 'Model Checks and Alerts'!F11</f>
        <v>0</v>
      </c>
      <c r="G2" s="55"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4" customFormat="1">
      <c r="A3" s="48"/>
      <c r="B3" s="48"/>
      <c r="C3" s="72"/>
      <c r="D3" s="73"/>
      <c r="E3" s="39" t="s">
        <v>203</v>
      </c>
      <c r="F3" s="51"/>
      <c r="G3" s="55" t="s">
        <v>97</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8" customFormat="1">
      <c r="A4" s="48"/>
      <c r="B4" s="48"/>
      <c r="C4" s="72"/>
      <c r="D4" s="73"/>
      <c r="E4" s="22" t="s">
        <v>325</v>
      </c>
      <c r="F4"/>
      <c r="G4"/>
      <c r="H4" s="50"/>
      <c r="I4" s="50"/>
      <c r="J4" s="28">
        <f xml:space="preserve"> Time!J$108</f>
        <v>6</v>
      </c>
      <c r="K4" s="28">
        <f xml:space="preserve"> Time!K$108</f>
        <v>12</v>
      </c>
      <c r="L4" s="28">
        <f xml:space="preserve"> Time!L$108</f>
        <v>18</v>
      </c>
      <c r="M4" s="28">
        <f xml:space="preserve"> Time!M$108</f>
        <v>24</v>
      </c>
      <c r="N4" s="28">
        <f xml:space="preserve"> Time!N$108</f>
        <v>30</v>
      </c>
      <c r="O4" s="28">
        <f xml:space="preserve"> Time!O$108</f>
        <v>36</v>
      </c>
      <c r="P4" s="28">
        <f xml:space="preserve"> Time!P$108</f>
        <v>42</v>
      </c>
      <c r="Q4" s="28">
        <f xml:space="preserve"> Time!Q$108</f>
        <v>48</v>
      </c>
      <c r="R4" s="28">
        <f xml:space="preserve"> Time!R$108</f>
        <v>54</v>
      </c>
      <c r="S4" s="28">
        <f xml:space="preserve"> Time!S$108</f>
        <v>60</v>
      </c>
    </row>
    <row r="5" spans="1:19" s="34" customFormat="1">
      <c r="A5" s="48"/>
      <c r="B5" s="48"/>
      <c r="C5" s="72"/>
      <c r="D5" s="73"/>
      <c r="E5" s="22" t="s">
        <v>305</v>
      </c>
      <c r="F5" s="24" t="s">
        <v>248</v>
      </c>
      <c r="G5" s="24" t="s">
        <v>224</v>
      </c>
      <c r="H5" s="24" t="s">
        <v>202</v>
      </c>
      <c r="I5" s="50"/>
      <c r="J5" s="15"/>
      <c r="K5" s="15"/>
      <c r="L5" s="15"/>
      <c r="M5" s="15"/>
      <c r="N5" s="15"/>
      <c r="O5" s="15"/>
      <c r="P5" s="15"/>
    </row>
    <row r="6" spans="1:19" s="43" customFormat="1">
      <c r="A6" s="24"/>
      <c r="B6" s="24"/>
      <c r="C6" s="49"/>
      <c r="D6" s="70"/>
      <c r="F6" s="24"/>
      <c r="G6" s="24"/>
      <c r="H6" s="24"/>
    </row>
    <row r="8" spans="1:19">
      <c r="E8" s="16" t="str">
        <f xml:space="preserve"> Assets!E$21</f>
        <v>Inventory</v>
      </c>
      <c r="F8" s="16">
        <f xml:space="preserve"> Assets!F$21</f>
        <v>0</v>
      </c>
      <c r="G8" s="16" t="str">
        <f xml:space="preserve"> Assets!G$21</f>
        <v>GBP</v>
      </c>
      <c r="H8" s="42">
        <f xml:space="preserve"> Assets!H$21</f>
        <v>0</v>
      </c>
      <c r="I8" s="16">
        <f xml:space="preserve"> Assets!I$21</f>
        <v>0</v>
      </c>
      <c r="J8" s="9">
        <f ca="1" xml:space="preserve"> SUMIF( Time!$J346:$BQ346, Time!J$28, Assets!$J21:$BQ21)</f>
        <v>175000</v>
      </c>
      <c r="K8" s="9">
        <f ca="1" xml:space="preserve"> SUMIF( Time!$J346:$BQ346, Time!K$28, Assets!$J21:$BQ21)</f>
        <v>350000</v>
      </c>
      <c r="L8" s="9">
        <f ca="1" xml:space="preserve"> SUMIF( Time!$J346:$BQ346, Time!L$28, Assets!$J21:$BQ21)</f>
        <v>700000</v>
      </c>
      <c r="M8" s="9">
        <f ca="1" xml:space="preserve"> SUMIF( Time!$J346:$BQ346, Time!M$28, Assets!$J21:$BQ21)</f>
        <v>1050000</v>
      </c>
      <c r="N8" s="9">
        <f ca="1" xml:space="preserve"> SUMIF( Time!$J346:$BQ346, Time!N$28, Assets!$J21:$BQ21)</f>
        <v>1277943.8412167949</v>
      </c>
      <c r="O8" s="9">
        <f ca="1" xml:space="preserve"> SUMIF( Time!$J346:$BQ346, Time!O$28, Assets!$J21:$BQ21)</f>
        <v>1630176.8000105759</v>
      </c>
      <c r="P8" s="9">
        <f ca="1" xml:space="preserve"> SUMIF( Time!$J346:$BQ346, Time!P$28, Assets!$J21:$BQ21)</f>
        <v>2085918.0535046426</v>
      </c>
      <c r="Q8" s="9">
        <f ca="1" xml:space="preserve"> SUMIF( Time!$J346:$BQ346, Time!Q$28, Assets!$J21:$BQ21)</f>
        <v>2790185.3525249097</v>
      </c>
      <c r="R8" s="9">
        <f ca="1" xml:space="preserve"> SUMIF( Time!$J346:$BQ346, Time!R$28, Assets!$J21:$BQ21)</f>
        <v>3241870.5858342983</v>
      </c>
      <c r="S8" s="9">
        <f ca="1" xml:space="preserve"> SUMIF( Time!$J346:$BQ346, Time!S$28, Assets!$J21:$BQ21)</f>
        <v>3445036.4383722316</v>
      </c>
    </row>
    <row r="9" spans="1:19">
      <c r="E9" s="16" t="str">
        <f xml:space="preserve"> Assets!E$30</f>
        <v xml:space="preserve">Depreciation </v>
      </c>
      <c r="F9" s="16">
        <f xml:space="preserve"> Assets!F$30</f>
        <v>0</v>
      </c>
      <c r="G9" s="16" t="str">
        <f xml:space="preserve"> Assets!G$30</f>
        <v>GBP</v>
      </c>
      <c r="H9" s="42">
        <f xml:space="preserve"> Assets!H$30</f>
        <v>0</v>
      </c>
      <c r="I9" s="16">
        <f xml:space="preserve"> Assets!I$30</f>
        <v>0</v>
      </c>
      <c r="J9" s="9">
        <f ca="1" xml:space="preserve"> SUMIF( Time!$J346:$BQ346, Time!J$28, Assets!$J30:$BQ30)</f>
        <v>-36458.333333333336</v>
      </c>
      <c r="K9" s="9">
        <f ca="1" xml:space="preserve"> SUMIF( Time!$J346:$BQ346, Time!K$28, Assets!$J30:$BQ30)</f>
        <v>-116666.66666666666</v>
      </c>
      <c r="L9" s="9">
        <f ca="1" xml:space="preserve"> SUMIF( Time!$J346:$BQ346, Time!L$28, Assets!$J30:$BQ30)</f>
        <v>-247916.66666666666</v>
      </c>
      <c r="M9" s="9">
        <f ca="1" xml:space="preserve"> SUMIF( Time!$J346:$BQ346, Time!M$28, Assets!$J30:$BQ30)</f>
        <v>-444791.66666666663</v>
      </c>
      <c r="N9" s="9">
        <f ca="1" xml:space="preserve"> SUMIF( Time!$J346:$BQ346, Time!N$28, Assets!$J30:$BQ30)</f>
        <v>-609840.56542930205</v>
      </c>
      <c r="O9" s="9">
        <f ca="1" xml:space="preserve"> SUMIF( Time!$J346:$BQ346, Time!O$28, Assets!$J30:$BQ30)</f>
        <v>-783513.93599258631</v>
      </c>
      <c r="P9" s="9">
        <f ca="1" xml:space="preserve"> SUMIF( Time!$J346:$BQ346, Time!P$28, Assets!$J30:$BQ30)</f>
        <v>-995996.63008137571</v>
      </c>
      <c r="Q9" s="9">
        <f ca="1" xml:space="preserve"> SUMIF( Time!$J346:$BQ346, Time!Q$28, Assets!$J30:$BQ30)</f>
        <v>-1247508.2156888754</v>
      </c>
      <c r="R9" s="9">
        <f ca="1" xml:space="preserve"> SUMIF( Time!$J346:$BQ346, Time!R$28, Assets!$J30:$BQ30)</f>
        <v>-1398007.3382996104</v>
      </c>
      <c r="S9" s="9">
        <f ca="1" xml:space="preserve"> SUMIF( Time!$J346:$BQ346, Time!S$28, Assets!$J30:$BQ30)</f>
        <v>-1388690.7429198015</v>
      </c>
    </row>
    <row r="10" spans="1:19">
      <c r="E10" s="16" t="str">
        <f xml:space="preserve"> 'Working Capital'!E$45</f>
        <v>Debtors</v>
      </c>
      <c r="F10" s="16">
        <f xml:space="preserve"> 'Working Capital'!F$45</f>
        <v>0</v>
      </c>
      <c r="G10" s="16" t="str">
        <f xml:space="preserve"> 'Working Capital'!G$45</f>
        <v>GBP</v>
      </c>
      <c r="H10" s="42">
        <f xml:space="preserve"> 'Working Capital'!H$45</f>
        <v>0</v>
      </c>
      <c r="I10" s="16">
        <f xml:space="preserve"> 'Working Capital'!I$45</f>
        <v>0</v>
      </c>
      <c r="J10" s="9">
        <f ca="1" xml:space="preserve"> SUMIF( Time!$J346:$BQ346, Time!J$28, 'Working Capital'!$J45:$BQ45)</f>
        <v>0</v>
      </c>
      <c r="K10" s="9">
        <f ca="1" xml:space="preserve"> SUMIF( Time!$J346:$BQ346, Time!K$28, 'Working Capital'!$J45:$BQ45)</f>
        <v>-6.3664629124104977E-11</v>
      </c>
      <c r="L10" s="9">
        <f ca="1" xml:space="preserve"> SUMIF( Time!$J346:$BQ346, Time!L$28, 'Working Capital'!$J45:$BQ45)</f>
        <v>-8.7311491370201111E-11</v>
      </c>
      <c r="M10" s="9">
        <f ca="1" xml:space="preserve"> SUMIF( Time!$J346:$BQ346, Time!M$28, 'Working Capital'!$J45:$BQ45)</f>
        <v>864000</v>
      </c>
      <c r="N10" s="9">
        <f ca="1" xml:space="preserve"> SUMIF( Time!$J346:$BQ346, Time!N$28, 'Working Capital'!$J45:$BQ45)</f>
        <v>424054.19774485123</v>
      </c>
      <c r="O10" s="9">
        <f ca="1" xml:space="preserve"> SUMIF( Time!$J346:$BQ346, Time!O$28, 'Working Capital'!$J45:$BQ45)</f>
        <v>2327752.7966961241</v>
      </c>
      <c r="P10" s="9">
        <f ca="1" xml:space="preserve"> SUMIF( Time!$J346:$BQ346, Time!P$28, 'Working Capital'!$J45:$BQ45)</f>
        <v>2136729.1186568998</v>
      </c>
      <c r="Q10" s="9">
        <f ca="1" xml:space="preserve"> SUMIF( Time!$J346:$BQ346, Time!Q$28, 'Working Capital'!$J45:$BQ45)</f>
        <v>3527977.4326262358</v>
      </c>
      <c r="R10" s="9">
        <f ca="1" xml:space="preserve"> SUMIF( Time!$J346:$BQ346, Time!R$28, 'Working Capital'!$J45:$BQ45)</f>
        <v>5519296.1173555572</v>
      </c>
      <c r="S10" s="9">
        <f ca="1" xml:space="preserve"> SUMIF( Time!$J346:$BQ346, Time!S$28, 'Working Capital'!$J45:$BQ45)</f>
        <v>6731994.6507732924</v>
      </c>
    </row>
    <row r="11" spans="1:19">
      <c r="E11" s="16" t="str">
        <f xml:space="preserve"> Financials!E$13</f>
        <v>Cash</v>
      </c>
      <c r="F11" s="16">
        <f xml:space="preserve"> Financials!F$13</f>
        <v>0</v>
      </c>
      <c r="G11" s="16" t="str">
        <f xml:space="preserve"> Financials!G$13</f>
        <v>GBP</v>
      </c>
      <c r="H11" s="42">
        <f xml:space="preserve"> Financials!H$13</f>
        <v>0</v>
      </c>
      <c r="I11" s="16">
        <f xml:space="preserve"> Financials!I$13</f>
        <v>0</v>
      </c>
      <c r="J11" s="9">
        <f ca="1" xml:space="preserve"> SUMIF( Time!$J346:$BQ346, Time!J$28, Financials!$J13:$BQ13)</f>
        <v>-210483.1648393847</v>
      </c>
      <c r="K11" s="9">
        <f ca="1" xml:space="preserve"> SUMIF( Time!$J346:$BQ346, Time!K$28, Financials!$J13:$BQ13)</f>
        <v>85687.307120060359</v>
      </c>
      <c r="L11" s="9">
        <f ca="1" xml:space="preserve"> SUMIF( Time!$J346:$BQ346, Time!L$28, Financials!$J13:$BQ13)</f>
        <v>458771.91933099797</v>
      </c>
      <c r="M11" s="9">
        <f ca="1" xml:space="preserve"> SUMIF( Time!$J346:$BQ346, Time!M$28, Financials!$J13:$BQ13)</f>
        <v>1270059.1436541709</v>
      </c>
      <c r="N11" s="9">
        <f ca="1" xml:space="preserve"> SUMIF( Time!$J346:$BQ346, Time!N$28, Financials!$J13:$BQ13)</f>
        <v>2907144.5956911985</v>
      </c>
      <c r="O11" s="9">
        <f ca="1" xml:space="preserve"> SUMIF( Time!$J346:$BQ346, Time!O$28, Financials!$J13:$BQ13)</f>
        <v>5417962.1105279103</v>
      </c>
      <c r="P11" s="9">
        <f ca="1" xml:space="preserve"> SUMIF( Time!$J346:$BQ346, Time!P$28, Financials!$J13:$BQ13)</f>
        <v>8364893.5536060641</v>
      </c>
      <c r="Q11" s="9">
        <f ca="1" xml:space="preserve"> SUMIF( Time!$J346:$BQ346, Time!Q$28, Financials!$J13:$BQ13)</f>
        <v>14984790.399722619</v>
      </c>
      <c r="R11" s="9">
        <f ca="1" xml:space="preserve"> SUMIF( Time!$J346:$BQ346, Time!R$28, Financials!$J13:$BQ13)</f>
        <v>21348061.694594067</v>
      </c>
      <c r="S11" s="9">
        <f ca="1" xml:space="preserve"> SUMIF( Time!$J346:$BQ346, Time!S$28, Financials!$J13:$BQ13)</f>
        <v>34145444.452532314</v>
      </c>
    </row>
    <row r="12" spans="1:19">
      <c r="E12" s="12" t="s">
        <v>85</v>
      </c>
      <c r="F12" s="32"/>
      <c r="G12" s="12" t="s">
        <v>252</v>
      </c>
      <c r="H12" s="54"/>
      <c r="I12" s="32"/>
      <c r="J12" s="12">
        <f ca="1" xml:space="preserve"> SUMIF( Time!$J346:$BQ346, Time!J$28, 'Balance Sheet'!$J12:$BQ12)</f>
        <v>-71941.498172718042</v>
      </c>
      <c r="K12" s="12">
        <f ca="1" xml:space="preserve"> SUMIF( Time!$J346:$BQ346, Time!K$28, 'Balance Sheet'!$J12:$BQ12)</f>
        <v>319020.64045339363</v>
      </c>
      <c r="L12" s="12">
        <f ca="1" xml:space="preserve"> SUMIF( Time!$J346:$BQ346, Time!L$28, 'Balance Sheet'!$J12:$BQ12)</f>
        <v>910855.25266433123</v>
      </c>
      <c r="M12" s="12">
        <f ca="1" xml:space="preserve"> SUMIF( Time!$J346:$BQ346, Time!M$28, 'Balance Sheet'!$J12:$BQ12)</f>
        <v>2739267.4769875044</v>
      </c>
      <c r="N12" s="12">
        <f ca="1" xml:space="preserve"> SUMIF( Time!$J346:$BQ346, Time!N$28, 'Balance Sheet'!$J12:$BQ12)</f>
        <v>3999302.0692235427</v>
      </c>
      <c r="O12" s="12">
        <f ca="1" xml:space="preserve"> SUMIF( Time!$J346:$BQ346, Time!O$28, 'Balance Sheet'!$J12:$BQ12)</f>
        <v>8592377.7712420244</v>
      </c>
      <c r="P12" s="12">
        <f ca="1" xml:space="preserve"> SUMIF( Time!$J346:$BQ346, Time!P$28, 'Balance Sheet'!$J12:$BQ12)</f>
        <v>11591544.095686231</v>
      </c>
      <c r="Q12" s="12">
        <f ca="1" xml:space="preserve"> SUMIF( Time!$J346:$BQ346, Time!Q$28, 'Balance Sheet'!$J12:$BQ12)</f>
        <v>20055444.96918489</v>
      </c>
      <c r="R12" s="12">
        <f ca="1" xml:space="preserve"> SUMIF( Time!$J346:$BQ346, Time!R$28, 'Balance Sheet'!$J12:$BQ12)</f>
        <v>28711221.05948431</v>
      </c>
      <c r="S12" s="12">
        <f ca="1" xml:space="preserve"> SUMIF( Time!$J346:$BQ346, Time!S$28, 'Balance Sheet'!$J12:$BQ12)</f>
        <v>42933784.798758037</v>
      </c>
    </row>
    <row r="14" spans="1:19">
      <c r="E14" s="16" t="str">
        <f xml:space="preserve"> Income!E$27</f>
        <v>Deferred Income</v>
      </c>
      <c r="F14" s="16">
        <f xml:space="preserve"> Income!F$27</f>
        <v>0</v>
      </c>
      <c r="G14" s="16" t="str">
        <f xml:space="preserve"> Income!G$27</f>
        <v>GBP</v>
      </c>
      <c r="H14" s="42">
        <f xml:space="preserve"> Income!H$27</f>
        <v>0</v>
      </c>
      <c r="I14" s="16">
        <f xml:space="preserve"> Income!I$27</f>
        <v>0</v>
      </c>
      <c r="J14" s="9">
        <f ca="1" xml:space="preserve"> SUMIF( Time!$J346:$BQ346, Time!J$28, Income!$J27:$BQ27)</f>
        <v>0</v>
      </c>
      <c r="K14" s="9">
        <f ca="1" xml:space="preserve"> SUMIF( Time!$J346:$BQ346, Time!K$28, Income!$J27:$BQ27)</f>
        <v>430277.01892282837</v>
      </c>
      <c r="L14" s="9">
        <f ca="1" xml:space="preserve"> SUMIF( Time!$J346:$BQ346, Time!L$28, Income!$J27:$BQ27)</f>
        <v>497194.77892645437</v>
      </c>
      <c r="M14" s="9">
        <f ca="1" xml:space="preserve"> SUMIF( Time!$J346:$BQ346, Time!M$28, Income!$J27:$BQ27)</f>
        <v>1577194.7789264543</v>
      </c>
      <c r="N14" s="9">
        <f ca="1" xml:space="preserve"> SUMIF( Time!$J346:$BQ346, Time!N$28, Income!$J27:$BQ27)</f>
        <v>2153303.0612344462</v>
      </c>
      <c r="O14" s="9">
        <f ca="1" xml:space="preserve"> SUMIF( Time!$J346:$BQ346, Time!O$28, Income!$J27:$BQ27)</f>
        <v>4305331.5949776452</v>
      </c>
      <c r="P14" s="9">
        <f ca="1" xml:space="preserve"> SUMIF( Time!$J346:$BQ346, Time!P$28, Income!$J27:$BQ27)</f>
        <v>5215881.0477660028</v>
      </c>
      <c r="Q14" s="9">
        <f ca="1" xml:space="preserve"> SUMIF( Time!$J346:$BQ346, Time!Q$28, Income!$J27:$BQ27)</f>
        <v>8456697.2648357581</v>
      </c>
      <c r="R14" s="9">
        <f ca="1" xml:space="preserve"> SUMIF( Time!$J346:$BQ346, Time!R$28, Income!$J27:$BQ27)</f>
        <v>12244143.672873408</v>
      </c>
      <c r="S14" s="9">
        <f ca="1" xml:space="preserve"> SUMIF( Time!$J346:$BQ346, Time!S$28, Income!$J27:$BQ27)</f>
        <v>16810162.851556987</v>
      </c>
    </row>
    <row r="15" spans="1:19">
      <c r="E15" s="16" t="str">
        <f xml:space="preserve"> 'Working Capital'!E$36</f>
        <v>Creditors</v>
      </c>
      <c r="F15" s="16">
        <f xml:space="preserve"> 'Working Capital'!F$36</f>
        <v>0</v>
      </c>
      <c r="G15" s="16" t="str">
        <f xml:space="preserve"> 'Working Capital'!G$36</f>
        <v>GBP</v>
      </c>
      <c r="H15" s="42">
        <f xml:space="preserve"> 'Working Capital'!H$36</f>
        <v>0</v>
      </c>
      <c r="I15" s="16">
        <f xml:space="preserve"> 'Working Capital'!I$36</f>
        <v>0</v>
      </c>
      <c r="J15" s="9">
        <f ca="1" xml:space="preserve"> SUMIF( Time!$J346:$BQ346, Time!J$28, 'Working Capital'!$J36:$BQ36)</f>
        <v>157500.00000000003</v>
      </c>
      <c r="K15" s="9">
        <f ca="1" xml:space="preserve"> SUMIF( Time!$J346:$BQ346, Time!K$28, 'Working Capital'!$J36:$BQ36)</f>
        <v>168000</v>
      </c>
      <c r="L15" s="9">
        <f ca="1" xml:space="preserve"> SUMIF( Time!$J346:$BQ346, Time!L$28, 'Working Capital'!$J36:$BQ36)</f>
        <v>336000</v>
      </c>
      <c r="M15" s="9">
        <f ca="1" xml:space="preserve"> SUMIF( Time!$J346:$BQ346, Time!M$28, 'Working Capital'!$J36:$BQ36)</f>
        <v>357000</v>
      </c>
      <c r="N15" s="9">
        <f ca="1" xml:space="preserve"> SUMIF( Time!$J346:$BQ346, Time!N$28, 'Working Capital'!$J36:$BQ36)</f>
        <v>378000</v>
      </c>
      <c r="O15" s="9">
        <f ca="1" xml:space="preserve"> SUMIF( Time!$J346:$BQ346, Time!O$28, 'Working Capital'!$J36:$BQ36)</f>
        <v>556500.00000000012</v>
      </c>
      <c r="P15" s="9">
        <f ca="1" xml:space="preserve"> SUMIF( Time!$J346:$BQ346, Time!P$28, 'Working Capital'!$J36:$BQ36)</f>
        <v>745500.00000000035</v>
      </c>
      <c r="Q15" s="9">
        <f ca="1" xml:space="preserve"> SUMIF( Time!$J346:$BQ346, Time!Q$28, 'Working Capital'!$J36:$BQ36)</f>
        <v>1102500</v>
      </c>
      <c r="R15" s="9">
        <f ca="1" xml:space="preserve"> SUMIF( Time!$J346:$BQ346, Time!R$28, 'Working Capital'!$J36:$BQ36)</f>
        <v>1165499.9999999995</v>
      </c>
      <c r="S15" s="9">
        <f ca="1" xml:space="preserve"> SUMIF( Time!$J346:$BQ346, Time!S$28, 'Working Capital'!$J36:$BQ36)</f>
        <v>1228499.9999999986</v>
      </c>
    </row>
    <row r="16" spans="1:19">
      <c r="E16" s="16" t="str">
        <f xml:space="preserve"> 'Supply Chain finance'!E$15</f>
        <v>Supply Chain Finance balance</v>
      </c>
      <c r="F16" s="16">
        <f xml:space="preserve"> 'Supply Chain finance'!F$15</f>
        <v>0</v>
      </c>
      <c r="G16" s="16" t="str">
        <f xml:space="preserve"> 'Supply Chain finance'!G$15</f>
        <v>GBP</v>
      </c>
      <c r="H16" s="42">
        <f xml:space="preserve"> 'Supply Chain finance'!H$15</f>
        <v>0</v>
      </c>
      <c r="I16" s="16">
        <f xml:space="preserve"> 'Supply Chain finance'!I$15</f>
        <v>0</v>
      </c>
      <c r="J16" s="9">
        <f ca="1" xml:space="preserve"> SUMIF( Time!$J346:$BQ346, Time!J$28, 'Supply Chain finance'!$J15:$BQ15)</f>
        <v>0</v>
      </c>
      <c r="K16" s="9">
        <f ca="1" xml:space="preserve"> SUMIF( Time!$J346:$BQ346, Time!K$28, 'Supply Chain finance'!$J15:$BQ15)</f>
        <v>0</v>
      </c>
      <c r="L16" s="9">
        <f ca="1" xml:space="preserve"> SUMIF( Time!$J346:$BQ346, Time!L$28, 'Supply Chain finance'!$J15:$BQ15)</f>
        <v>0</v>
      </c>
      <c r="M16" s="9">
        <f ca="1" xml:space="preserve"> SUMIF( Time!$J346:$BQ346, Time!M$28, 'Supply Chain finance'!$J15:$BQ15)</f>
        <v>0</v>
      </c>
      <c r="N16" s="9">
        <f ca="1" xml:space="preserve"> SUMIF( Time!$J346:$BQ346, Time!N$28, 'Supply Chain finance'!$J15:$BQ15)</f>
        <v>0</v>
      </c>
      <c r="O16" s="9">
        <f ca="1" xml:space="preserve"> SUMIF( Time!$J346:$BQ346, Time!O$28, 'Supply Chain finance'!$J15:$BQ15)</f>
        <v>0</v>
      </c>
      <c r="P16" s="9">
        <f ca="1" xml:space="preserve"> SUMIF( Time!$J346:$BQ346, Time!P$28, 'Supply Chain finance'!$J15:$BQ15)</f>
        <v>0</v>
      </c>
      <c r="Q16" s="9">
        <f ca="1" xml:space="preserve"> SUMIF( Time!$J346:$BQ346, Time!Q$28, 'Supply Chain finance'!$J15:$BQ15)</f>
        <v>0</v>
      </c>
      <c r="R16" s="9">
        <f ca="1" xml:space="preserve"> SUMIF( Time!$J346:$BQ346, Time!R$28, 'Supply Chain finance'!$J15:$BQ15)</f>
        <v>0</v>
      </c>
      <c r="S16" s="9">
        <f ca="1" xml:space="preserve"> SUMIF( Time!$J346:$BQ346, Time!S$28, 'Supply Chain finance'!$J15:$BQ15)</f>
        <v>0</v>
      </c>
    </row>
    <row r="17" spans="5:16384">
      <c r="E17" s="16" t="str">
        <f xml:space="preserve"> 'Invoice finance'!E$15</f>
        <v>Invoice finance balance</v>
      </c>
      <c r="F17" s="16">
        <f xml:space="preserve"> 'Invoice finance'!F$15</f>
        <v>0</v>
      </c>
      <c r="G17" s="16" t="str">
        <f xml:space="preserve"> 'Invoice finance'!G$15</f>
        <v>GBP</v>
      </c>
      <c r="H17" s="42">
        <f xml:space="preserve"> 'Invoice finance'!H$15</f>
        <v>0</v>
      </c>
      <c r="I17" s="16">
        <f xml:space="preserve"> 'Invoice finance'!I$15</f>
        <v>0</v>
      </c>
      <c r="J17" s="9">
        <f ca="1" xml:space="preserve"> SUMIF( Time!$J346:$BQ346, Time!J$28, 'Invoice finance'!$J15:$BQ15)</f>
        <v>0</v>
      </c>
      <c r="K17" s="9">
        <f ca="1" xml:space="preserve"> SUMIF( Time!$J346:$BQ346, Time!K$28, 'Invoice finance'!$J15:$BQ15)</f>
        <v>0</v>
      </c>
      <c r="L17" s="9">
        <f ca="1" xml:space="preserve"> SUMIF( Time!$J346:$BQ346, Time!L$28, 'Invoice finance'!$J15:$BQ15)</f>
        <v>0</v>
      </c>
      <c r="M17" s="9">
        <f ca="1" xml:space="preserve"> SUMIF( Time!$J346:$BQ346, Time!M$28, 'Invoice finance'!$J15:$BQ15)</f>
        <v>0</v>
      </c>
      <c r="N17" s="9">
        <f ca="1" xml:space="preserve"> SUMIF( Time!$J346:$BQ346, Time!N$28, 'Invoice finance'!$J15:$BQ15)</f>
        <v>0</v>
      </c>
      <c r="O17" s="9">
        <f ca="1" xml:space="preserve"> SUMIF( Time!$J346:$BQ346, Time!O$28, 'Invoice finance'!$J15:$BQ15)</f>
        <v>0</v>
      </c>
      <c r="P17" s="9">
        <f ca="1" xml:space="preserve"> SUMIF( Time!$J346:$BQ346, Time!P$28, 'Invoice finance'!$J15:$BQ15)</f>
        <v>0</v>
      </c>
      <c r="Q17" s="9">
        <f ca="1" xml:space="preserve"> SUMIF( Time!$J346:$BQ346, Time!Q$28, 'Invoice finance'!$J15:$BQ15)</f>
        <v>0</v>
      </c>
      <c r="R17" s="9">
        <f ca="1" xml:space="preserve"> SUMIF( Time!$J346:$BQ346, Time!R$28, 'Invoice finance'!$J15:$BQ15)</f>
        <v>0</v>
      </c>
      <c r="S17" s="9">
        <f ca="1" xml:space="preserve"> SUMIF( Time!$J346:$BQ346, Time!S$28, 'Invoice finance'!$J15:$BQ15)</f>
        <v>0</v>
      </c>
    </row>
    <row r="18" spans="5:16384">
      <c r="E18" s="16" t="str">
        <f xml:space="preserve"> 'Asset Finance'!E$15</f>
        <v>Asset Finance balance</v>
      </c>
      <c r="F18" s="16">
        <f xml:space="preserve"> 'Asset Finance'!F$15</f>
        <v>0</v>
      </c>
      <c r="G18" s="16" t="str">
        <f xml:space="preserve"> 'Asset Finance'!G$15</f>
        <v>GBP</v>
      </c>
      <c r="H18" s="42">
        <f xml:space="preserve"> 'Asset Finance'!H$15</f>
        <v>0</v>
      </c>
      <c r="I18" s="16">
        <f xml:space="preserve"> 'Asset Finance'!I$15</f>
        <v>0</v>
      </c>
      <c r="J18" s="9">
        <f ca="1" xml:space="preserve"> SUMIF( Time!$J346:$BQ346, Time!J$28, 'Asset Finance'!$J15:$BQ15)</f>
        <v>141455.88501981259</v>
      </c>
      <c r="K18" s="9">
        <f ca="1" xml:space="preserve"> SUMIF( Time!$J346:$BQ346, Time!K$28, 'Asset Finance'!$J15:$BQ15)</f>
        <v>251033.18272338025</v>
      </c>
      <c r="L18" s="9">
        <f ca="1" xml:space="preserve"> SUMIF( Time!$J346:$BQ346, Time!L$28, 'Asset Finance'!$J15:$BQ15)</f>
        <v>503624.40495408641</v>
      </c>
      <c r="M18" s="9">
        <f ca="1" xml:space="preserve"> SUMIF( Time!$J346:$BQ346, Time!M$28, 'Asset Finance'!$J15:$BQ15)</f>
        <v>719151.09113462572</v>
      </c>
      <c r="N18" s="9">
        <f ca="1" xml:space="preserve"> SUMIF( Time!$J346:$BQ346, Time!N$28, 'Asset Finance'!$J15:$BQ15)</f>
        <v>872397.22264416399</v>
      </c>
      <c r="O18" s="9">
        <f ca="1" xml:space="preserve"> SUMIF( Time!$J346:$BQ346, Time!O$28, 'Asset Finance'!$J15:$BQ15)</f>
        <v>1159119.8622425417</v>
      </c>
      <c r="P18" s="9">
        <f ca="1" xml:space="preserve"> SUMIF( Time!$J346:$BQ346, Time!P$28, 'Asset Finance'!$J15:$BQ15)</f>
        <v>1529100.0505645303</v>
      </c>
      <c r="Q18" s="9">
        <f ca="1" xml:space="preserve"> SUMIF( Time!$J346:$BQ346, Time!Q$28, 'Asset Finance'!$J15:$BQ15)</f>
        <v>2131015.7449105619</v>
      </c>
      <c r="R18" s="9">
        <f ca="1" xml:space="preserve"> SUMIF( Time!$J346:$BQ346, Time!R$28, 'Asset Finance'!$J15:$BQ15)</f>
        <v>2597283.3393805032</v>
      </c>
      <c r="S18" s="9">
        <f ca="1" xml:space="preserve"> SUMIF( Time!$J346:$BQ346, Time!S$28, 'Asset Finance'!$J15:$BQ15)</f>
        <v>2958472.5751737203</v>
      </c>
    </row>
    <row r="19" spans="5:16384">
      <c r="E19" s="16" t="str">
        <f xml:space="preserve"> VAT!E$32</f>
        <v>VAT balance</v>
      </c>
      <c r="F19" s="16">
        <f xml:space="preserve"> VAT!F$32</f>
        <v>0</v>
      </c>
      <c r="G19" s="16" t="str">
        <f xml:space="preserve"> VAT!G$32</f>
        <v>GBP</v>
      </c>
      <c r="H19" s="42">
        <f xml:space="preserve"> VAT!H$32</f>
        <v>0</v>
      </c>
      <c r="I19" s="16">
        <f xml:space="preserve"> VAT!I$32</f>
        <v>0</v>
      </c>
      <c r="J19" s="9">
        <f ca="1" xml:space="preserve"> SUMIF( Time!$J346:$BQ346, Time!J$28, VAT!$J32:$BQ32)</f>
        <v>-5572.1734228684691</v>
      </c>
      <c r="K19" s="9">
        <f ca="1" xml:space="preserve"> SUMIF( Time!$J346:$BQ346, Time!K$28, VAT!$J32:$BQ32)</f>
        <v>-6196.7550234558857</v>
      </c>
      <c r="L19" s="9">
        <f ca="1" xml:space="preserve"> SUMIF( Time!$J346:$BQ346, Time!L$28, VAT!$J32:$BQ32)</f>
        <v>-6997.4292817000678</v>
      </c>
      <c r="M19" s="9">
        <f ca="1" xml:space="preserve"> SUMIF( Time!$J346:$BQ346, Time!M$28, VAT!$J32:$BQ32)</f>
        <v>100957.13492645105</v>
      </c>
      <c r="N19" s="9">
        <f ca="1" xml:space="preserve"> SUMIF( Time!$J346:$BQ346, Time!N$28, VAT!$J32:$BQ32)</f>
        <v>26081.030829183583</v>
      </c>
      <c r="O19" s="9">
        <f ca="1" xml:space="preserve"> SUMIF( Time!$J346:$BQ346, Time!O$28, VAT!$J32:$BQ32)</f>
        <v>291795.14847907308</v>
      </c>
      <c r="P19" s="9">
        <f ca="1" xml:space="preserve"> SUMIF( Time!$J346:$BQ346, Time!P$28, VAT!$J32:$BQ32)</f>
        <v>58605.366415737895</v>
      </c>
      <c r="Q19" s="9">
        <f ca="1" xml:space="preserve"> SUMIF( Time!$J346:$BQ346, Time!Q$28, VAT!$J32:$BQ32)</f>
        <v>243216.41597105563</v>
      </c>
      <c r="R19" s="9">
        <f ca="1" xml:space="preserve"> SUMIF( Time!$J346:$BQ346, Time!R$28, VAT!$J32:$BQ32)</f>
        <v>334489.39073877851</v>
      </c>
      <c r="S19" s="9">
        <f ca="1" xml:space="preserve"> SUMIF( Time!$J346:$BQ346, Time!S$28, VAT!$J32:$BQ32)</f>
        <v>429412.62476073159</v>
      </c>
    </row>
    <row r="20" spans="5:16384">
      <c r="E20" s="16" t="str">
        <f xml:space="preserve"> 'Corporation tax'!E$78</f>
        <v>Corporation tax creditor</v>
      </c>
      <c r="F20" s="16">
        <f xml:space="preserve"> 'Corporation tax'!F$78</f>
        <v>0</v>
      </c>
      <c r="G20" s="16" t="str">
        <f xml:space="preserve"> 'Corporation tax'!G$78</f>
        <v>GBP</v>
      </c>
      <c r="H20" s="42">
        <f xml:space="preserve"> 'Corporation tax'!H$78</f>
        <v>0</v>
      </c>
      <c r="I20" s="16">
        <f xml:space="preserve"> 'Corporation tax'!I$78</f>
        <v>0</v>
      </c>
      <c r="J20" s="9">
        <f ca="1" xml:space="preserve"> SUMIF( Time!$J346:$BQ346, Time!J$28, 'Corporation tax'!$J78:$BQ78)</f>
        <v>0</v>
      </c>
      <c r="K20" s="9">
        <f ca="1" xml:space="preserve"> SUMIF( Time!$J346:$BQ346, Time!K$28, 'Corporation tax'!$J78:$BQ78)</f>
        <v>0</v>
      </c>
      <c r="L20" s="9">
        <f ca="1" xml:space="preserve"> SUMIF( Time!$J346:$BQ346, Time!L$28, 'Corporation tax'!$J78:$BQ78)</f>
        <v>0</v>
      </c>
      <c r="M20" s="9">
        <f ca="1" xml:space="preserve"> SUMIF( Time!$J346:$BQ346, Time!M$28, 'Corporation tax'!$J78:$BQ78)</f>
        <v>106978.39281702002</v>
      </c>
      <c r="N20" s="9">
        <f ca="1" xml:space="preserve"> SUMIF( Time!$J346:$BQ346, Time!N$28, 'Corporation tax'!$J78:$BQ78)</f>
        <v>131058.68385670075</v>
      </c>
      <c r="O20" s="9">
        <f ca="1" xml:space="preserve"> SUMIF( Time!$J346:$BQ346, Time!O$28, 'Corporation tax'!$J78:$BQ78)</f>
        <v>549993.72394885693</v>
      </c>
      <c r="P20" s="9">
        <f ca="1" xml:space="preserve"> SUMIF( Time!$J346:$BQ346, Time!P$28, 'Corporation tax'!$J78:$BQ78)</f>
        <v>340898.86004735494</v>
      </c>
      <c r="Q20" s="9">
        <f ca="1" xml:space="preserve"> SUMIF( Time!$J346:$BQ346, Time!Q$28, 'Corporation tax'!$J78:$BQ78)</f>
        <v>1290597.9976512392</v>
      </c>
      <c r="R20" s="9">
        <f ca="1" xml:space="preserve"> SUMIF( Time!$J346:$BQ346, Time!R$28, 'Corporation tax'!$J78:$BQ78)</f>
        <v>773816.03168319841</v>
      </c>
      <c r="S20" s="9">
        <f ca="1" xml:space="preserve"> SUMIF( Time!$J346:$BQ346, Time!S$28, 'Corporation tax'!$J78:$BQ78)</f>
        <v>2790847.9047092618</v>
      </c>
    </row>
    <row r="21" spans="5:16384">
      <c r="E21" s="12" t="s">
        <v>222</v>
      </c>
      <c r="F21" s="32"/>
      <c r="G21" s="12" t="s">
        <v>252</v>
      </c>
      <c r="H21" s="54"/>
      <c r="I21" s="32"/>
      <c r="J21" s="12">
        <f ca="1" xml:space="preserve"> SUMIF( Time!$J346:$BQ346, Time!J$28, 'Balance Sheet'!$J21:$BQ21)</f>
        <v>293383.71159694414</v>
      </c>
      <c r="K21" s="12">
        <f ca="1" xml:space="preserve"> SUMIF( Time!$J346:$BQ346, Time!K$28, 'Balance Sheet'!$J21:$BQ21)</f>
        <v>843113.44662275282</v>
      </c>
      <c r="L21" s="12">
        <f ca="1" xml:space="preserve"> SUMIF( Time!$J346:$BQ346, Time!L$28, 'Balance Sheet'!$J21:$BQ21)</f>
        <v>1329821.7545988406</v>
      </c>
      <c r="M21" s="12">
        <f ca="1" xml:space="preserve"> SUMIF( Time!$J346:$BQ346, Time!M$28, 'Balance Sheet'!$J21:$BQ21)</f>
        <v>2861281.3978045508</v>
      </c>
      <c r="N21" s="12">
        <f ca="1" xml:space="preserve"> SUMIF( Time!$J346:$BQ346, Time!N$28, 'Balance Sheet'!$J21:$BQ21)</f>
        <v>3560839.9985644948</v>
      </c>
      <c r="O21" s="12">
        <f ca="1" xml:space="preserve"> SUMIF( Time!$J346:$BQ346, Time!O$28, 'Balance Sheet'!$J21:$BQ21)</f>
        <v>6862740.3296481175</v>
      </c>
      <c r="P21" s="12">
        <f ca="1" xml:space="preserve"> SUMIF( Time!$J346:$BQ346, Time!P$28, 'Balance Sheet'!$J21:$BQ21)</f>
        <v>7889985.3247936266</v>
      </c>
      <c r="Q21" s="12">
        <f ca="1" xml:space="preserve"> SUMIF( Time!$J346:$BQ346, Time!Q$28, 'Balance Sheet'!$J21:$BQ21)</f>
        <v>13224027.423368616</v>
      </c>
      <c r="R21" s="12">
        <f ca="1" xml:space="preserve"> SUMIF( Time!$J346:$BQ346, Time!R$28, 'Balance Sheet'!$J21:$BQ21)</f>
        <v>17115232.434675887</v>
      </c>
      <c r="S21" s="12">
        <f ca="1" xml:space="preserve"> SUMIF( Time!$J346:$BQ346, Time!S$28, 'Balance Sheet'!$J21:$BQ21)</f>
        <v>24217395.9562007</v>
      </c>
    </row>
    <row r="23" spans="5:16384">
      <c r="E23" s="67" t="str">
        <f xml:space="preserve"> Financials!E$24</f>
        <v>Net Assets</v>
      </c>
      <c r="F23" s="67"/>
      <c r="G23" s="67" t="str">
        <f xml:space="preserve"> Financials!G$24</f>
        <v>GBP</v>
      </c>
      <c r="H23" s="110">
        <f xml:space="preserve"> Financials!H$24</f>
        <v>0</v>
      </c>
      <c r="I23" s="67">
        <f xml:space="preserve"> Financials!I$24</f>
        <v>0</v>
      </c>
      <c r="J23" s="17">
        <f ca="1" xml:space="preserve"> SUMIF( Time!$J346:$BQ346, Time!J$28, Financials!$J24:$BQ24)</f>
        <v>-365325.20976966218</v>
      </c>
      <c r="K23" s="17">
        <f ca="1" xml:space="preserve"> SUMIF( Time!$J346:$BQ346, Time!K$28, Financials!$J24:$BQ24)</f>
        <v>-524092.80616935919</v>
      </c>
      <c r="L23" s="17">
        <f ca="1" xml:space="preserve"> SUMIF( Time!$J346:$BQ346, Time!L$28, Financials!$J24:$BQ24)</f>
        <v>-418966.50193450938</v>
      </c>
      <c r="M23" s="17">
        <f ca="1" xml:space="preserve"> SUMIF( Time!$J346:$BQ346, Time!M$28, Financials!$J24:$BQ24)</f>
        <v>-122013.92081704643</v>
      </c>
      <c r="N23" s="17">
        <f ca="1" xml:space="preserve"> SUMIF( Time!$J346:$BQ346, Time!N$28, Financials!$J24:$BQ24)</f>
        <v>438462.07065904792</v>
      </c>
      <c r="O23" s="17">
        <f ca="1" xml:space="preserve"> SUMIF( Time!$J346:$BQ346, Time!O$28, Financials!$J24:$BQ24)</f>
        <v>1729637.4415939068</v>
      </c>
      <c r="P23" s="17">
        <f ca="1" xml:space="preserve"> SUMIF( Time!$J346:$BQ346, Time!P$28, Financials!$J24:$BQ24)</f>
        <v>3701558.7708926043</v>
      </c>
      <c r="Q23" s="17">
        <f ca="1" xml:space="preserve"> SUMIF( Time!$J346:$BQ346, Time!Q$28, Financials!$J24:$BQ24)</f>
        <v>6831417.5458162744</v>
      </c>
      <c r="R23" s="17">
        <f ca="1" xml:space="preserve"> SUMIF( Time!$J346:$BQ346, Time!R$28, Financials!$J24:$BQ24)</f>
        <v>11595988.624808423</v>
      </c>
      <c r="S23" s="17">
        <f ca="1" xml:space="preserve"> SUMIF( Time!$J346:$BQ346, Time!S$28, Financials!$J24:$BQ24)</f>
        <v>18716388.842557337</v>
      </c>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c r="AML23" s="1"/>
      <c r="AMM23" s="1"/>
      <c r="AMN23" s="1"/>
      <c r="AMO23" s="1"/>
      <c r="AMP23" s="1"/>
      <c r="AMQ23" s="1"/>
      <c r="AMR23" s="1"/>
      <c r="AMS23" s="1"/>
      <c r="AMT23" s="1"/>
      <c r="AMU23" s="1"/>
      <c r="AMV23" s="1"/>
      <c r="AMW23" s="1"/>
      <c r="AMX23" s="1"/>
      <c r="AMY23" s="1"/>
      <c r="AMZ23" s="1"/>
      <c r="ANA23" s="1"/>
      <c r="ANB23" s="1"/>
      <c r="ANC23" s="1"/>
      <c r="AND23" s="1"/>
      <c r="ANE23" s="1"/>
      <c r="ANF23" s="1"/>
      <c r="ANG23" s="1"/>
      <c r="ANH23" s="1"/>
      <c r="ANI23" s="1"/>
      <c r="ANJ23" s="1"/>
      <c r="ANK23" s="1"/>
      <c r="ANL23" s="1"/>
      <c r="ANM23" s="1"/>
      <c r="ANN23" s="1"/>
      <c r="ANO23" s="1"/>
      <c r="ANP23" s="1"/>
      <c r="ANQ23" s="1"/>
      <c r="ANR23" s="1"/>
      <c r="ANS23" s="1"/>
      <c r="ANT23" s="1"/>
      <c r="ANU23" s="1"/>
      <c r="ANV23" s="1"/>
      <c r="ANW23" s="1"/>
      <c r="ANX23" s="1"/>
      <c r="ANY23" s="1"/>
      <c r="ANZ23" s="1"/>
      <c r="AOA23" s="1"/>
      <c r="AOB23" s="1"/>
      <c r="AOC23" s="1"/>
      <c r="AOD23" s="1"/>
      <c r="AOE23" s="1"/>
      <c r="AOF23" s="1"/>
      <c r="AOG23" s="1"/>
      <c r="AOH23" s="1"/>
      <c r="AOI23" s="1"/>
      <c r="AOJ23" s="1"/>
      <c r="AOK23" s="1"/>
      <c r="AOL23" s="1"/>
      <c r="AOM23" s="1"/>
      <c r="AON23" s="1"/>
      <c r="AOO23" s="1"/>
      <c r="AOP23" s="1"/>
      <c r="AOQ23" s="1"/>
      <c r="AOR23" s="1"/>
      <c r="AOS23" s="1"/>
      <c r="AOT23" s="1"/>
      <c r="AOU23" s="1"/>
      <c r="AOV23" s="1"/>
      <c r="AOW23" s="1"/>
      <c r="AOX23" s="1"/>
      <c r="AOY23" s="1"/>
      <c r="AOZ23" s="1"/>
      <c r="APA23" s="1"/>
      <c r="APB23" s="1"/>
      <c r="APC23" s="1"/>
      <c r="APD23" s="1"/>
      <c r="APE23" s="1"/>
      <c r="APF23" s="1"/>
      <c r="APG23" s="1"/>
      <c r="APH23" s="1"/>
      <c r="API23" s="1"/>
      <c r="APJ23" s="1"/>
      <c r="APK23" s="1"/>
      <c r="APL23" s="1"/>
      <c r="APM23" s="1"/>
      <c r="APN23" s="1"/>
      <c r="APO23" s="1"/>
      <c r="APP23" s="1"/>
      <c r="APQ23" s="1"/>
      <c r="APR23" s="1"/>
      <c r="APS23" s="1"/>
      <c r="APT23" s="1"/>
      <c r="APU23" s="1"/>
      <c r="APV23" s="1"/>
      <c r="APW23" s="1"/>
      <c r="APX23" s="1"/>
      <c r="APY23" s="1"/>
      <c r="APZ23" s="1"/>
      <c r="AQA23" s="1"/>
      <c r="AQB23" s="1"/>
      <c r="AQC23" s="1"/>
      <c r="AQD23" s="1"/>
      <c r="AQE23" s="1"/>
      <c r="AQF23" s="1"/>
      <c r="AQG23" s="1"/>
      <c r="AQH23" s="1"/>
      <c r="AQI23" s="1"/>
      <c r="AQJ23" s="1"/>
      <c r="AQK23" s="1"/>
      <c r="AQL23" s="1"/>
      <c r="AQM23" s="1"/>
      <c r="AQN23" s="1"/>
      <c r="AQO23" s="1"/>
      <c r="AQP23" s="1"/>
      <c r="AQQ23" s="1"/>
      <c r="AQR23" s="1"/>
      <c r="AQS23" s="1"/>
      <c r="AQT23" s="1"/>
      <c r="AQU23" s="1"/>
      <c r="AQV23" s="1"/>
      <c r="AQW23" s="1"/>
      <c r="AQX23" s="1"/>
      <c r="AQY23" s="1"/>
      <c r="AQZ23" s="1"/>
      <c r="ARA23" s="1"/>
      <c r="ARB23" s="1"/>
      <c r="ARC23" s="1"/>
      <c r="ARD23" s="1"/>
      <c r="ARE23" s="1"/>
      <c r="ARF23" s="1"/>
      <c r="ARG23" s="1"/>
      <c r="ARH23" s="1"/>
      <c r="ARI23" s="1"/>
      <c r="ARJ23" s="1"/>
      <c r="ARK23" s="1"/>
      <c r="ARL23" s="1"/>
      <c r="ARM23" s="1"/>
      <c r="ARN23" s="1"/>
      <c r="ARO23" s="1"/>
      <c r="ARP23" s="1"/>
      <c r="ARQ23" s="1"/>
      <c r="ARR23" s="1"/>
      <c r="ARS23" s="1"/>
      <c r="ART23" s="1"/>
      <c r="ARU23" s="1"/>
      <c r="ARV23" s="1"/>
      <c r="ARW23" s="1"/>
      <c r="ARX23" s="1"/>
      <c r="ARY23" s="1"/>
      <c r="ARZ23" s="1"/>
      <c r="ASA23" s="1"/>
      <c r="ASB23" s="1"/>
      <c r="ASC23" s="1"/>
      <c r="ASD23" s="1"/>
      <c r="ASE23" s="1"/>
      <c r="ASF23" s="1"/>
      <c r="ASG23" s="1"/>
      <c r="ASH23" s="1"/>
      <c r="ASI23" s="1"/>
      <c r="ASJ23" s="1"/>
      <c r="ASK23" s="1"/>
      <c r="ASL23" s="1"/>
      <c r="ASM23" s="1"/>
      <c r="ASN23" s="1"/>
      <c r="ASO23" s="1"/>
      <c r="ASP23" s="1"/>
      <c r="ASQ23" s="1"/>
      <c r="ASR23" s="1"/>
      <c r="ASS23" s="1"/>
      <c r="AST23" s="1"/>
      <c r="ASU23" s="1"/>
      <c r="ASV23" s="1"/>
      <c r="ASW23" s="1"/>
      <c r="ASX23" s="1"/>
      <c r="ASY23" s="1"/>
      <c r="ASZ23" s="1"/>
      <c r="ATA23" s="1"/>
      <c r="ATB23" s="1"/>
      <c r="ATC23" s="1"/>
      <c r="ATD23" s="1"/>
      <c r="ATE23" s="1"/>
      <c r="ATF23" s="1"/>
      <c r="ATG23" s="1"/>
      <c r="ATH23" s="1"/>
      <c r="ATI23" s="1"/>
      <c r="ATJ23" s="1"/>
      <c r="ATK23" s="1"/>
      <c r="ATL23" s="1"/>
      <c r="ATM23" s="1"/>
      <c r="ATN23" s="1"/>
      <c r="ATO23" s="1"/>
      <c r="ATP23" s="1"/>
      <c r="ATQ23" s="1"/>
      <c r="ATR23" s="1"/>
      <c r="ATS23" s="1"/>
      <c r="ATT23" s="1"/>
      <c r="ATU23" s="1"/>
      <c r="ATV23" s="1"/>
      <c r="ATW23" s="1"/>
      <c r="ATX23" s="1"/>
      <c r="ATY23" s="1"/>
      <c r="ATZ23" s="1"/>
      <c r="AUA23" s="1"/>
      <c r="AUB23" s="1"/>
      <c r="AUC23" s="1"/>
      <c r="AUD23" s="1"/>
      <c r="AUE23" s="1"/>
      <c r="AUF23" s="1"/>
      <c r="AUG23" s="1"/>
      <c r="AUH23" s="1"/>
      <c r="AUI23" s="1"/>
      <c r="AUJ23" s="1"/>
      <c r="AUK23" s="1"/>
      <c r="AUL23" s="1"/>
      <c r="AUM23" s="1"/>
      <c r="AUN23" s="1"/>
      <c r="AUO23" s="1"/>
      <c r="AUP23" s="1"/>
      <c r="AUQ23" s="1"/>
      <c r="AUR23" s="1"/>
      <c r="AUS23" s="1"/>
      <c r="AUT23" s="1"/>
      <c r="AUU23" s="1"/>
      <c r="AUV23" s="1"/>
      <c r="AUW23" s="1"/>
      <c r="AUX23" s="1"/>
      <c r="AUY23" s="1"/>
      <c r="AUZ23" s="1"/>
      <c r="AVA23" s="1"/>
      <c r="AVB23" s="1"/>
      <c r="AVC23" s="1"/>
      <c r="AVD23" s="1"/>
      <c r="AVE23" s="1"/>
      <c r="AVF23" s="1"/>
      <c r="AVG23" s="1"/>
      <c r="AVH23" s="1"/>
      <c r="AVI23" s="1"/>
      <c r="AVJ23" s="1"/>
      <c r="AVK23" s="1"/>
      <c r="AVL23" s="1"/>
      <c r="AVM23" s="1"/>
      <c r="AVN23" s="1"/>
      <c r="AVO23" s="1"/>
      <c r="AVP23" s="1"/>
      <c r="AVQ23" s="1"/>
      <c r="AVR23" s="1"/>
      <c r="AVS23" s="1"/>
      <c r="AVT23" s="1"/>
      <c r="AVU23" s="1"/>
      <c r="AVV23" s="1"/>
      <c r="AVW23" s="1"/>
      <c r="AVX23" s="1"/>
      <c r="AVY23" s="1"/>
      <c r="AVZ23" s="1"/>
      <c r="AWA23" s="1"/>
      <c r="AWB23" s="1"/>
      <c r="AWC23" s="1"/>
      <c r="AWD23" s="1"/>
      <c r="AWE23" s="1"/>
      <c r="AWF23" s="1"/>
      <c r="AWG23" s="1"/>
      <c r="AWH23" s="1"/>
      <c r="AWI23" s="1"/>
      <c r="AWJ23" s="1"/>
      <c r="AWK23" s="1"/>
      <c r="AWL23" s="1"/>
      <c r="AWM23" s="1"/>
      <c r="AWN23" s="1"/>
      <c r="AWO23" s="1"/>
      <c r="AWP23" s="1"/>
      <c r="AWQ23" s="1"/>
      <c r="AWR23" s="1"/>
      <c r="AWS23" s="1"/>
      <c r="AWT23" s="1"/>
      <c r="AWU23" s="1"/>
      <c r="AWV23" s="1"/>
      <c r="AWW23" s="1"/>
      <c r="AWX23" s="1"/>
      <c r="AWY23" s="1"/>
      <c r="AWZ23" s="1"/>
      <c r="AXA23" s="1"/>
      <c r="AXB23" s="1"/>
      <c r="AXC23" s="1"/>
      <c r="AXD23" s="1"/>
      <c r="AXE23" s="1"/>
      <c r="AXF23" s="1"/>
      <c r="AXG23" s="1"/>
      <c r="AXH23" s="1"/>
      <c r="AXI23" s="1"/>
      <c r="AXJ23" s="1"/>
      <c r="AXK23" s="1"/>
      <c r="AXL23" s="1"/>
      <c r="AXM23" s="1"/>
      <c r="AXN23" s="1"/>
      <c r="AXO23" s="1"/>
      <c r="AXP23" s="1"/>
      <c r="AXQ23" s="1"/>
      <c r="AXR23" s="1"/>
      <c r="AXS23" s="1"/>
      <c r="AXT23" s="1"/>
      <c r="AXU23" s="1"/>
      <c r="AXV23" s="1"/>
      <c r="AXW23" s="1"/>
      <c r="AXX23" s="1"/>
      <c r="AXY23" s="1"/>
      <c r="AXZ23" s="1"/>
      <c r="AYA23" s="1"/>
      <c r="AYB23" s="1"/>
      <c r="AYC23" s="1"/>
      <c r="AYD23" s="1"/>
      <c r="AYE23" s="1"/>
      <c r="AYF23" s="1"/>
      <c r="AYG23" s="1"/>
      <c r="AYH23" s="1"/>
      <c r="AYI23" s="1"/>
      <c r="AYJ23" s="1"/>
      <c r="AYK23" s="1"/>
      <c r="AYL23" s="1"/>
      <c r="AYM23" s="1"/>
      <c r="AYN23" s="1"/>
      <c r="AYO23" s="1"/>
      <c r="AYP23" s="1"/>
      <c r="AYQ23" s="1"/>
      <c r="AYR23" s="1"/>
      <c r="AYS23" s="1"/>
      <c r="AYT23" s="1"/>
      <c r="AYU23" s="1"/>
      <c r="AYV23" s="1"/>
      <c r="AYW23" s="1"/>
      <c r="AYX23" s="1"/>
      <c r="AYY23" s="1"/>
      <c r="AYZ23" s="1"/>
      <c r="AZA23" s="1"/>
      <c r="AZB23" s="1"/>
      <c r="AZC23" s="1"/>
      <c r="AZD23" s="1"/>
      <c r="AZE23" s="1"/>
      <c r="AZF23" s="1"/>
      <c r="AZG23" s="1"/>
      <c r="AZH23" s="1"/>
      <c r="AZI23" s="1"/>
      <c r="AZJ23" s="1"/>
      <c r="AZK23" s="1"/>
      <c r="AZL23" s="1"/>
      <c r="AZM23" s="1"/>
      <c r="AZN23" s="1"/>
      <c r="AZO23" s="1"/>
      <c r="AZP23" s="1"/>
      <c r="AZQ23" s="1"/>
      <c r="AZR23" s="1"/>
      <c r="AZS23" s="1"/>
      <c r="AZT23" s="1"/>
      <c r="AZU23" s="1"/>
      <c r="AZV23" s="1"/>
      <c r="AZW23" s="1"/>
      <c r="AZX23" s="1"/>
      <c r="AZY23" s="1"/>
      <c r="AZZ23" s="1"/>
      <c r="BAA23" s="1"/>
      <c r="BAB23" s="1"/>
      <c r="BAC23" s="1"/>
      <c r="BAD23" s="1"/>
      <c r="BAE23" s="1"/>
      <c r="BAF23" s="1"/>
      <c r="BAG23" s="1"/>
      <c r="BAH23" s="1"/>
      <c r="BAI23" s="1"/>
      <c r="BAJ23" s="1"/>
      <c r="BAK23" s="1"/>
      <c r="BAL23" s="1"/>
      <c r="BAM23" s="1"/>
      <c r="BAN23" s="1"/>
      <c r="BAO23" s="1"/>
      <c r="BAP23" s="1"/>
      <c r="BAQ23" s="1"/>
      <c r="BAR23" s="1"/>
      <c r="BAS23" s="1"/>
      <c r="BAT23" s="1"/>
      <c r="BAU23" s="1"/>
      <c r="BAV23" s="1"/>
      <c r="BAW23" s="1"/>
      <c r="BAX23" s="1"/>
      <c r="BAY23" s="1"/>
      <c r="BAZ23" s="1"/>
      <c r="BBA23" s="1"/>
      <c r="BBB23" s="1"/>
      <c r="BBC23" s="1"/>
      <c r="BBD23" s="1"/>
      <c r="BBE23" s="1"/>
      <c r="BBF23" s="1"/>
      <c r="BBG23" s="1"/>
      <c r="BBH23" s="1"/>
      <c r="BBI23" s="1"/>
      <c r="BBJ23" s="1"/>
      <c r="BBK23" s="1"/>
      <c r="BBL23" s="1"/>
      <c r="BBM23" s="1"/>
      <c r="BBN23" s="1"/>
      <c r="BBO23" s="1"/>
      <c r="BBP23" s="1"/>
      <c r="BBQ23" s="1"/>
      <c r="BBR23" s="1"/>
      <c r="BBS23" s="1"/>
      <c r="BBT23" s="1"/>
      <c r="BBU23" s="1"/>
      <c r="BBV23" s="1"/>
      <c r="BBW23" s="1"/>
      <c r="BBX23" s="1"/>
      <c r="BBY23" s="1"/>
      <c r="BBZ23" s="1"/>
      <c r="BCA23" s="1"/>
      <c r="BCB23" s="1"/>
      <c r="BCC23" s="1"/>
      <c r="BCD23" s="1"/>
      <c r="BCE23" s="1"/>
      <c r="BCF23" s="1"/>
      <c r="BCG23" s="1"/>
      <c r="BCH23" s="1"/>
      <c r="BCI23" s="1"/>
      <c r="BCJ23" s="1"/>
      <c r="BCK23" s="1"/>
      <c r="BCL23" s="1"/>
      <c r="BCM23" s="1"/>
      <c r="BCN23" s="1"/>
      <c r="BCO23" s="1"/>
      <c r="BCP23" s="1"/>
      <c r="BCQ23" s="1"/>
      <c r="BCR23" s="1"/>
      <c r="BCS23" s="1"/>
      <c r="BCT23" s="1"/>
      <c r="BCU23" s="1"/>
      <c r="BCV23" s="1"/>
      <c r="BCW23" s="1"/>
      <c r="BCX23" s="1"/>
      <c r="BCY23" s="1"/>
      <c r="BCZ23" s="1"/>
      <c r="BDA23" s="1"/>
      <c r="BDB23" s="1"/>
      <c r="BDC23" s="1"/>
      <c r="BDD23" s="1"/>
      <c r="BDE23" s="1"/>
      <c r="BDF23" s="1"/>
      <c r="BDG23" s="1"/>
      <c r="BDH23" s="1"/>
      <c r="BDI23" s="1"/>
      <c r="BDJ23" s="1"/>
      <c r="BDK23" s="1"/>
      <c r="BDL23" s="1"/>
      <c r="BDM23" s="1"/>
      <c r="BDN23" s="1"/>
      <c r="BDO23" s="1"/>
      <c r="BDP23" s="1"/>
      <c r="BDQ23" s="1"/>
      <c r="BDR23" s="1"/>
      <c r="BDS23" s="1"/>
      <c r="BDT23" s="1"/>
      <c r="BDU23" s="1"/>
      <c r="BDV23" s="1"/>
      <c r="BDW23" s="1"/>
      <c r="BDX23" s="1"/>
      <c r="BDY23" s="1"/>
      <c r="BDZ23" s="1"/>
      <c r="BEA23" s="1"/>
      <c r="BEB23" s="1"/>
      <c r="BEC23" s="1"/>
      <c r="BED23" s="1"/>
      <c r="BEE23" s="1"/>
      <c r="BEF23" s="1"/>
      <c r="BEG23" s="1"/>
      <c r="BEH23" s="1"/>
      <c r="BEI23" s="1"/>
      <c r="BEJ23" s="1"/>
      <c r="BEK23" s="1"/>
      <c r="BEL23" s="1"/>
      <c r="BEM23" s="1"/>
      <c r="BEN23" s="1"/>
      <c r="BEO23" s="1"/>
      <c r="BEP23" s="1"/>
      <c r="BEQ23" s="1"/>
      <c r="BER23" s="1"/>
      <c r="BES23" s="1"/>
      <c r="BET23" s="1"/>
      <c r="BEU23" s="1"/>
      <c r="BEV23" s="1"/>
      <c r="BEW23" s="1"/>
      <c r="BEX23" s="1"/>
      <c r="BEY23" s="1"/>
      <c r="BEZ23" s="1"/>
      <c r="BFA23" s="1"/>
      <c r="BFB23" s="1"/>
      <c r="BFC23" s="1"/>
      <c r="BFD23" s="1"/>
      <c r="BFE23" s="1"/>
      <c r="BFF23" s="1"/>
      <c r="BFG23" s="1"/>
      <c r="BFH23" s="1"/>
      <c r="BFI23" s="1"/>
      <c r="BFJ23" s="1"/>
      <c r="BFK23" s="1"/>
      <c r="BFL23" s="1"/>
      <c r="BFM23" s="1"/>
      <c r="BFN23" s="1"/>
      <c r="BFO23" s="1"/>
      <c r="BFP23" s="1"/>
      <c r="BFQ23" s="1"/>
      <c r="BFR23" s="1"/>
      <c r="BFS23" s="1"/>
      <c r="BFT23" s="1"/>
      <c r="BFU23" s="1"/>
      <c r="BFV23" s="1"/>
      <c r="BFW23" s="1"/>
      <c r="BFX23" s="1"/>
      <c r="BFY23" s="1"/>
      <c r="BFZ23" s="1"/>
      <c r="BGA23" s="1"/>
      <c r="BGB23" s="1"/>
      <c r="BGC23" s="1"/>
      <c r="BGD23" s="1"/>
      <c r="BGE23" s="1"/>
      <c r="BGF23" s="1"/>
      <c r="BGG23" s="1"/>
      <c r="BGH23" s="1"/>
      <c r="BGI23" s="1"/>
      <c r="BGJ23" s="1"/>
      <c r="BGK23" s="1"/>
      <c r="BGL23" s="1"/>
      <c r="BGM23" s="1"/>
      <c r="BGN23" s="1"/>
      <c r="BGO23" s="1"/>
      <c r="BGP23" s="1"/>
      <c r="BGQ23" s="1"/>
      <c r="BGR23" s="1"/>
      <c r="BGS23" s="1"/>
      <c r="BGT23" s="1"/>
      <c r="BGU23" s="1"/>
      <c r="BGV23" s="1"/>
      <c r="BGW23" s="1"/>
      <c r="BGX23" s="1"/>
      <c r="BGY23" s="1"/>
      <c r="BGZ23" s="1"/>
      <c r="BHA23" s="1"/>
      <c r="BHB23" s="1"/>
      <c r="BHC23" s="1"/>
      <c r="BHD23" s="1"/>
      <c r="BHE23" s="1"/>
      <c r="BHF23" s="1"/>
      <c r="BHG23" s="1"/>
      <c r="BHH23" s="1"/>
      <c r="BHI23" s="1"/>
      <c r="BHJ23" s="1"/>
      <c r="BHK23" s="1"/>
      <c r="BHL23" s="1"/>
      <c r="BHM23" s="1"/>
      <c r="BHN23" s="1"/>
      <c r="BHO23" s="1"/>
      <c r="BHP23" s="1"/>
      <c r="BHQ23" s="1"/>
      <c r="BHR23" s="1"/>
      <c r="BHS23" s="1"/>
      <c r="BHT23" s="1"/>
      <c r="BHU23" s="1"/>
      <c r="BHV23" s="1"/>
      <c r="BHW23" s="1"/>
      <c r="BHX23" s="1"/>
      <c r="BHY23" s="1"/>
      <c r="BHZ23" s="1"/>
      <c r="BIA23" s="1"/>
      <c r="BIB23" s="1"/>
      <c r="BIC23" s="1"/>
      <c r="BID23" s="1"/>
      <c r="BIE23" s="1"/>
      <c r="BIF23" s="1"/>
      <c r="BIG23" s="1"/>
      <c r="BIH23" s="1"/>
      <c r="BII23" s="1"/>
      <c r="BIJ23" s="1"/>
      <c r="BIK23" s="1"/>
      <c r="BIL23" s="1"/>
      <c r="BIM23" s="1"/>
      <c r="BIN23" s="1"/>
      <c r="BIO23" s="1"/>
      <c r="BIP23" s="1"/>
      <c r="BIQ23" s="1"/>
      <c r="BIR23" s="1"/>
      <c r="BIS23" s="1"/>
      <c r="BIT23" s="1"/>
      <c r="BIU23" s="1"/>
      <c r="BIV23" s="1"/>
      <c r="BIW23" s="1"/>
      <c r="BIX23" s="1"/>
      <c r="BIY23" s="1"/>
      <c r="BIZ23" s="1"/>
      <c r="BJA23" s="1"/>
      <c r="BJB23" s="1"/>
      <c r="BJC23" s="1"/>
      <c r="BJD23" s="1"/>
      <c r="BJE23" s="1"/>
      <c r="BJF23" s="1"/>
      <c r="BJG23" s="1"/>
      <c r="BJH23" s="1"/>
      <c r="BJI23" s="1"/>
      <c r="BJJ23" s="1"/>
      <c r="BJK23" s="1"/>
      <c r="BJL23" s="1"/>
      <c r="BJM23" s="1"/>
      <c r="BJN23" s="1"/>
      <c r="BJO23" s="1"/>
      <c r="BJP23" s="1"/>
      <c r="BJQ23" s="1"/>
      <c r="BJR23" s="1"/>
      <c r="BJS23" s="1"/>
      <c r="BJT23" s="1"/>
      <c r="BJU23" s="1"/>
      <c r="BJV23" s="1"/>
      <c r="BJW23" s="1"/>
      <c r="BJX23" s="1"/>
      <c r="BJY23" s="1"/>
      <c r="BJZ23" s="1"/>
      <c r="BKA23" s="1"/>
      <c r="BKB23" s="1"/>
      <c r="BKC23" s="1"/>
      <c r="BKD23" s="1"/>
      <c r="BKE23" s="1"/>
      <c r="BKF23" s="1"/>
      <c r="BKG23" s="1"/>
      <c r="BKH23" s="1"/>
      <c r="BKI23" s="1"/>
      <c r="BKJ23" s="1"/>
      <c r="BKK23" s="1"/>
      <c r="BKL23" s="1"/>
      <c r="BKM23" s="1"/>
      <c r="BKN23" s="1"/>
      <c r="BKO23" s="1"/>
      <c r="BKP23" s="1"/>
      <c r="BKQ23" s="1"/>
      <c r="BKR23" s="1"/>
      <c r="BKS23" s="1"/>
      <c r="BKT23" s="1"/>
      <c r="BKU23" s="1"/>
      <c r="BKV23" s="1"/>
      <c r="BKW23" s="1"/>
      <c r="BKX23" s="1"/>
      <c r="BKY23" s="1"/>
      <c r="BKZ23" s="1"/>
      <c r="BLA23" s="1"/>
      <c r="BLB23" s="1"/>
      <c r="BLC23" s="1"/>
      <c r="BLD23" s="1"/>
      <c r="BLE23" s="1"/>
      <c r="BLF23" s="1"/>
      <c r="BLG23" s="1"/>
      <c r="BLH23" s="1"/>
      <c r="BLI23" s="1"/>
      <c r="BLJ23" s="1"/>
      <c r="BLK23" s="1"/>
      <c r="BLL23" s="1"/>
      <c r="BLM23" s="1"/>
      <c r="BLN23" s="1"/>
      <c r="BLO23" s="1"/>
      <c r="BLP23" s="1"/>
      <c r="BLQ23" s="1"/>
      <c r="BLR23" s="1"/>
      <c r="BLS23" s="1"/>
      <c r="BLT23" s="1"/>
      <c r="BLU23" s="1"/>
      <c r="BLV23" s="1"/>
      <c r="BLW23" s="1"/>
      <c r="BLX23" s="1"/>
      <c r="BLY23" s="1"/>
      <c r="BLZ23" s="1"/>
      <c r="BMA23" s="1"/>
      <c r="BMB23" s="1"/>
      <c r="BMC23" s="1"/>
      <c r="BMD23" s="1"/>
      <c r="BME23" s="1"/>
      <c r="BMF23" s="1"/>
      <c r="BMG23" s="1"/>
      <c r="BMH23" s="1"/>
      <c r="BMI23" s="1"/>
      <c r="BMJ23" s="1"/>
      <c r="BMK23" s="1"/>
      <c r="BML23" s="1"/>
      <c r="BMM23" s="1"/>
      <c r="BMN23" s="1"/>
      <c r="BMO23" s="1"/>
      <c r="BMP23" s="1"/>
      <c r="BMQ23" s="1"/>
      <c r="BMR23" s="1"/>
      <c r="BMS23" s="1"/>
      <c r="BMT23" s="1"/>
      <c r="BMU23" s="1"/>
      <c r="BMV23" s="1"/>
      <c r="BMW23" s="1"/>
      <c r="BMX23" s="1"/>
      <c r="BMY23" s="1"/>
      <c r="BMZ23" s="1"/>
      <c r="BNA23" s="1"/>
      <c r="BNB23" s="1"/>
      <c r="BNC23" s="1"/>
      <c r="BND23" s="1"/>
      <c r="BNE23" s="1"/>
      <c r="BNF23" s="1"/>
      <c r="BNG23" s="1"/>
      <c r="BNH23" s="1"/>
      <c r="BNI23" s="1"/>
      <c r="BNJ23" s="1"/>
      <c r="BNK23" s="1"/>
      <c r="BNL23" s="1"/>
      <c r="BNM23" s="1"/>
      <c r="BNN23" s="1"/>
      <c r="BNO23" s="1"/>
      <c r="BNP23" s="1"/>
      <c r="BNQ23" s="1"/>
      <c r="BNR23" s="1"/>
      <c r="BNS23" s="1"/>
      <c r="BNT23" s="1"/>
      <c r="BNU23" s="1"/>
      <c r="BNV23" s="1"/>
      <c r="BNW23" s="1"/>
      <c r="BNX23" s="1"/>
      <c r="BNY23" s="1"/>
      <c r="BNZ23" s="1"/>
      <c r="BOA23" s="1"/>
      <c r="BOB23" s="1"/>
      <c r="BOC23" s="1"/>
      <c r="BOD23" s="1"/>
      <c r="BOE23" s="1"/>
      <c r="BOF23" s="1"/>
      <c r="BOG23" s="1"/>
      <c r="BOH23" s="1"/>
      <c r="BOI23" s="1"/>
      <c r="BOJ23" s="1"/>
      <c r="BOK23" s="1"/>
      <c r="BOL23" s="1"/>
      <c r="BOM23" s="1"/>
      <c r="BON23" s="1"/>
      <c r="BOO23" s="1"/>
      <c r="BOP23" s="1"/>
      <c r="BOQ23" s="1"/>
      <c r="BOR23" s="1"/>
      <c r="BOS23" s="1"/>
      <c r="BOT23" s="1"/>
      <c r="BOU23" s="1"/>
      <c r="BOV23" s="1"/>
      <c r="BOW23" s="1"/>
      <c r="BOX23" s="1"/>
      <c r="BOY23" s="1"/>
      <c r="BOZ23" s="1"/>
      <c r="BPA23" s="1"/>
      <c r="BPB23" s="1"/>
      <c r="BPC23" s="1"/>
      <c r="BPD23" s="1"/>
      <c r="BPE23" s="1"/>
      <c r="BPF23" s="1"/>
      <c r="BPG23" s="1"/>
      <c r="BPH23" s="1"/>
      <c r="BPI23" s="1"/>
      <c r="BPJ23" s="1"/>
      <c r="BPK23" s="1"/>
      <c r="BPL23" s="1"/>
      <c r="BPM23" s="1"/>
      <c r="BPN23" s="1"/>
      <c r="BPO23" s="1"/>
      <c r="BPP23" s="1"/>
      <c r="BPQ23" s="1"/>
      <c r="BPR23" s="1"/>
      <c r="BPS23" s="1"/>
      <c r="BPT23" s="1"/>
      <c r="BPU23" s="1"/>
      <c r="BPV23" s="1"/>
      <c r="BPW23" s="1"/>
      <c r="BPX23" s="1"/>
      <c r="BPY23" s="1"/>
      <c r="BPZ23" s="1"/>
      <c r="BQA23" s="1"/>
      <c r="BQB23" s="1"/>
      <c r="BQC23" s="1"/>
      <c r="BQD23" s="1"/>
      <c r="BQE23" s="1"/>
      <c r="BQF23" s="1"/>
      <c r="BQG23" s="1"/>
      <c r="BQH23" s="1"/>
      <c r="BQI23" s="1"/>
      <c r="BQJ23" s="1"/>
      <c r="BQK23" s="1"/>
      <c r="BQL23" s="1"/>
      <c r="BQM23" s="1"/>
      <c r="BQN23" s="1"/>
      <c r="BQO23" s="1"/>
      <c r="BQP23" s="1"/>
      <c r="BQQ23" s="1"/>
      <c r="BQR23" s="1"/>
      <c r="BQS23" s="1"/>
      <c r="BQT23" s="1"/>
      <c r="BQU23" s="1"/>
      <c r="BQV23" s="1"/>
      <c r="BQW23" s="1"/>
      <c r="BQX23" s="1"/>
      <c r="BQY23" s="1"/>
      <c r="BQZ23" s="1"/>
      <c r="BRA23" s="1"/>
      <c r="BRB23" s="1"/>
      <c r="BRC23" s="1"/>
      <c r="BRD23" s="1"/>
      <c r="BRE23" s="1"/>
      <c r="BRF23" s="1"/>
      <c r="BRG23" s="1"/>
      <c r="BRH23" s="1"/>
      <c r="BRI23" s="1"/>
      <c r="BRJ23" s="1"/>
      <c r="BRK23" s="1"/>
      <c r="BRL23" s="1"/>
      <c r="BRM23" s="1"/>
      <c r="BRN23" s="1"/>
      <c r="BRO23" s="1"/>
      <c r="BRP23" s="1"/>
      <c r="BRQ23" s="1"/>
      <c r="BRR23" s="1"/>
      <c r="BRS23" s="1"/>
      <c r="BRT23" s="1"/>
      <c r="BRU23" s="1"/>
      <c r="BRV23" s="1"/>
      <c r="BRW23" s="1"/>
      <c r="BRX23" s="1"/>
      <c r="BRY23" s="1"/>
      <c r="BRZ23" s="1"/>
      <c r="BSA23" s="1"/>
      <c r="BSB23" s="1"/>
      <c r="BSC23" s="1"/>
      <c r="BSD23" s="1"/>
      <c r="BSE23" s="1"/>
      <c r="BSF23" s="1"/>
      <c r="BSG23" s="1"/>
      <c r="BSH23" s="1"/>
      <c r="BSI23" s="1"/>
      <c r="BSJ23" s="1"/>
      <c r="BSK23" s="1"/>
      <c r="BSL23" s="1"/>
      <c r="BSM23" s="1"/>
      <c r="BSN23" s="1"/>
      <c r="BSO23" s="1"/>
      <c r="BSP23" s="1"/>
      <c r="BSQ23" s="1"/>
      <c r="BSR23" s="1"/>
      <c r="BSS23" s="1"/>
      <c r="BST23" s="1"/>
      <c r="BSU23" s="1"/>
      <c r="BSV23" s="1"/>
      <c r="BSW23" s="1"/>
      <c r="BSX23" s="1"/>
      <c r="BSY23" s="1"/>
      <c r="BSZ23" s="1"/>
      <c r="BTA23" s="1"/>
      <c r="BTB23" s="1"/>
      <c r="BTC23" s="1"/>
      <c r="BTD23" s="1"/>
      <c r="BTE23" s="1"/>
      <c r="BTF23" s="1"/>
      <c r="BTG23" s="1"/>
      <c r="BTH23" s="1"/>
      <c r="BTI23" s="1"/>
      <c r="BTJ23" s="1"/>
      <c r="BTK23" s="1"/>
      <c r="BTL23" s="1"/>
      <c r="BTM23" s="1"/>
      <c r="BTN23" s="1"/>
      <c r="BTO23" s="1"/>
      <c r="BTP23" s="1"/>
      <c r="BTQ23" s="1"/>
      <c r="BTR23" s="1"/>
      <c r="BTS23" s="1"/>
      <c r="BTT23" s="1"/>
      <c r="BTU23" s="1"/>
      <c r="BTV23" s="1"/>
      <c r="BTW23" s="1"/>
      <c r="BTX23" s="1"/>
      <c r="BTY23" s="1"/>
      <c r="BTZ23" s="1"/>
      <c r="BUA23" s="1"/>
      <c r="BUB23" s="1"/>
      <c r="BUC23" s="1"/>
      <c r="BUD23" s="1"/>
      <c r="BUE23" s="1"/>
      <c r="BUF23" s="1"/>
      <c r="BUG23" s="1"/>
      <c r="BUH23" s="1"/>
      <c r="BUI23" s="1"/>
      <c r="BUJ23" s="1"/>
      <c r="BUK23" s="1"/>
      <c r="BUL23" s="1"/>
      <c r="BUM23" s="1"/>
      <c r="BUN23" s="1"/>
      <c r="BUO23" s="1"/>
      <c r="BUP23" s="1"/>
      <c r="BUQ23" s="1"/>
      <c r="BUR23" s="1"/>
      <c r="BUS23" s="1"/>
      <c r="BUT23" s="1"/>
      <c r="BUU23" s="1"/>
      <c r="BUV23" s="1"/>
      <c r="BUW23" s="1"/>
      <c r="BUX23" s="1"/>
      <c r="BUY23" s="1"/>
      <c r="BUZ23" s="1"/>
      <c r="BVA23" s="1"/>
      <c r="BVB23" s="1"/>
      <c r="BVC23" s="1"/>
      <c r="BVD23" s="1"/>
      <c r="BVE23" s="1"/>
      <c r="BVF23" s="1"/>
      <c r="BVG23" s="1"/>
      <c r="BVH23" s="1"/>
      <c r="BVI23" s="1"/>
      <c r="BVJ23" s="1"/>
      <c r="BVK23" s="1"/>
      <c r="BVL23" s="1"/>
      <c r="BVM23" s="1"/>
      <c r="BVN23" s="1"/>
      <c r="BVO23" s="1"/>
      <c r="BVP23" s="1"/>
      <c r="BVQ23" s="1"/>
      <c r="BVR23" s="1"/>
      <c r="BVS23" s="1"/>
      <c r="BVT23" s="1"/>
      <c r="BVU23" s="1"/>
      <c r="BVV23" s="1"/>
      <c r="BVW23" s="1"/>
      <c r="BVX23" s="1"/>
      <c r="BVY23" s="1"/>
      <c r="BVZ23" s="1"/>
      <c r="BWA23" s="1"/>
      <c r="BWB23" s="1"/>
      <c r="BWC23" s="1"/>
      <c r="BWD23" s="1"/>
      <c r="BWE23" s="1"/>
      <c r="BWF23" s="1"/>
      <c r="BWG23" s="1"/>
      <c r="BWH23" s="1"/>
      <c r="BWI23" s="1"/>
      <c r="BWJ23" s="1"/>
      <c r="BWK23" s="1"/>
      <c r="BWL23" s="1"/>
      <c r="BWM23" s="1"/>
      <c r="BWN23" s="1"/>
      <c r="BWO23" s="1"/>
      <c r="BWP23" s="1"/>
      <c r="BWQ23" s="1"/>
      <c r="BWR23" s="1"/>
      <c r="BWS23" s="1"/>
      <c r="BWT23" s="1"/>
      <c r="BWU23" s="1"/>
      <c r="BWV23" s="1"/>
      <c r="BWW23" s="1"/>
      <c r="BWX23" s="1"/>
      <c r="BWY23" s="1"/>
      <c r="BWZ23" s="1"/>
      <c r="BXA23" s="1"/>
      <c r="BXB23" s="1"/>
      <c r="BXC23" s="1"/>
      <c r="BXD23" s="1"/>
      <c r="BXE23" s="1"/>
      <c r="BXF23" s="1"/>
      <c r="BXG23" s="1"/>
      <c r="BXH23" s="1"/>
      <c r="BXI23" s="1"/>
      <c r="BXJ23" s="1"/>
      <c r="BXK23" s="1"/>
      <c r="BXL23" s="1"/>
      <c r="BXM23" s="1"/>
      <c r="BXN23" s="1"/>
      <c r="BXO23" s="1"/>
      <c r="BXP23" s="1"/>
      <c r="BXQ23" s="1"/>
      <c r="BXR23" s="1"/>
      <c r="BXS23" s="1"/>
      <c r="BXT23" s="1"/>
      <c r="BXU23" s="1"/>
      <c r="BXV23" s="1"/>
      <c r="BXW23" s="1"/>
      <c r="BXX23" s="1"/>
      <c r="BXY23" s="1"/>
      <c r="BXZ23" s="1"/>
      <c r="BYA23" s="1"/>
      <c r="BYB23" s="1"/>
      <c r="BYC23" s="1"/>
      <c r="BYD23" s="1"/>
      <c r="BYE23" s="1"/>
      <c r="BYF23" s="1"/>
      <c r="BYG23" s="1"/>
      <c r="BYH23" s="1"/>
      <c r="BYI23" s="1"/>
      <c r="BYJ23" s="1"/>
      <c r="BYK23" s="1"/>
      <c r="BYL23" s="1"/>
      <c r="BYM23" s="1"/>
      <c r="BYN23" s="1"/>
      <c r="BYO23" s="1"/>
      <c r="BYP23" s="1"/>
      <c r="BYQ23" s="1"/>
      <c r="BYR23" s="1"/>
      <c r="BYS23" s="1"/>
      <c r="BYT23" s="1"/>
      <c r="BYU23" s="1"/>
      <c r="BYV23" s="1"/>
      <c r="BYW23" s="1"/>
      <c r="BYX23" s="1"/>
      <c r="BYY23" s="1"/>
      <c r="BYZ23" s="1"/>
      <c r="BZA23" s="1"/>
      <c r="BZB23" s="1"/>
      <c r="BZC23" s="1"/>
      <c r="BZD23" s="1"/>
      <c r="BZE23" s="1"/>
      <c r="BZF23" s="1"/>
      <c r="BZG23" s="1"/>
      <c r="BZH23" s="1"/>
      <c r="BZI23" s="1"/>
      <c r="BZJ23" s="1"/>
      <c r="BZK23" s="1"/>
      <c r="BZL23" s="1"/>
      <c r="BZM23" s="1"/>
      <c r="BZN23" s="1"/>
      <c r="BZO23" s="1"/>
      <c r="BZP23" s="1"/>
      <c r="BZQ23" s="1"/>
      <c r="BZR23" s="1"/>
      <c r="BZS23" s="1"/>
      <c r="BZT23" s="1"/>
      <c r="BZU23" s="1"/>
      <c r="BZV23" s="1"/>
      <c r="BZW23" s="1"/>
      <c r="BZX23" s="1"/>
      <c r="BZY23" s="1"/>
      <c r="BZZ23" s="1"/>
      <c r="CAA23" s="1"/>
      <c r="CAB23" s="1"/>
      <c r="CAC23" s="1"/>
      <c r="CAD23" s="1"/>
      <c r="CAE23" s="1"/>
      <c r="CAF23" s="1"/>
      <c r="CAG23" s="1"/>
      <c r="CAH23" s="1"/>
      <c r="CAI23" s="1"/>
      <c r="CAJ23" s="1"/>
      <c r="CAK23" s="1"/>
      <c r="CAL23" s="1"/>
      <c r="CAM23" s="1"/>
      <c r="CAN23" s="1"/>
      <c r="CAO23" s="1"/>
      <c r="CAP23" s="1"/>
      <c r="CAQ23" s="1"/>
      <c r="CAR23" s="1"/>
      <c r="CAS23" s="1"/>
      <c r="CAT23" s="1"/>
      <c r="CAU23" s="1"/>
      <c r="CAV23" s="1"/>
      <c r="CAW23" s="1"/>
      <c r="CAX23" s="1"/>
      <c r="CAY23" s="1"/>
      <c r="CAZ23" s="1"/>
      <c r="CBA23" s="1"/>
      <c r="CBB23" s="1"/>
      <c r="CBC23" s="1"/>
      <c r="CBD23" s="1"/>
      <c r="CBE23" s="1"/>
      <c r="CBF23" s="1"/>
      <c r="CBG23" s="1"/>
      <c r="CBH23" s="1"/>
      <c r="CBI23" s="1"/>
      <c r="CBJ23" s="1"/>
      <c r="CBK23" s="1"/>
      <c r="CBL23" s="1"/>
      <c r="CBM23" s="1"/>
      <c r="CBN23" s="1"/>
      <c r="CBO23" s="1"/>
      <c r="CBP23" s="1"/>
      <c r="CBQ23" s="1"/>
      <c r="CBR23" s="1"/>
      <c r="CBS23" s="1"/>
      <c r="CBT23" s="1"/>
      <c r="CBU23" s="1"/>
      <c r="CBV23" s="1"/>
      <c r="CBW23" s="1"/>
      <c r="CBX23" s="1"/>
      <c r="CBY23" s="1"/>
      <c r="CBZ23" s="1"/>
      <c r="CCA23" s="1"/>
      <c r="CCB23" s="1"/>
      <c r="CCC23" s="1"/>
      <c r="CCD23" s="1"/>
      <c r="CCE23" s="1"/>
      <c r="CCF23" s="1"/>
      <c r="CCG23" s="1"/>
      <c r="CCH23" s="1"/>
      <c r="CCI23" s="1"/>
      <c r="CCJ23" s="1"/>
      <c r="CCK23" s="1"/>
      <c r="CCL23" s="1"/>
      <c r="CCM23" s="1"/>
      <c r="CCN23" s="1"/>
      <c r="CCO23" s="1"/>
      <c r="CCP23" s="1"/>
      <c r="CCQ23" s="1"/>
      <c r="CCR23" s="1"/>
      <c r="CCS23" s="1"/>
      <c r="CCT23" s="1"/>
      <c r="CCU23" s="1"/>
      <c r="CCV23" s="1"/>
      <c r="CCW23" s="1"/>
      <c r="CCX23" s="1"/>
      <c r="CCY23" s="1"/>
      <c r="CCZ23" s="1"/>
      <c r="CDA23" s="1"/>
      <c r="CDB23" s="1"/>
      <c r="CDC23" s="1"/>
      <c r="CDD23" s="1"/>
      <c r="CDE23" s="1"/>
      <c r="CDF23" s="1"/>
      <c r="CDG23" s="1"/>
      <c r="CDH23" s="1"/>
      <c r="CDI23" s="1"/>
      <c r="CDJ23" s="1"/>
      <c r="CDK23" s="1"/>
      <c r="CDL23" s="1"/>
      <c r="CDM23" s="1"/>
      <c r="CDN23" s="1"/>
      <c r="CDO23" s="1"/>
      <c r="CDP23" s="1"/>
      <c r="CDQ23" s="1"/>
      <c r="CDR23" s="1"/>
      <c r="CDS23" s="1"/>
      <c r="CDT23" s="1"/>
      <c r="CDU23" s="1"/>
      <c r="CDV23" s="1"/>
      <c r="CDW23" s="1"/>
      <c r="CDX23" s="1"/>
      <c r="CDY23" s="1"/>
      <c r="CDZ23" s="1"/>
      <c r="CEA23" s="1"/>
      <c r="CEB23" s="1"/>
      <c r="CEC23" s="1"/>
      <c r="CED23" s="1"/>
      <c r="CEE23" s="1"/>
      <c r="CEF23" s="1"/>
      <c r="CEG23" s="1"/>
      <c r="CEH23" s="1"/>
      <c r="CEI23" s="1"/>
      <c r="CEJ23" s="1"/>
      <c r="CEK23" s="1"/>
      <c r="CEL23" s="1"/>
      <c r="CEM23" s="1"/>
      <c r="CEN23" s="1"/>
      <c r="CEO23" s="1"/>
      <c r="CEP23" s="1"/>
      <c r="CEQ23" s="1"/>
      <c r="CER23" s="1"/>
      <c r="CES23" s="1"/>
      <c r="CET23" s="1"/>
      <c r="CEU23" s="1"/>
      <c r="CEV23" s="1"/>
      <c r="CEW23" s="1"/>
      <c r="CEX23" s="1"/>
      <c r="CEY23" s="1"/>
      <c r="CEZ23" s="1"/>
      <c r="CFA23" s="1"/>
      <c r="CFB23" s="1"/>
      <c r="CFC23" s="1"/>
      <c r="CFD23" s="1"/>
      <c r="CFE23" s="1"/>
      <c r="CFF23" s="1"/>
      <c r="CFG23" s="1"/>
      <c r="CFH23" s="1"/>
      <c r="CFI23" s="1"/>
      <c r="CFJ23" s="1"/>
      <c r="CFK23" s="1"/>
      <c r="CFL23" s="1"/>
      <c r="CFM23" s="1"/>
      <c r="CFN23" s="1"/>
      <c r="CFO23" s="1"/>
      <c r="CFP23" s="1"/>
      <c r="CFQ23" s="1"/>
      <c r="CFR23" s="1"/>
      <c r="CFS23" s="1"/>
      <c r="CFT23" s="1"/>
      <c r="CFU23" s="1"/>
      <c r="CFV23" s="1"/>
      <c r="CFW23" s="1"/>
      <c r="CFX23" s="1"/>
      <c r="CFY23" s="1"/>
      <c r="CFZ23" s="1"/>
      <c r="CGA23" s="1"/>
      <c r="CGB23" s="1"/>
      <c r="CGC23" s="1"/>
      <c r="CGD23" s="1"/>
      <c r="CGE23" s="1"/>
      <c r="CGF23" s="1"/>
      <c r="CGG23" s="1"/>
      <c r="CGH23" s="1"/>
      <c r="CGI23" s="1"/>
      <c r="CGJ23" s="1"/>
      <c r="CGK23" s="1"/>
      <c r="CGL23" s="1"/>
      <c r="CGM23" s="1"/>
      <c r="CGN23" s="1"/>
      <c r="CGO23" s="1"/>
      <c r="CGP23" s="1"/>
      <c r="CGQ23" s="1"/>
      <c r="CGR23" s="1"/>
      <c r="CGS23" s="1"/>
      <c r="CGT23" s="1"/>
      <c r="CGU23" s="1"/>
      <c r="CGV23" s="1"/>
      <c r="CGW23" s="1"/>
      <c r="CGX23" s="1"/>
      <c r="CGY23" s="1"/>
      <c r="CGZ23" s="1"/>
      <c r="CHA23" s="1"/>
      <c r="CHB23" s="1"/>
      <c r="CHC23" s="1"/>
      <c r="CHD23" s="1"/>
      <c r="CHE23" s="1"/>
      <c r="CHF23" s="1"/>
      <c r="CHG23" s="1"/>
      <c r="CHH23" s="1"/>
      <c r="CHI23" s="1"/>
      <c r="CHJ23" s="1"/>
      <c r="CHK23" s="1"/>
      <c r="CHL23" s="1"/>
      <c r="CHM23" s="1"/>
      <c r="CHN23" s="1"/>
      <c r="CHO23" s="1"/>
      <c r="CHP23" s="1"/>
      <c r="CHQ23" s="1"/>
      <c r="CHR23" s="1"/>
      <c r="CHS23" s="1"/>
      <c r="CHT23" s="1"/>
      <c r="CHU23" s="1"/>
      <c r="CHV23" s="1"/>
      <c r="CHW23" s="1"/>
      <c r="CHX23" s="1"/>
      <c r="CHY23" s="1"/>
      <c r="CHZ23" s="1"/>
      <c r="CIA23" s="1"/>
      <c r="CIB23" s="1"/>
      <c r="CIC23" s="1"/>
      <c r="CID23" s="1"/>
      <c r="CIE23" s="1"/>
      <c r="CIF23" s="1"/>
      <c r="CIG23" s="1"/>
      <c r="CIH23" s="1"/>
      <c r="CII23" s="1"/>
      <c r="CIJ23" s="1"/>
      <c r="CIK23" s="1"/>
      <c r="CIL23" s="1"/>
      <c r="CIM23" s="1"/>
      <c r="CIN23" s="1"/>
      <c r="CIO23" s="1"/>
      <c r="CIP23" s="1"/>
      <c r="CIQ23" s="1"/>
      <c r="CIR23" s="1"/>
      <c r="CIS23" s="1"/>
      <c r="CIT23" s="1"/>
      <c r="CIU23" s="1"/>
      <c r="CIV23" s="1"/>
      <c r="CIW23" s="1"/>
      <c r="CIX23" s="1"/>
      <c r="CIY23" s="1"/>
      <c r="CIZ23" s="1"/>
      <c r="CJA23" s="1"/>
      <c r="CJB23" s="1"/>
      <c r="CJC23" s="1"/>
      <c r="CJD23" s="1"/>
      <c r="CJE23" s="1"/>
      <c r="CJF23" s="1"/>
      <c r="CJG23" s="1"/>
      <c r="CJH23" s="1"/>
      <c r="CJI23" s="1"/>
      <c r="CJJ23" s="1"/>
      <c r="CJK23" s="1"/>
      <c r="CJL23" s="1"/>
      <c r="CJM23" s="1"/>
      <c r="CJN23" s="1"/>
      <c r="CJO23" s="1"/>
      <c r="CJP23" s="1"/>
      <c r="CJQ23" s="1"/>
      <c r="CJR23" s="1"/>
      <c r="CJS23" s="1"/>
      <c r="CJT23" s="1"/>
      <c r="CJU23" s="1"/>
      <c r="CJV23" s="1"/>
      <c r="CJW23" s="1"/>
      <c r="CJX23" s="1"/>
      <c r="CJY23" s="1"/>
      <c r="CJZ23" s="1"/>
      <c r="CKA23" s="1"/>
      <c r="CKB23" s="1"/>
      <c r="CKC23" s="1"/>
      <c r="CKD23" s="1"/>
      <c r="CKE23" s="1"/>
      <c r="CKF23" s="1"/>
      <c r="CKG23" s="1"/>
      <c r="CKH23" s="1"/>
      <c r="CKI23" s="1"/>
      <c r="CKJ23" s="1"/>
      <c r="CKK23" s="1"/>
      <c r="CKL23" s="1"/>
      <c r="CKM23" s="1"/>
      <c r="CKN23" s="1"/>
      <c r="CKO23" s="1"/>
      <c r="CKP23" s="1"/>
      <c r="CKQ23" s="1"/>
      <c r="CKR23" s="1"/>
      <c r="CKS23" s="1"/>
      <c r="CKT23" s="1"/>
      <c r="CKU23" s="1"/>
      <c r="CKV23" s="1"/>
      <c r="CKW23" s="1"/>
      <c r="CKX23" s="1"/>
      <c r="CKY23" s="1"/>
      <c r="CKZ23" s="1"/>
      <c r="CLA23" s="1"/>
      <c r="CLB23" s="1"/>
      <c r="CLC23" s="1"/>
      <c r="CLD23" s="1"/>
      <c r="CLE23" s="1"/>
      <c r="CLF23" s="1"/>
      <c r="CLG23" s="1"/>
      <c r="CLH23" s="1"/>
      <c r="CLI23" s="1"/>
      <c r="CLJ23" s="1"/>
      <c r="CLK23" s="1"/>
      <c r="CLL23" s="1"/>
      <c r="CLM23" s="1"/>
      <c r="CLN23" s="1"/>
      <c r="CLO23" s="1"/>
      <c r="CLP23" s="1"/>
      <c r="CLQ23" s="1"/>
      <c r="CLR23" s="1"/>
      <c r="CLS23" s="1"/>
      <c r="CLT23" s="1"/>
      <c r="CLU23" s="1"/>
      <c r="CLV23" s="1"/>
      <c r="CLW23" s="1"/>
      <c r="CLX23" s="1"/>
      <c r="CLY23" s="1"/>
      <c r="CLZ23" s="1"/>
      <c r="CMA23" s="1"/>
      <c r="CMB23" s="1"/>
      <c r="CMC23" s="1"/>
      <c r="CMD23" s="1"/>
      <c r="CME23" s="1"/>
      <c r="CMF23" s="1"/>
      <c r="CMG23" s="1"/>
      <c r="CMH23" s="1"/>
      <c r="CMI23" s="1"/>
      <c r="CMJ23" s="1"/>
      <c r="CMK23" s="1"/>
      <c r="CML23" s="1"/>
      <c r="CMM23" s="1"/>
      <c r="CMN23" s="1"/>
      <c r="CMO23" s="1"/>
      <c r="CMP23" s="1"/>
      <c r="CMQ23" s="1"/>
      <c r="CMR23" s="1"/>
      <c r="CMS23" s="1"/>
      <c r="CMT23" s="1"/>
      <c r="CMU23" s="1"/>
      <c r="CMV23" s="1"/>
      <c r="CMW23" s="1"/>
      <c r="CMX23" s="1"/>
      <c r="CMY23" s="1"/>
      <c r="CMZ23" s="1"/>
      <c r="CNA23" s="1"/>
      <c r="CNB23" s="1"/>
      <c r="CNC23" s="1"/>
      <c r="CND23" s="1"/>
      <c r="CNE23" s="1"/>
      <c r="CNF23" s="1"/>
      <c r="CNG23" s="1"/>
      <c r="CNH23" s="1"/>
      <c r="CNI23" s="1"/>
      <c r="CNJ23" s="1"/>
      <c r="CNK23" s="1"/>
      <c r="CNL23" s="1"/>
      <c r="CNM23" s="1"/>
      <c r="CNN23" s="1"/>
      <c r="CNO23" s="1"/>
      <c r="CNP23" s="1"/>
      <c r="CNQ23" s="1"/>
      <c r="CNR23" s="1"/>
      <c r="CNS23" s="1"/>
      <c r="CNT23" s="1"/>
      <c r="CNU23" s="1"/>
      <c r="CNV23" s="1"/>
      <c r="CNW23" s="1"/>
      <c r="CNX23" s="1"/>
      <c r="CNY23" s="1"/>
      <c r="CNZ23" s="1"/>
      <c r="COA23" s="1"/>
      <c r="COB23" s="1"/>
      <c r="COC23" s="1"/>
      <c r="COD23" s="1"/>
      <c r="COE23" s="1"/>
      <c r="COF23" s="1"/>
      <c r="COG23" s="1"/>
      <c r="COH23" s="1"/>
      <c r="COI23" s="1"/>
      <c r="COJ23" s="1"/>
      <c r="COK23" s="1"/>
      <c r="COL23" s="1"/>
      <c r="COM23" s="1"/>
      <c r="CON23" s="1"/>
      <c r="COO23" s="1"/>
      <c r="COP23" s="1"/>
      <c r="COQ23" s="1"/>
      <c r="COR23" s="1"/>
      <c r="COS23" s="1"/>
      <c r="COT23" s="1"/>
      <c r="COU23" s="1"/>
      <c r="COV23" s="1"/>
      <c r="COW23" s="1"/>
      <c r="COX23" s="1"/>
      <c r="COY23" s="1"/>
      <c r="COZ23" s="1"/>
      <c r="CPA23" s="1"/>
      <c r="CPB23" s="1"/>
      <c r="CPC23" s="1"/>
      <c r="CPD23" s="1"/>
      <c r="CPE23" s="1"/>
      <c r="CPF23" s="1"/>
      <c r="CPG23" s="1"/>
      <c r="CPH23" s="1"/>
      <c r="CPI23" s="1"/>
      <c r="CPJ23" s="1"/>
      <c r="CPK23" s="1"/>
      <c r="CPL23" s="1"/>
      <c r="CPM23" s="1"/>
      <c r="CPN23" s="1"/>
      <c r="CPO23" s="1"/>
      <c r="CPP23" s="1"/>
      <c r="CPQ23" s="1"/>
      <c r="CPR23" s="1"/>
      <c r="CPS23" s="1"/>
      <c r="CPT23" s="1"/>
      <c r="CPU23" s="1"/>
      <c r="CPV23" s="1"/>
      <c r="CPW23" s="1"/>
      <c r="CPX23" s="1"/>
      <c r="CPY23" s="1"/>
      <c r="CPZ23" s="1"/>
      <c r="CQA23" s="1"/>
      <c r="CQB23" s="1"/>
      <c r="CQC23" s="1"/>
      <c r="CQD23" s="1"/>
      <c r="CQE23" s="1"/>
      <c r="CQF23" s="1"/>
      <c r="CQG23" s="1"/>
      <c r="CQH23" s="1"/>
      <c r="CQI23" s="1"/>
      <c r="CQJ23" s="1"/>
      <c r="CQK23" s="1"/>
      <c r="CQL23" s="1"/>
      <c r="CQM23" s="1"/>
      <c r="CQN23" s="1"/>
      <c r="CQO23" s="1"/>
      <c r="CQP23" s="1"/>
      <c r="CQQ23" s="1"/>
      <c r="CQR23" s="1"/>
      <c r="CQS23" s="1"/>
      <c r="CQT23" s="1"/>
      <c r="CQU23" s="1"/>
      <c r="CQV23" s="1"/>
      <c r="CQW23" s="1"/>
      <c r="CQX23" s="1"/>
      <c r="CQY23" s="1"/>
      <c r="CQZ23" s="1"/>
      <c r="CRA23" s="1"/>
      <c r="CRB23" s="1"/>
      <c r="CRC23" s="1"/>
      <c r="CRD23" s="1"/>
      <c r="CRE23" s="1"/>
      <c r="CRF23" s="1"/>
      <c r="CRG23" s="1"/>
      <c r="CRH23" s="1"/>
      <c r="CRI23" s="1"/>
      <c r="CRJ23" s="1"/>
      <c r="CRK23" s="1"/>
      <c r="CRL23" s="1"/>
      <c r="CRM23" s="1"/>
      <c r="CRN23" s="1"/>
      <c r="CRO23" s="1"/>
      <c r="CRP23" s="1"/>
      <c r="CRQ23" s="1"/>
      <c r="CRR23" s="1"/>
      <c r="CRS23" s="1"/>
      <c r="CRT23" s="1"/>
      <c r="CRU23" s="1"/>
      <c r="CRV23" s="1"/>
      <c r="CRW23" s="1"/>
      <c r="CRX23" s="1"/>
      <c r="CRY23" s="1"/>
      <c r="CRZ23" s="1"/>
      <c r="CSA23" s="1"/>
      <c r="CSB23" s="1"/>
      <c r="CSC23" s="1"/>
      <c r="CSD23" s="1"/>
      <c r="CSE23" s="1"/>
      <c r="CSF23" s="1"/>
      <c r="CSG23" s="1"/>
      <c r="CSH23" s="1"/>
      <c r="CSI23" s="1"/>
      <c r="CSJ23" s="1"/>
      <c r="CSK23" s="1"/>
      <c r="CSL23" s="1"/>
      <c r="CSM23" s="1"/>
      <c r="CSN23" s="1"/>
      <c r="CSO23" s="1"/>
      <c r="CSP23" s="1"/>
      <c r="CSQ23" s="1"/>
      <c r="CSR23" s="1"/>
      <c r="CSS23" s="1"/>
      <c r="CST23" s="1"/>
      <c r="CSU23" s="1"/>
      <c r="CSV23" s="1"/>
      <c r="CSW23" s="1"/>
      <c r="CSX23" s="1"/>
      <c r="CSY23" s="1"/>
      <c r="CSZ23" s="1"/>
      <c r="CTA23" s="1"/>
      <c r="CTB23" s="1"/>
      <c r="CTC23" s="1"/>
      <c r="CTD23" s="1"/>
      <c r="CTE23" s="1"/>
      <c r="CTF23" s="1"/>
      <c r="CTG23" s="1"/>
      <c r="CTH23" s="1"/>
      <c r="CTI23" s="1"/>
      <c r="CTJ23" s="1"/>
      <c r="CTK23" s="1"/>
      <c r="CTL23" s="1"/>
      <c r="CTM23" s="1"/>
      <c r="CTN23" s="1"/>
      <c r="CTO23" s="1"/>
      <c r="CTP23" s="1"/>
      <c r="CTQ23" s="1"/>
      <c r="CTR23" s="1"/>
      <c r="CTS23" s="1"/>
      <c r="CTT23" s="1"/>
      <c r="CTU23" s="1"/>
      <c r="CTV23" s="1"/>
      <c r="CTW23" s="1"/>
      <c r="CTX23" s="1"/>
      <c r="CTY23" s="1"/>
      <c r="CTZ23" s="1"/>
      <c r="CUA23" s="1"/>
      <c r="CUB23" s="1"/>
      <c r="CUC23" s="1"/>
      <c r="CUD23" s="1"/>
      <c r="CUE23" s="1"/>
      <c r="CUF23" s="1"/>
      <c r="CUG23" s="1"/>
      <c r="CUH23" s="1"/>
      <c r="CUI23" s="1"/>
      <c r="CUJ23" s="1"/>
      <c r="CUK23" s="1"/>
      <c r="CUL23" s="1"/>
      <c r="CUM23" s="1"/>
      <c r="CUN23" s="1"/>
      <c r="CUO23" s="1"/>
      <c r="CUP23" s="1"/>
      <c r="CUQ23" s="1"/>
      <c r="CUR23" s="1"/>
      <c r="CUS23" s="1"/>
      <c r="CUT23" s="1"/>
      <c r="CUU23" s="1"/>
      <c r="CUV23" s="1"/>
      <c r="CUW23" s="1"/>
      <c r="CUX23" s="1"/>
      <c r="CUY23" s="1"/>
      <c r="CUZ23" s="1"/>
      <c r="CVA23" s="1"/>
      <c r="CVB23" s="1"/>
      <c r="CVC23" s="1"/>
      <c r="CVD23" s="1"/>
      <c r="CVE23" s="1"/>
      <c r="CVF23" s="1"/>
      <c r="CVG23" s="1"/>
      <c r="CVH23" s="1"/>
      <c r="CVI23" s="1"/>
      <c r="CVJ23" s="1"/>
      <c r="CVK23" s="1"/>
      <c r="CVL23" s="1"/>
      <c r="CVM23" s="1"/>
      <c r="CVN23" s="1"/>
      <c r="CVO23" s="1"/>
      <c r="CVP23" s="1"/>
      <c r="CVQ23" s="1"/>
      <c r="CVR23" s="1"/>
      <c r="CVS23" s="1"/>
      <c r="CVT23" s="1"/>
      <c r="CVU23" s="1"/>
      <c r="CVV23" s="1"/>
      <c r="CVW23" s="1"/>
      <c r="CVX23" s="1"/>
      <c r="CVY23" s="1"/>
      <c r="CVZ23" s="1"/>
      <c r="CWA23" s="1"/>
      <c r="CWB23" s="1"/>
      <c r="CWC23" s="1"/>
      <c r="CWD23" s="1"/>
      <c r="CWE23" s="1"/>
      <c r="CWF23" s="1"/>
      <c r="CWG23" s="1"/>
      <c r="CWH23" s="1"/>
      <c r="CWI23" s="1"/>
      <c r="CWJ23" s="1"/>
      <c r="CWK23" s="1"/>
      <c r="CWL23" s="1"/>
      <c r="CWM23" s="1"/>
      <c r="CWN23" s="1"/>
      <c r="CWO23" s="1"/>
      <c r="CWP23" s="1"/>
      <c r="CWQ23" s="1"/>
      <c r="CWR23" s="1"/>
      <c r="CWS23" s="1"/>
      <c r="CWT23" s="1"/>
      <c r="CWU23" s="1"/>
      <c r="CWV23" s="1"/>
      <c r="CWW23" s="1"/>
      <c r="CWX23" s="1"/>
      <c r="CWY23" s="1"/>
      <c r="CWZ23" s="1"/>
      <c r="CXA23" s="1"/>
      <c r="CXB23" s="1"/>
      <c r="CXC23" s="1"/>
      <c r="CXD23" s="1"/>
      <c r="CXE23" s="1"/>
      <c r="CXF23" s="1"/>
      <c r="CXG23" s="1"/>
      <c r="CXH23" s="1"/>
      <c r="CXI23" s="1"/>
      <c r="CXJ23" s="1"/>
      <c r="CXK23" s="1"/>
      <c r="CXL23" s="1"/>
      <c r="CXM23" s="1"/>
      <c r="CXN23" s="1"/>
      <c r="CXO23" s="1"/>
      <c r="CXP23" s="1"/>
      <c r="CXQ23" s="1"/>
      <c r="CXR23" s="1"/>
      <c r="CXS23" s="1"/>
      <c r="CXT23" s="1"/>
      <c r="CXU23" s="1"/>
      <c r="CXV23" s="1"/>
      <c r="CXW23" s="1"/>
      <c r="CXX23" s="1"/>
      <c r="CXY23" s="1"/>
      <c r="CXZ23" s="1"/>
      <c r="CYA23" s="1"/>
      <c r="CYB23" s="1"/>
      <c r="CYC23" s="1"/>
      <c r="CYD23" s="1"/>
      <c r="CYE23" s="1"/>
      <c r="CYF23" s="1"/>
      <c r="CYG23" s="1"/>
      <c r="CYH23" s="1"/>
      <c r="CYI23" s="1"/>
      <c r="CYJ23" s="1"/>
      <c r="CYK23" s="1"/>
      <c r="CYL23" s="1"/>
      <c r="CYM23" s="1"/>
      <c r="CYN23" s="1"/>
      <c r="CYO23" s="1"/>
      <c r="CYP23" s="1"/>
      <c r="CYQ23" s="1"/>
      <c r="CYR23" s="1"/>
      <c r="CYS23" s="1"/>
      <c r="CYT23" s="1"/>
      <c r="CYU23" s="1"/>
      <c r="CYV23" s="1"/>
      <c r="CYW23" s="1"/>
      <c r="CYX23" s="1"/>
      <c r="CYY23" s="1"/>
      <c r="CYZ23" s="1"/>
      <c r="CZA23" s="1"/>
      <c r="CZB23" s="1"/>
      <c r="CZC23" s="1"/>
      <c r="CZD23" s="1"/>
      <c r="CZE23" s="1"/>
      <c r="CZF23" s="1"/>
      <c r="CZG23" s="1"/>
      <c r="CZH23" s="1"/>
      <c r="CZI23" s="1"/>
      <c r="CZJ23" s="1"/>
      <c r="CZK23" s="1"/>
      <c r="CZL23" s="1"/>
      <c r="CZM23" s="1"/>
      <c r="CZN23" s="1"/>
      <c r="CZO23" s="1"/>
      <c r="CZP23" s="1"/>
      <c r="CZQ23" s="1"/>
      <c r="CZR23" s="1"/>
      <c r="CZS23" s="1"/>
      <c r="CZT23" s="1"/>
      <c r="CZU23" s="1"/>
      <c r="CZV23" s="1"/>
      <c r="CZW23" s="1"/>
      <c r="CZX23" s="1"/>
      <c r="CZY23" s="1"/>
      <c r="CZZ23" s="1"/>
      <c r="DAA23" s="1"/>
      <c r="DAB23" s="1"/>
      <c r="DAC23" s="1"/>
      <c r="DAD23" s="1"/>
      <c r="DAE23" s="1"/>
      <c r="DAF23" s="1"/>
      <c r="DAG23" s="1"/>
      <c r="DAH23" s="1"/>
      <c r="DAI23" s="1"/>
      <c r="DAJ23" s="1"/>
      <c r="DAK23" s="1"/>
      <c r="DAL23" s="1"/>
      <c r="DAM23" s="1"/>
      <c r="DAN23" s="1"/>
      <c r="DAO23" s="1"/>
      <c r="DAP23" s="1"/>
      <c r="DAQ23" s="1"/>
      <c r="DAR23" s="1"/>
      <c r="DAS23" s="1"/>
      <c r="DAT23" s="1"/>
      <c r="DAU23" s="1"/>
      <c r="DAV23" s="1"/>
      <c r="DAW23" s="1"/>
      <c r="DAX23" s="1"/>
      <c r="DAY23" s="1"/>
      <c r="DAZ23" s="1"/>
      <c r="DBA23" s="1"/>
      <c r="DBB23" s="1"/>
      <c r="DBC23" s="1"/>
      <c r="DBD23" s="1"/>
      <c r="DBE23" s="1"/>
      <c r="DBF23" s="1"/>
      <c r="DBG23" s="1"/>
      <c r="DBH23" s="1"/>
      <c r="DBI23" s="1"/>
      <c r="DBJ23" s="1"/>
      <c r="DBK23" s="1"/>
      <c r="DBL23" s="1"/>
      <c r="DBM23" s="1"/>
      <c r="DBN23" s="1"/>
      <c r="DBO23" s="1"/>
      <c r="DBP23" s="1"/>
      <c r="DBQ23" s="1"/>
      <c r="DBR23" s="1"/>
      <c r="DBS23" s="1"/>
      <c r="DBT23" s="1"/>
      <c r="DBU23" s="1"/>
      <c r="DBV23" s="1"/>
      <c r="DBW23" s="1"/>
      <c r="DBX23" s="1"/>
      <c r="DBY23" s="1"/>
      <c r="DBZ23" s="1"/>
      <c r="DCA23" s="1"/>
      <c r="DCB23" s="1"/>
      <c r="DCC23" s="1"/>
      <c r="DCD23" s="1"/>
      <c r="DCE23" s="1"/>
      <c r="DCF23" s="1"/>
      <c r="DCG23" s="1"/>
      <c r="DCH23" s="1"/>
      <c r="DCI23" s="1"/>
      <c r="DCJ23" s="1"/>
      <c r="DCK23" s="1"/>
      <c r="DCL23" s="1"/>
      <c r="DCM23" s="1"/>
      <c r="DCN23" s="1"/>
      <c r="DCO23" s="1"/>
      <c r="DCP23" s="1"/>
      <c r="DCQ23" s="1"/>
      <c r="DCR23" s="1"/>
      <c r="DCS23" s="1"/>
      <c r="DCT23" s="1"/>
      <c r="DCU23" s="1"/>
      <c r="DCV23" s="1"/>
      <c r="DCW23" s="1"/>
      <c r="DCX23" s="1"/>
      <c r="DCY23" s="1"/>
      <c r="DCZ23" s="1"/>
      <c r="DDA23" s="1"/>
      <c r="DDB23" s="1"/>
      <c r="DDC23" s="1"/>
      <c r="DDD23" s="1"/>
      <c r="DDE23" s="1"/>
      <c r="DDF23" s="1"/>
      <c r="DDG23" s="1"/>
      <c r="DDH23" s="1"/>
      <c r="DDI23" s="1"/>
      <c r="DDJ23" s="1"/>
      <c r="DDK23" s="1"/>
      <c r="DDL23" s="1"/>
      <c r="DDM23" s="1"/>
      <c r="DDN23" s="1"/>
      <c r="DDO23" s="1"/>
      <c r="DDP23" s="1"/>
      <c r="DDQ23" s="1"/>
      <c r="DDR23" s="1"/>
      <c r="DDS23" s="1"/>
      <c r="DDT23" s="1"/>
      <c r="DDU23" s="1"/>
      <c r="DDV23" s="1"/>
      <c r="DDW23" s="1"/>
      <c r="DDX23" s="1"/>
      <c r="DDY23" s="1"/>
      <c r="DDZ23" s="1"/>
      <c r="DEA23" s="1"/>
      <c r="DEB23" s="1"/>
      <c r="DEC23" s="1"/>
      <c r="DED23" s="1"/>
      <c r="DEE23" s="1"/>
      <c r="DEF23" s="1"/>
      <c r="DEG23" s="1"/>
      <c r="DEH23" s="1"/>
      <c r="DEI23" s="1"/>
      <c r="DEJ23" s="1"/>
      <c r="DEK23" s="1"/>
      <c r="DEL23" s="1"/>
      <c r="DEM23" s="1"/>
      <c r="DEN23" s="1"/>
      <c r="DEO23" s="1"/>
      <c r="DEP23" s="1"/>
      <c r="DEQ23" s="1"/>
      <c r="DER23" s="1"/>
      <c r="DES23" s="1"/>
      <c r="DET23" s="1"/>
      <c r="DEU23" s="1"/>
      <c r="DEV23" s="1"/>
      <c r="DEW23" s="1"/>
      <c r="DEX23" s="1"/>
      <c r="DEY23" s="1"/>
      <c r="DEZ23" s="1"/>
      <c r="DFA23" s="1"/>
      <c r="DFB23" s="1"/>
      <c r="DFC23" s="1"/>
      <c r="DFD23" s="1"/>
      <c r="DFE23" s="1"/>
      <c r="DFF23" s="1"/>
      <c r="DFG23" s="1"/>
      <c r="DFH23" s="1"/>
      <c r="DFI23" s="1"/>
      <c r="DFJ23" s="1"/>
      <c r="DFK23" s="1"/>
      <c r="DFL23" s="1"/>
      <c r="DFM23" s="1"/>
      <c r="DFN23" s="1"/>
      <c r="DFO23" s="1"/>
      <c r="DFP23" s="1"/>
      <c r="DFQ23" s="1"/>
      <c r="DFR23" s="1"/>
      <c r="DFS23" s="1"/>
      <c r="DFT23" s="1"/>
      <c r="DFU23" s="1"/>
      <c r="DFV23" s="1"/>
      <c r="DFW23" s="1"/>
      <c r="DFX23" s="1"/>
      <c r="DFY23" s="1"/>
      <c r="DFZ23" s="1"/>
      <c r="DGA23" s="1"/>
      <c r="DGB23" s="1"/>
      <c r="DGC23" s="1"/>
      <c r="DGD23" s="1"/>
      <c r="DGE23" s="1"/>
      <c r="DGF23" s="1"/>
      <c r="DGG23" s="1"/>
      <c r="DGH23" s="1"/>
      <c r="DGI23" s="1"/>
      <c r="DGJ23" s="1"/>
      <c r="DGK23" s="1"/>
      <c r="DGL23" s="1"/>
      <c r="DGM23" s="1"/>
      <c r="DGN23" s="1"/>
      <c r="DGO23" s="1"/>
      <c r="DGP23" s="1"/>
      <c r="DGQ23" s="1"/>
      <c r="DGR23" s="1"/>
      <c r="DGS23" s="1"/>
      <c r="DGT23" s="1"/>
      <c r="DGU23" s="1"/>
      <c r="DGV23" s="1"/>
      <c r="DGW23" s="1"/>
      <c r="DGX23" s="1"/>
      <c r="DGY23" s="1"/>
      <c r="DGZ23" s="1"/>
      <c r="DHA23" s="1"/>
      <c r="DHB23" s="1"/>
      <c r="DHC23" s="1"/>
      <c r="DHD23" s="1"/>
      <c r="DHE23" s="1"/>
      <c r="DHF23" s="1"/>
      <c r="DHG23" s="1"/>
      <c r="DHH23" s="1"/>
      <c r="DHI23" s="1"/>
      <c r="DHJ23" s="1"/>
      <c r="DHK23" s="1"/>
      <c r="DHL23" s="1"/>
      <c r="DHM23" s="1"/>
      <c r="DHN23" s="1"/>
      <c r="DHO23" s="1"/>
      <c r="DHP23" s="1"/>
      <c r="DHQ23" s="1"/>
      <c r="DHR23" s="1"/>
      <c r="DHS23" s="1"/>
      <c r="DHT23" s="1"/>
      <c r="DHU23" s="1"/>
      <c r="DHV23" s="1"/>
      <c r="DHW23" s="1"/>
      <c r="DHX23" s="1"/>
      <c r="DHY23" s="1"/>
      <c r="DHZ23" s="1"/>
      <c r="DIA23" s="1"/>
      <c r="DIB23" s="1"/>
      <c r="DIC23" s="1"/>
      <c r="DID23" s="1"/>
      <c r="DIE23" s="1"/>
      <c r="DIF23" s="1"/>
      <c r="DIG23" s="1"/>
      <c r="DIH23" s="1"/>
      <c r="DII23" s="1"/>
      <c r="DIJ23" s="1"/>
      <c r="DIK23" s="1"/>
      <c r="DIL23" s="1"/>
      <c r="DIM23" s="1"/>
      <c r="DIN23" s="1"/>
      <c r="DIO23" s="1"/>
      <c r="DIP23" s="1"/>
      <c r="DIQ23" s="1"/>
      <c r="DIR23" s="1"/>
      <c r="DIS23" s="1"/>
      <c r="DIT23" s="1"/>
      <c r="DIU23" s="1"/>
      <c r="DIV23" s="1"/>
      <c r="DIW23" s="1"/>
      <c r="DIX23" s="1"/>
      <c r="DIY23" s="1"/>
      <c r="DIZ23" s="1"/>
      <c r="DJA23" s="1"/>
      <c r="DJB23" s="1"/>
      <c r="DJC23" s="1"/>
      <c r="DJD23" s="1"/>
      <c r="DJE23" s="1"/>
      <c r="DJF23" s="1"/>
      <c r="DJG23" s="1"/>
      <c r="DJH23" s="1"/>
      <c r="DJI23" s="1"/>
      <c r="DJJ23" s="1"/>
      <c r="DJK23" s="1"/>
      <c r="DJL23" s="1"/>
      <c r="DJM23" s="1"/>
      <c r="DJN23" s="1"/>
      <c r="DJO23" s="1"/>
      <c r="DJP23" s="1"/>
      <c r="DJQ23" s="1"/>
      <c r="DJR23" s="1"/>
      <c r="DJS23" s="1"/>
      <c r="DJT23" s="1"/>
      <c r="DJU23" s="1"/>
      <c r="DJV23" s="1"/>
      <c r="DJW23" s="1"/>
      <c r="DJX23" s="1"/>
      <c r="DJY23" s="1"/>
      <c r="DJZ23" s="1"/>
      <c r="DKA23" s="1"/>
      <c r="DKB23" s="1"/>
      <c r="DKC23" s="1"/>
      <c r="DKD23" s="1"/>
      <c r="DKE23" s="1"/>
      <c r="DKF23" s="1"/>
      <c r="DKG23" s="1"/>
      <c r="DKH23" s="1"/>
      <c r="DKI23" s="1"/>
      <c r="DKJ23" s="1"/>
      <c r="DKK23" s="1"/>
      <c r="DKL23" s="1"/>
      <c r="DKM23" s="1"/>
      <c r="DKN23" s="1"/>
      <c r="DKO23" s="1"/>
      <c r="DKP23" s="1"/>
      <c r="DKQ23" s="1"/>
      <c r="DKR23" s="1"/>
      <c r="DKS23" s="1"/>
      <c r="DKT23" s="1"/>
      <c r="DKU23" s="1"/>
      <c r="DKV23" s="1"/>
      <c r="DKW23" s="1"/>
      <c r="DKX23" s="1"/>
      <c r="DKY23" s="1"/>
      <c r="DKZ23" s="1"/>
      <c r="DLA23" s="1"/>
      <c r="DLB23" s="1"/>
      <c r="DLC23" s="1"/>
      <c r="DLD23" s="1"/>
      <c r="DLE23" s="1"/>
      <c r="DLF23" s="1"/>
      <c r="DLG23" s="1"/>
      <c r="DLH23" s="1"/>
      <c r="DLI23" s="1"/>
      <c r="DLJ23" s="1"/>
      <c r="DLK23" s="1"/>
      <c r="DLL23" s="1"/>
      <c r="DLM23" s="1"/>
      <c r="DLN23" s="1"/>
      <c r="DLO23" s="1"/>
      <c r="DLP23" s="1"/>
      <c r="DLQ23" s="1"/>
      <c r="DLR23" s="1"/>
      <c r="DLS23" s="1"/>
      <c r="DLT23" s="1"/>
      <c r="DLU23" s="1"/>
      <c r="DLV23" s="1"/>
      <c r="DLW23" s="1"/>
      <c r="DLX23" s="1"/>
      <c r="DLY23" s="1"/>
      <c r="DLZ23" s="1"/>
      <c r="DMA23" s="1"/>
      <c r="DMB23" s="1"/>
      <c r="DMC23" s="1"/>
      <c r="DMD23" s="1"/>
      <c r="DME23" s="1"/>
      <c r="DMF23" s="1"/>
      <c r="DMG23" s="1"/>
      <c r="DMH23" s="1"/>
      <c r="DMI23" s="1"/>
      <c r="DMJ23" s="1"/>
      <c r="DMK23" s="1"/>
      <c r="DML23" s="1"/>
      <c r="DMM23" s="1"/>
      <c r="DMN23" s="1"/>
      <c r="DMO23" s="1"/>
      <c r="DMP23" s="1"/>
      <c r="DMQ23" s="1"/>
      <c r="DMR23" s="1"/>
      <c r="DMS23" s="1"/>
      <c r="DMT23" s="1"/>
      <c r="DMU23" s="1"/>
      <c r="DMV23" s="1"/>
      <c r="DMW23" s="1"/>
      <c r="DMX23" s="1"/>
      <c r="DMY23" s="1"/>
      <c r="DMZ23" s="1"/>
      <c r="DNA23" s="1"/>
      <c r="DNB23" s="1"/>
      <c r="DNC23" s="1"/>
      <c r="DND23" s="1"/>
      <c r="DNE23" s="1"/>
      <c r="DNF23" s="1"/>
      <c r="DNG23" s="1"/>
      <c r="DNH23" s="1"/>
      <c r="DNI23" s="1"/>
      <c r="DNJ23" s="1"/>
      <c r="DNK23" s="1"/>
      <c r="DNL23" s="1"/>
      <c r="DNM23" s="1"/>
      <c r="DNN23" s="1"/>
      <c r="DNO23" s="1"/>
      <c r="DNP23" s="1"/>
      <c r="DNQ23" s="1"/>
      <c r="DNR23" s="1"/>
      <c r="DNS23" s="1"/>
      <c r="DNT23" s="1"/>
      <c r="DNU23" s="1"/>
      <c r="DNV23" s="1"/>
      <c r="DNW23" s="1"/>
      <c r="DNX23" s="1"/>
      <c r="DNY23" s="1"/>
      <c r="DNZ23" s="1"/>
      <c r="DOA23" s="1"/>
      <c r="DOB23" s="1"/>
      <c r="DOC23" s="1"/>
      <c r="DOD23" s="1"/>
      <c r="DOE23" s="1"/>
      <c r="DOF23" s="1"/>
      <c r="DOG23" s="1"/>
      <c r="DOH23" s="1"/>
      <c r="DOI23" s="1"/>
      <c r="DOJ23" s="1"/>
      <c r="DOK23" s="1"/>
      <c r="DOL23" s="1"/>
      <c r="DOM23" s="1"/>
      <c r="DON23" s="1"/>
      <c r="DOO23" s="1"/>
      <c r="DOP23" s="1"/>
      <c r="DOQ23" s="1"/>
      <c r="DOR23" s="1"/>
      <c r="DOS23" s="1"/>
      <c r="DOT23" s="1"/>
      <c r="DOU23" s="1"/>
      <c r="DOV23" s="1"/>
      <c r="DOW23" s="1"/>
      <c r="DOX23" s="1"/>
      <c r="DOY23" s="1"/>
      <c r="DOZ23" s="1"/>
      <c r="DPA23" s="1"/>
      <c r="DPB23" s="1"/>
      <c r="DPC23" s="1"/>
      <c r="DPD23" s="1"/>
      <c r="DPE23" s="1"/>
      <c r="DPF23" s="1"/>
      <c r="DPG23" s="1"/>
      <c r="DPH23" s="1"/>
      <c r="DPI23" s="1"/>
      <c r="DPJ23" s="1"/>
      <c r="DPK23" s="1"/>
      <c r="DPL23" s="1"/>
      <c r="DPM23" s="1"/>
      <c r="DPN23" s="1"/>
      <c r="DPO23" s="1"/>
      <c r="DPP23" s="1"/>
      <c r="DPQ23" s="1"/>
      <c r="DPR23" s="1"/>
      <c r="DPS23" s="1"/>
      <c r="DPT23" s="1"/>
      <c r="DPU23" s="1"/>
      <c r="DPV23" s="1"/>
      <c r="DPW23" s="1"/>
      <c r="DPX23" s="1"/>
      <c r="DPY23" s="1"/>
      <c r="DPZ23" s="1"/>
      <c r="DQA23" s="1"/>
      <c r="DQB23" s="1"/>
      <c r="DQC23" s="1"/>
      <c r="DQD23" s="1"/>
      <c r="DQE23" s="1"/>
      <c r="DQF23" s="1"/>
      <c r="DQG23" s="1"/>
      <c r="DQH23" s="1"/>
      <c r="DQI23" s="1"/>
      <c r="DQJ23" s="1"/>
      <c r="DQK23" s="1"/>
      <c r="DQL23" s="1"/>
      <c r="DQM23" s="1"/>
      <c r="DQN23" s="1"/>
      <c r="DQO23" s="1"/>
      <c r="DQP23" s="1"/>
      <c r="DQQ23" s="1"/>
      <c r="DQR23" s="1"/>
      <c r="DQS23" s="1"/>
      <c r="DQT23" s="1"/>
      <c r="DQU23" s="1"/>
      <c r="DQV23" s="1"/>
      <c r="DQW23" s="1"/>
      <c r="DQX23" s="1"/>
      <c r="DQY23" s="1"/>
      <c r="DQZ23" s="1"/>
      <c r="DRA23" s="1"/>
      <c r="DRB23" s="1"/>
      <c r="DRC23" s="1"/>
      <c r="DRD23" s="1"/>
      <c r="DRE23" s="1"/>
      <c r="DRF23" s="1"/>
      <c r="DRG23" s="1"/>
      <c r="DRH23" s="1"/>
      <c r="DRI23" s="1"/>
      <c r="DRJ23" s="1"/>
      <c r="DRK23" s="1"/>
      <c r="DRL23" s="1"/>
      <c r="DRM23" s="1"/>
      <c r="DRN23" s="1"/>
      <c r="DRO23" s="1"/>
      <c r="DRP23" s="1"/>
      <c r="DRQ23" s="1"/>
      <c r="DRR23" s="1"/>
      <c r="DRS23" s="1"/>
      <c r="DRT23" s="1"/>
      <c r="DRU23" s="1"/>
      <c r="DRV23" s="1"/>
      <c r="DRW23" s="1"/>
      <c r="DRX23" s="1"/>
      <c r="DRY23" s="1"/>
      <c r="DRZ23" s="1"/>
      <c r="DSA23" s="1"/>
      <c r="DSB23" s="1"/>
      <c r="DSC23" s="1"/>
      <c r="DSD23" s="1"/>
      <c r="DSE23" s="1"/>
      <c r="DSF23" s="1"/>
      <c r="DSG23" s="1"/>
      <c r="DSH23" s="1"/>
      <c r="DSI23" s="1"/>
      <c r="DSJ23" s="1"/>
      <c r="DSK23" s="1"/>
      <c r="DSL23" s="1"/>
      <c r="DSM23" s="1"/>
      <c r="DSN23" s="1"/>
      <c r="DSO23" s="1"/>
      <c r="DSP23" s="1"/>
      <c r="DSQ23" s="1"/>
      <c r="DSR23" s="1"/>
      <c r="DSS23" s="1"/>
      <c r="DST23" s="1"/>
      <c r="DSU23" s="1"/>
      <c r="DSV23" s="1"/>
      <c r="DSW23" s="1"/>
      <c r="DSX23" s="1"/>
      <c r="DSY23" s="1"/>
      <c r="DSZ23" s="1"/>
      <c r="DTA23" s="1"/>
      <c r="DTB23" s="1"/>
      <c r="DTC23" s="1"/>
      <c r="DTD23" s="1"/>
      <c r="DTE23" s="1"/>
      <c r="DTF23" s="1"/>
      <c r="DTG23" s="1"/>
      <c r="DTH23" s="1"/>
      <c r="DTI23" s="1"/>
      <c r="DTJ23" s="1"/>
      <c r="DTK23" s="1"/>
      <c r="DTL23" s="1"/>
      <c r="DTM23" s="1"/>
      <c r="DTN23" s="1"/>
      <c r="DTO23" s="1"/>
      <c r="DTP23" s="1"/>
      <c r="DTQ23" s="1"/>
      <c r="DTR23" s="1"/>
      <c r="DTS23" s="1"/>
      <c r="DTT23" s="1"/>
      <c r="DTU23" s="1"/>
      <c r="DTV23" s="1"/>
      <c r="DTW23" s="1"/>
      <c r="DTX23" s="1"/>
      <c r="DTY23" s="1"/>
      <c r="DTZ23" s="1"/>
      <c r="DUA23" s="1"/>
      <c r="DUB23" s="1"/>
      <c r="DUC23" s="1"/>
      <c r="DUD23" s="1"/>
      <c r="DUE23" s="1"/>
      <c r="DUF23" s="1"/>
      <c r="DUG23" s="1"/>
      <c r="DUH23" s="1"/>
      <c r="DUI23" s="1"/>
      <c r="DUJ23" s="1"/>
      <c r="DUK23" s="1"/>
      <c r="DUL23" s="1"/>
      <c r="DUM23" s="1"/>
      <c r="DUN23" s="1"/>
      <c r="DUO23" s="1"/>
      <c r="DUP23" s="1"/>
      <c r="DUQ23" s="1"/>
      <c r="DUR23" s="1"/>
      <c r="DUS23" s="1"/>
      <c r="DUT23" s="1"/>
      <c r="DUU23" s="1"/>
      <c r="DUV23" s="1"/>
      <c r="DUW23" s="1"/>
      <c r="DUX23" s="1"/>
      <c r="DUY23" s="1"/>
      <c r="DUZ23" s="1"/>
      <c r="DVA23" s="1"/>
      <c r="DVB23" s="1"/>
      <c r="DVC23" s="1"/>
      <c r="DVD23" s="1"/>
      <c r="DVE23" s="1"/>
      <c r="DVF23" s="1"/>
      <c r="DVG23" s="1"/>
      <c r="DVH23" s="1"/>
      <c r="DVI23" s="1"/>
      <c r="DVJ23" s="1"/>
      <c r="DVK23" s="1"/>
      <c r="DVL23" s="1"/>
      <c r="DVM23" s="1"/>
      <c r="DVN23" s="1"/>
      <c r="DVO23" s="1"/>
      <c r="DVP23" s="1"/>
      <c r="DVQ23" s="1"/>
      <c r="DVR23" s="1"/>
      <c r="DVS23" s="1"/>
      <c r="DVT23" s="1"/>
      <c r="DVU23" s="1"/>
      <c r="DVV23" s="1"/>
      <c r="DVW23" s="1"/>
      <c r="DVX23" s="1"/>
      <c r="DVY23" s="1"/>
      <c r="DVZ23" s="1"/>
      <c r="DWA23" s="1"/>
      <c r="DWB23" s="1"/>
      <c r="DWC23" s="1"/>
      <c r="DWD23" s="1"/>
      <c r="DWE23" s="1"/>
      <c r="DWF23" s="1"/>
      <c r="DWG23" s="1"/>
      <c r="DWH23" s="1"/>
      <c r="DWI23" s="1"/>
      <c r="DWJ23" s="1"/>
      <c r="DWK23" s="1"/>
      <c r="DWL23" s="1"/>
      <c r="DWM23" s="1"/>
      <c r="DWN23" s="1"/>
      <c r="DWO23" s="1"/>
      <c r="DWP23" s="1"/>
      <c r="DWQ23" s="1"/>
      <c r="DWR23" s="1"/>
      <c r="DWS23" s="1"/>
      <c r="DWT23" s="1"/>
      <c r="DWU23" s="1"/>
      <c r="DWV23" s="1"/>
      <c r="DWW23" s="1"/>
      <c r="DWX23" s="1"/>
      <c r="DWY23" s="1"/>
      <c r="DWZ23" s="1"/>
      <c r="DXA23" s="1"/>
      <c r="DXB23" s="1"/>
      <c r="DXC23" s="1"/>
      <c r="DXD23" s="1"/>
      <c r="DXE23" s="1"/>
      <c r="DXF23" s="1"/>
      <c r="DXG23" s="1"/>
      <c r="DXH23" s="1"/>
      <c r="DXI23" s="1"/>
      <c r="DXJ23" s="1"/>
      <c r="DXK23" s="1"/>
      <c r="DXL23" s="1"/>
      <c r="DXM23" s="1"/>
      <c r="DXN23" s="1"/>
      <c r="DXO23" s="1"/>
      <c r="DXP23" s="1"/>
      <c r="DXQ23" s="1"/>
      <c r="DXR23" s="1"/>
      <c r="DXS23" s="1"/>
      <c r="DXT23" s="1"/>
      <c r="DXU23" s="1"/>
      <c r="DXV23" s="1"/>
      <c r="DXW23" s="1"/>
      <c r="DXX23" s="1"/>
      <c r="DXY23" s="1"/>
      <c r="DXZ23" s="1"/>
      <c r="DYA23" s="1"/>
      <c r="DYB23" s="1"/>
      <c r="DYC23" s="1"/>
      <c r="DYD23" s="1"/>
      <c r="DYE23" s="1"/>
      <c r="DYF23" s="1"/>
      <c r="DYG23" s="1"/>
      <c r="DYH23" s="1"/>
      <c r="DYI23" s="1"/>
      <c r="DYJ23" s="1"/>
      <c r="DYK23" s="1"/>
      <c r="DYL23" s="1"/>
      <c r="DYM23" s="1"/>
      <c r="DYN23" s="1"/>
      <c r="DYO23" s="1"/>
      <c r="DYP23" s="1"/>
      <c r="DYQ23" s="1"/>
      <c r="DYR23" s="1"/>
      <c r="DYS23" s="1"/>
      <c r="DYT23" s="1"/>
      <c r="DYU23" s="1"/>
      <c r="DYV23" s="1"/>
      <c r="DYW23" s="1"/>
      <c r="DYX23" s="1"/>
      <c r="DYY23" s="1"/>
      <c r="DYZ23" s="1"/>
      <c r="DZA23" s="1"/>
      <c r="DZB23" s="1"/>
      <c r="DZC23" s="1"/>
      <c r="DZD23" s="1"/>
      <c r="DZE23" s="1"/>
      <c r="DZF23" s="1"/>
      <c r="DZG23" s="1"/>
      <c r="DZH23" s="1"/>
      <c r="DZI23" s="1"/>
      <c r="DZJ23" s="1"/>
      <c r="DZK23" s="1"/>
      <c r="DZL23" s="1"/>
      <c r="DZM23" s="1"/>
      <c r="DZN23" s="1"/>
      <c r="DZO23" s="1"/>
      <c r="DZP23" s="1"/>
      <c r="DZQ23" s="1"/>
      <c r="DZR23" s="1"/>
      <c r="DZS23" s="1"/>
      <c r="DZT23" s="1"/>
      <c r="DZU23" s="1"/>
      <c r="DZV23" s="1"/>
      <c r="DZW23" s="1"/>
      <c r="DZX23" s="1"/>
      <c r="DZY23" s="1"/>
      <c r="DZZ23" s="1"/>
      <c r="EAA23" s="1"/>
      <c r="EAB23" s="1"/>
      <c r="EAC23" s="1"/>
      <c r="EAD23" s="1"/>
      <c r="EAE23" s="1"/>
      <c r="EAF23" s="1"/>
      <c r="EAG23" s="1"/>
      <c r="EAH23" s="1"/>
      <c r="EAI23" s="1"/>
      <c r="EAJ23" s="1"/>
      <c r="EAK23" s="1"/>
      <c r="EAL23" s="1"/>
      <c r="EAM23" s="1"/>
      <c r="EAN23" s="1"/>
      <c r="EAO23" s="1"/>
      <c r="EAP23" s="1"/>
      <c r="EAQ23" s="1"/>
      <c r="EAR23" s="1"/>
      <c r="EAS23" s="1"/>
      <c r="EAT23" s="1"/>
      <c r="EAU23" s="1"/>
      <c r="EAV23" s="1"/>
      <c r="EAW23" s="1"/>
      <c r="EAX23" s="1"/>
      <c r="EAY23" s="1"/>
      <c r="EAZ23" s="1"/>
      <c r="EBA23" s="1"/>
      <c r="EBB23" s="1"/>
      <c r="EBC23" s="1"/>
      <c r="EBD23" s="1"/>
      <c r="EBE23" s="1"/>
      <c r="EBF23" s="1"/>
      <c r="EBG23" s="1"/>
      <c r="EBH23" s="1"/>
      <c r="EBI23" s="1"/>
      <c r="EBJ23" s="1"/>
      <c r="EBK23" s="1"/>
      <c r="EBL23" s="1"/>
      <c r="EBM23" s="1"/>
      <c r="EBN23" s="1"/>
      <c r="EBO23" s="1"/>
      <c r="EBP23" s="1"/>
      <c r="EBQ23" s="1"/>
      <c r="EBR23" s="1"/>
      <c r="EBS23" s="1"/>
      <c r="EBT23" s="1"/>
      <c r="EBU23" s="1"/>
      <c r="EBV23" s="1"/>
      <c r="EBW23" s="1"/>
      <c r="EBX23" s="1"/>
      <c r="EBY23" s="1"/>
      <c r="EBZ23" s="1"/>
      <c r="ECA23" s="1"/>
      <c r="ECB23" s="1"/>
      <c r="ECC23" s="1"/>
      <c r="ECD23" s="1"/>
      <c r="ECE23" s="1"/>
      <c r="ECF23" s="1"/>
      <c r="ECG23" s="1"/>
      <c r="ECH23" s="1"/>
      <c r="ECI23" s="1"/>
      <c r="ECJ23" s="1"/>
      <c r="ECK23" s="1"/>
      <c r="ECL23" s="1"/>
      <c r="ECM23" s="1"/>
      <c r="ECN23" s="1"/>
      <c r="ECO23" s="1"/>
      <c r="ECP23" s="1"/>
      <c r="ECQ23" s="1"/>
      <c r="ECR23" s="1"/>
      <c r="ECS23" s="1"/>
      <c r="ECT23" s="1"/>
      <c r="ECU23" s="1"/>
      <c r="ECV23" s="1"/>
      <c r="ECW23" s="1"/>
      <c r="ECX23" s="1"/>
      <c r="ECY23" s="1"/>
      <c r="ECZ23" s="1"/>
      <c r="EDA23" s="1"/>
      <c r="EDB23" s="1"/>
      <c r="EDC23" s="1"/>
      <c r="EDD23" s="1"/>
      <c r="EDE23" s="1"/>
      <c r="EDF23" s="1"/>
      <c r="EDG23" s="1"/>
      <c r="EDH23" s="1"/>
      <c r="EDI23" s="1"/>
      <c r="EDJ23" s="1"/>
      <c r="EDK23" s="1"/>
      <c r="EDL23" s="1"/>
      <c r="EDM23" s="1"/>
      <c r="EDN23" s="1"/>
      <c r="EDO23" s="1"/>
      <c r="EDP23" s="1"/>
      <c r="EDQ23" s="1"/>
      <c r="EDR23" s="1"/>
      <c r="EDS23" s="1"/>
      <c r="EDT23" s="1"/>
      <c r="EDU23" s="1"/>
      <c r="EDV23" s="1"/>
      <c r="EDW23" s="1"/>
      <c r="EDX23" s="1"/>
      <c r="EDY23" s="1"/>
      <c r="EDZ23" s="1"/>
      <c r="EEA23" s="1"/>
      <c r="EEB23" s="1"/>
      <c r="EEC23" s="1"/>
      <c r="EED23" s="1"/>
      <c r="EEE23" s="1"/>
      <c r="EEF23" s="1"/>
      <c r="EEG23" s="1"/>
      <c r="EEH23" s="1"/>
      <c r="EEI23" s="1"/>
      <c r="EEJ23" s="1"/>
      <c r="EEK23" s="1"/>
      <c r="EEL23" s="1"/>
      <c r="EEM23" s="1"/>
      <c r="EEN23" s="1"/>
      <c r="EEO23" s="1"/>
      <c r="EEP23" s="1"/>
      <c r="EEQ23" s="1"/>
      <c r="EER23" s="1"/>
      <c r="EES23" s="1"/>
      <c r="EET23" s="1"/>
      <c r="EEU23" s="1"/>
      <c r="EEV23" s="1"/>
      <c r="EEW23" s="1"/>
      <c r="EEX23" s="1"/>
      <c r="EEY23" s="1"/>
      <c r="EEZ23" s="1"/>
      <c r="EFA23" s="1"/>
      <c r="EFB23" s="1"/>
      <c r="EFC23" s="1"/>
      <c r="EFD23" s="1"/>
      <c r="EFE23" s="1"/>
      <c r="EFF23" s="1"/>
      <c r="EFG23" s="1"/>
      <c r="EFH23" s="1"/>
      <c r="EFI23" s="1"/>
      <c r="EFJ23" s="1"/>
      <c r="EFK23" s="1"/>
      <c r="EFL23" s="1"/>
      <c r="EFM23" s="1"/>
      <c r="EFN23" s="1"/>
      <c r="EFO23" s="1"/>
      <c r="EFP23" s="1"/>
      <c r="EFQ23" s="1"/>
      <c r="EFR23" s="1"/>
      <c r="EFS23" s="1"/>
      <c r="EFT23" s="1"/>
      <c r="EFU23" s="1"/>
      <c r="EFV23" s="1"/>
      <c r="EFW23" s="1"/>
      <c r="EFX23" s="1"/>
      <c r="EFY23" s="1"/>
      <c r="EFZ23" s="1"/>
      <c r="EGA23" s="1"/>
      <c r="EGB23" s="1"/>
      <c r="EGC23" s="1"/>
      <c r="EGD23" s="1"/>
      <c r="EGE23" s="1"/>
      <c r="EGF23" s="1"/>
      <c r="EGG23" s="1"/>
      <c r="EGH23" s="1"/>
      <c r="EGI23" s="1"/>
      <c r="EGJ23" s="1"/>
      <c r="EGK23" s="1"/>
      <c r="EGL23" s="1"/>
      <c r="EGM23" s="1"/>
      <c r="EGN23" s="1"/>
      <c r="EGO23" s="1"/>
      <c r="EGP23" s="1"/>
      <c r="EGQ23" s="1"/>
      <c r="EGR23" s="1"/>
      <c r="EGS23" s="1"/>
      <c r="EGT23" s="1"/>
      <c r="EGU23" s="1"/>
      <c r="EGV23" s="1"/>
      <c r="EGW23" s="1"/>
      <c r="EGX23" s="1"/>
      <c r="EGY23" s="1"/>
      <c r="EGZ23" s="1"/>
      <c r="EHA23" s="1"/>
      <c r="EHB23" s="1"/>
      <c r="EHC23" s="1"/>
      <c r="EHD23" s="1"/>
      <c r="EHE23" s="1"/>
      <c r="EHF23" s="1"/>
      <c r="EHG23" s="1"/>
      <c r="EHH23" s="1"/>
      <c r="EHI23" s="1"/>
      <c r="EHJ23" s="1"/>
      <c r="EHK23" s="1"/>
      <c r="EHL23" s="1"/>
      <c r="EHM23" s="1"/>
      <c r="EHN23" s="1"/>
      <c r="EHO23" s="1"/>
      <c r="EHP23" s="1"/>
      <c r="EHQ23" s="1"/>
      <c r="EHR23" s="1"/>
      <c r="EHS23" s="1"/>
      <c r="EHT23" s="1"/>
      <c r="EHU23" s="1"/>
      <c r="EHV23" s="1"/>
      <c r="EHW23" s="1"/>
      <c r="EHX23" s="1"/>
      <c r="EHY23" s="1"/>
      <c r="EHZ23" s="1"/>
      <c r="EIA23" s="1"/>
      <c r="EIB23" s="1"/>
      <c r="EIC23" s="1"/>
      <c r="EID23" s="1"/>
      <c r="EIE23" s="1"/>
      <c r="EIF23" s="1"/>
      <c r="EIG23" s="1"/>
      <c r="EIH23" s="1"/>
      <c r="EII23" s="1"/>
      <c r="EIJ23" s="1"/>
      <c r="EIK23" s="1"/>
      <c r="EIL23" s="1"/>
      <c r="EIM23" s="1"/>
      <c r="EIN23" s="1"/>
      <c r="EIO23" s="1"/>
      <c r="EIP23" s="1"/>
      <c r="EIQ23" s="1"/>
      <c r="EIR23" s="1"/>
      <c r="EIS23" s="1"/>
      <c r="EIT23" s="1"/>
      <c r="EIU23" s="1"/>
      <c r="EIV23" s="1"/>
      <c r="EIW23" s="1"/>
      <c r="EIX23" s="1"/>
      <c r="EIY23" s="1"/>
      <c r="EIZ23" s="1"/>
      <c r="EJA23" s="1"/>
      <c r="EJB23" s="1"/>
      <c r="EJC23" s="1"/>
      <c r="EJD23" s="1"/>
      <c r="EJE23" s="1"/>
      <c r="EJF23" s="1"/>
      <c r="EJG23" s="1"/>
      <c r="EJH23" s="1"/>
      <c r="EJI23" s="1"/>
      <c r="EJJ23" s="1"/>
      <c r="EJK23" s="1"/>
      <c r="EJL23" s="1"/>
      <c r="EJM23" s="1"/>
      <c r="EJN23" s="1"/>
      <c r="EJO23" s="1"/>
      <c r="EJP23" s="1"/>
      <c r="EJQ23" s="1"/>
      <c r="EJR23" s="1"/>
      <c r="EJS23" s="1"/>
      <c r="EJT23" s="1"/>
      <c r="EJU23" s="1"/>
      <c r="EJV23" s="1"/>
      <c r="EJW23" s="1"/>
      <c r="EJX23" s="1"/>
      <c r="EJY23" s="1"/>
      <c r="EJZ23" s="1"/>
      <c r="EKA23" s="1"/>
      <c r="EKB23" s="1"/>
      <c r="EKC23" s="1"/>
      <c r="EKD23" s="1"/>
      <c r="EKE23" s="1"/>
      <c r="EKF23" s="1"/>
      <c r="EKG23" s="1"/>
      <c r="EKH23" s="1"/>
      <c r="EKI23" s="1"/>
      <c r="EKJ23" s="1"/>
      <c r="EKK23" s="1"/>
      <c r="EKL23" s="1"/>
      <c r="EKM23" s="1"/>
      <c r="EKN23" s="1"/>
      <c r="EKO23" s="1"/>
      <c r="EKP23" s="1"/>
      <c r="EKQ23" s="1"/>
      <c r="EKR23" s="1"/>
      <c r="EKS23" s="1"/>
      <c r="EKT23" s="1"/>
      <c r="EKU23" s="1"/>
      <c r="EKV23" s="1"/>
      <c r="EKW23" s="1"/>
      <c r="EKX23" s="1"/>
      <c r="EKY23" s="1"/>
      <c r="EKZ23" s="1"/>
      <c r="ELA23" s="1"/>
      <c r="ELB23" s="1"/>
      <c r="ELC23" s="1"/>
      <c r="ELD23" s="1"/>
      <c r="ELE23" s="1"/>
      <c r="ELF23" s="1"/>
      <c r="ELG23" s="1"/>
      <c r="ELH23" s="1"/>
      <c r="ELI23" s="1"/>
      <c r="ELJ23" s="1"/>
      <c r="ELK23" s="1"/>
      <c r="ELL23" s="1"/>
      <c r="ELM23" s="1"/>
      <c r="ELN23" s="1"/>
      <c r="ELO23" s="1"/>
      <c r="ELP23" s="1"/>
      <c r="ELQ23" s="1"/>
      <c r="ELR23" s="1"/>
      <c r="ELS23" s="1"/>
      <c r="ELT23" s="1"/>
      <c r="ELU23" s="1"/>
      <c r="ELV23" s="1"/>
      <c r="ELW23" s="1"/>
      <c r="ELX23" s="1"/>
      <c r="ELY23" s="1"/>
      <c r="ELZ23" s="1"/>
      <c r="EMA23" s="1"/>
      <c r="EMB23" s="1"/>
      <c r="EMC23" s="1"/>
      <c r="EMD23" s="1"/>
      <c r="EME23" s="1"/>
      <c r="EMF23" s="1"/>
      <c r="EMG23" s="1"/>
      <c r="EMH23" s="1"/>
      <c r="EMI23" s="1"/>
      <c r="EMJ23" s="1"/>
      <c r="EMK23" s="1"/>
      <c r="EML23" s="1"/>
      <c r="EMM23" s="1"/>
      <c r="EMN23" s="1"/>
      <c r="EMO23" s="1"/>
      <c r="EMP23" s="1"/>
      <c r="EMQ23" s="1"/>
      <c r="EMR23" s="1"/>
      <c r="EMS23" s="1"/>
      <c r="EMT23" s="1"/>
      <c r="EMU23" s="1"/>
      <c r="EMV23" s="1"/>
      <c r="EMW23" s="1"/>
      <c r="EMX23" s="1"/>
      <c r="EMY23" s="1"/>
      <c r="EMZ23" s="1"/>
      <c r="ENA23" s="1"/>
      <c r="ENB23" s="1"/>
      <c r="ENC23" s="1"/>
      <c r="END23" s="1"/>
      <c r="ENE23" s="1"/>
      <c r="ENF23" s="1"/>
      <c r="ENG23" s="1"/>
      <c r="ENH23" s="1"/>
      <c r="ENI23" s="1"/>
      <c r="ENJ23" s="1"/>
      <c r="ENK23" s="1"/>
      <c r="ENL23" s="1"/>
      <c r="ENM23" s="1"/>
      <c r="ENN23" s="1"/>
      <c r="ENO23" s="1"/>
      <c r="ENP23" s="1"/>
      <c r="ENQ23" s="1"/>
      <c r="ENR23" s="1"/>
      <c r="ENS23" s="1"/>
      <c r="ENT23" s="1"/>
      <c r="ENU23" s="1"/>
      <c r="ENV23" s="1"/>
      <c r="ENW23" s="1"/>
      <c r="ENX23" s="1"/>
      <c r="ENY23" s="1"/>
      <c r="ENZ23" s="1"/>
      <c r="EOA23" s="1"/>
      <c r="EOB23" s="1"/>
      <c r="EOC23" s="1"/>
      <c r="EOD23" s="1"/>
      <c r="EOE23" s="1"/>
      <c r="EOF23" s="1"/>
      <c r="EOG23" s="1"/>
      <c r="EOH23" s="1"/>
      <c r="EOI23" s="1"/>
      <c r="EOJ23" s="1"/>
      <c r="EOK23" s="1"/>
      <c r="EOL23" s="1"/>
      <c r="EOM23" s="1"/>
      <c r="EON23" s="1"/>
      <c r="EOO23" s="1"/>
      <c r="EOP23" s="1"/>
      <c r="EOQ23" s="1"/>
      <c r="EOR23" s="1"/>
      <c r="EOS23" s="1"/>
      <c r="EOT23" s="1"/>
      <c r="EOU23" s="1"/>
      <c r="EOV23" s="1"/>
      <c r="EOW23" s="1"/>
      <c r="EOX23" s="1"/>
      <c r="EOY23" s="1"/>
      <c r="EOZ23" s="1"/>
      <c r="EPA23" s="1"/>
      <c r="EPB23" s="1"/>
      <c r="EPC23" s="1"/>
      <c r="EPD23" s="1"/>
      <c r="EPE23" s="1"/>
      <c r="EPF23" s="1"/>
      <c r="EPG23" s="1"/>
      <c r="EPH23" s="1"/>
      <c r="EPI23" s="1"/>
      <c r="EPJ23" s="1"/>
      <c r="EPK23" s="1"/>
      <c r="EPL23" s="1"/>
      <c r="EPM23" s="1"/>
      <c r="EPN23" s="1"/>
      <c r="EPO23" s="1"/>
      <c r="EPP23" s="1"/>
      <c r="EPQ23" s="1"/>
      <c r="EPR23" s="1"/>
      <c r="EPS23" s="1"/>
      <c r="EPT23" s="1"/>
      <c r="EPU23" s="1"/>
      <c r="EPV23" s="1"/>
      <c r="EPW23" s="1"/>
      <c r="EPX23" s="1"/>
      <c r="EPY23" s="1"/>
      <c r="EPZ23" s="1"/>
      <c r="EQA23" s="1"/>
      <c r="EQB23" s="1"/>
      <c r="EQC23" s="1"/>
      <c r="EQD23" s="1"/>
      <c r="EQE23" s="1"/>
      <c r="EQF23" s="1"/>
      <c r="EQG23" s="1"/>
      <c r="EQH23" s="1"/>
      <c r="EQI23" s="1"/>
      <c r="EQJ23" s="1"/>
      <c r="EQK23" s="1"/>
      <c r="EQL23" s="1"/>
      <c r="EQM23" s="1"/>
      <c r="EQN23" s="1"/>
      <c r="EQO23" s="1"/>
      <c r="EQP23" s="1"/>
      <c r="EQQ23" s="1"/>
      <c r="EQR23" s="1"/>
      <c r="EQS23" s="1"/>
      <c r="EQT23" s="1"/>
      <c r="EQU23" s="1"/>
      <c r="EQV23" s="1"/>
      <c r="EQW23" s="1"/>
      <c r="EQX23" s="1"/>
      <c r="EQY23" s="1"/>
      <c r="EQZ23" s="1"/>
      <c r="ERA23" s="1"/>
      <c r="ERB23" s="1"/>
      <c r="ERC23" s="1"/>
      <c r="ERD23" s="1"/>
      <c r="ERE23" s="1"/>
      <c r="ERF23" s="1"/>
      <c r="ERG23" s="1"/>
      <c r="ERH23" s="1"/>
      <c r="ERI23" s="1"/>
      <c r="ERJ23" s="1"/>
      <c r="ERK23" s="1"/>
      <c r="ERL23" s="1"/>
      <c r="ERM23" s="1"/>
      <c r="ERN23" s="1"/>
      <c r="ERO23" s="1"/>
      <c r="ERP23" s="1"/>
      <c r="ERQ23" s="1"/>
      <c r="ERR23" s="1"/>
      <c r="ERS23" s="1"/>
      <c r="ERT23" s="1"/>
      <c r="ERU23" s="1"/>
      <c r="ERV23" s="1"/>
      <c r="ERW23" s="1"/>
      <c r="ERX23" s="1"/>
      <c r="ERY23" s="1"/>
      <c r="ERZ23" s="1"/>
      <c r="ESA23" s="1"/>
      <c r="ESB23" s="1"/>
      <c r="ESC23" s="1"/>
      <c r="ESD23" s="1"/>
      <c r="ESE23" s="1"/>
      <c r="ESF23" s="1"/>
      <c r="ESG23" s="1"/>
      <c r="ESH23" s="1"/>
      <c r="ESI23" s="1"/>
      <c r="ESJ23" s="1"/>
      <c r="ESK23" s="1"/>
      <c r="ESL23" s="1"/>
      <c r="ESM23" s="1"/>
      <c r="ESN23" s="1"/>
      <c r="ESO23" s="1"/>
      <c r="ESP23" s="1"/>
      <c r="ESQ23" s="1"/>
      <c r="ESR23" s="1"/>
      <c r="ESS23" s="1"/>
      <c r="EST23" s="1"/>
      <c r="ESU23" s="1"/>
      <c r="ESV23" s="1"/>
      <c r="ESW23" s="1"/>
      <c r="ESX23" s="1"/>
      <c r="ESY23" s="1"/>
      <c r="ESZ23" s="1"/>
      <c r="ETA23" s="1"/>
      <c r="ETB23" s="1"/>
      <c r="ETC23" s="1"/>
      <c r="ETD23" s="1"/>
      <c r="ETE23" s="1"/>
      <c r="ETF23" s="1"/>
      <c r="ETG23" s="1"/>
      <c r="ETH23" s="1"/>
      <c r="ETI23" s="1"/>
      <c r="ETJ23" s="1"/>
      <c r="ETK23" s="1"/>
      <c r="ETL23" s="1"/>
      <c r="ETM23" s="1"/>
      <c r="ETN23" s="1"/>
      <c r="ETO23" s="1"/>
      <c r="ETP23" s="1"/>
      <c r="ETQ23" s="1"/>
      <c r="ETR23" s="1"/>
      <c r="ETS23" s="1"/>
      <c r="ETT23" s="1"/>
      <c r="ETU23" s="1"/>
      <c r="ETV23" s="1"/>
      <c r="ETW23" s="1"/>
      <c r="ETX23" s="1"/>
      <c r="ETY23" s="1"/>
      <c r="ETZ23" s="1"/>
      <c r="EUA23" s="1"/>
      <c r="EUB23" s="1"/>
      <c r="EUC23" s="1"/>
      <c r="EUD23" s="1"/>
      <c r="EUE23" s="1"/>
      <c r="EUF23" s="1"/>
      <c r="EUG23" s="1"/>
      <c r="EUH23" s="1"/>
      <c r="EUI23" s="1"/>
      <c r="EUJ23" s="1"/>
      <c r="EUK23" s="1"/>
      <c r="EUL23" s="1"/>
      <c r="EUM23" s="1"/>
      <c r="EUN23" s="1"/>
      <c r="EUO23" s="1"/>
      <c r="EUP23" s="1"/>
      <c r="EUQ23" s="1"/>
      <c r="EUR23" s="1"/>
      <c r="EUS23" s="1"/>
      <c r="EUT23" s="1"/>
      <c r="EUU23" s="1"/>
      <c r="EUV23" s="1"/>
      <c r="EUW23" s="1"/>
      <c r="EUX23" s="1"/>
      <c r="EUY23" s="1"/>
      <c r="EUZ23" s="1"/>
      <c r="EVA23" s="1"/>
      <c r="EVB23" s="1"/>
      <c r="EVC23" s="1"/>
      <c r="EVD23" s="1"/>
      <c r="EVE23" s="1"/>
      <c r="EVF23" s="1"/>
      <c r="EVG23" s="1"/>
      <c r="EVH23" s="1"/>
      <c r="EVI23" s="1"/>
      <c r="EVJ23" s="1"/>
      <c r="EVK23" s="1"/>
      <c r="EVL23" s="1"/>
      <c r="EVM23" s="1"/>
      <c r="EVN23" s="1"/>
      <c r="EVO23" s="1"/>
      <c r="EVP23" s="1"/>
      <c r="EVQ23" s="1"/>
      <c r="EVR23" s="1"/>
      <c r="EVS23" s="1"/>
      <c r="EVT23" s="1"/>
      <c r="EVU23" s="1"/>
      <c r="EVV23" s="1"/>
      <c r="EVW23" s="1"/>
      <c r="EVX23" s="1"/>
      <c r="EVY23" s="1"/>
      <c r="EVZ23" s="1"/>
      <c r="EWA23" s="1"/>
      <c r="EWB23" s="1"/>
      <c r="EWC23" s="1"/>
      <c r="EWD23" s="1"/>
      <c r="EWE23" s="1"/>
      <c r="EWF23" s="1"/>
      <c r="EWG23" s="1"/>
      <c r="EWH23" s="1"/>
      <c r="EWI23" s="1"/>
      <c r="EWJ23" s="1"/>
      <c r="EWK23" s="1"/>
      <c r="EWL23" s="1"/>
      <c r="EWM23" s="1"/>
      <c r="EWN23" s="1"/>
      <c r="EWO23" s="1"/>
      <c r="EWP23" s="1"/>
      <c r="EWQ23" s="1"/>
      <c r="EWR23" s="1"/>
      <c r="EWS23" s="1"/>
      <c r="EWT23" s="1"/>
      <c r="EWU23" s="1"/>
      <c r="EWV23" s="1"/>
      <c r="EWW23" s="1"/>
      <c r="EWX23" s="1"/>
      <c r="EWY23" s="1"/>
      <c r="EWZ23" s="1"/>
      <c r="EXA23" s="1"/>
      <c r="EXB23" s="1"/>
      <c r="EXC23" s="1"/>
      <c r="EXD23" s="1"/>
      <c r="EXE23" s="1"/>
      <c r="EXF23" s="1"/>
      <c r="EXG23" s="1"/>
      <c r="EXH23" s="1"/>
      <c r="EXI23" s="1"/>
      <c r="EXJ23" s="1"/>
      <c r="EXK23" s="1"/>
      <c r="EXL23" s="1"/>
      <c r="EXM23" s="1"/>
      <c r="EXN23" s="1"/>
      <c r="EXO23" s="1"/>
      <c r="EXP23" s="1"/>
      <c r="EXQ23" s="1"/>
      <c r="EXR23" s="1"/>
      <c r="EXS23" s="1"/>
      <c r="EXT23" s="1"/>
      <c r="EXU23" s="1"/>
      <c r="EXV23" s="1"/>
      <c r="EXW23" s="1"/>
      <c r="EXX23" s="1"/>
      <c r="EXY23" s="1"/>
      <c r="EXZ23" s="1"/>
      <c r="EYA23" s="1"/>
      <c r="EYB23" s="1"/>
      <c r="EYC23" s="1"/>
      <c r="EYD23" s="1"/>
      <c r="EYE23" s="1"/>
      <c r="EYF23" s="1"/>
      <c r="EYG23" s="1"/>
      <c r="EYH23" s="1"/>
      <c r="EYI23" s="1"/>
      <c r="EYJ23" s="1"/>
      <c r="EYK23" s="1"/>
      <c r="EYL23" s="1"/>
      <c r="EYM23" s="1"/>
      <c r="EYN23" s="1"/>
      <c r="EYO23" s="1"/>
      <c r="EYP23" s="1"/>
      <c r="EYQ23" s="1"/>
      <c r="EYR23" s="1"/>
      <c r="EYS23" s="1"/>
      <c r="EYT23" s="1"/>
      <c r="EYU23" s="1"/>
      <c r="EYV23" s="1"/>
      <c r="EYW23" s="1"/>
      <c r="EYX23" s="1"/>
      <c r="EYY23" s="1"/>
      <c r="EYZ23" s="1"/>
      <c r="EZA23" s="1"/>
      <c r="EZB23" s="1"/>
      <c r="EZC23" s="1"/>
      <c r="EZD23" s="1"/>
      <c r="EZE23" s="1"/>
      <c r="EZF23" s="1"/>
      <c r="EZG23" s="1"/>
      <c r="EZH23" s="1"/>
      <c r="EZI23" s="1"/>
      <c r="EZJ23" s="1"/>
      <c r="EZK23" s="1"/>
      <c r="EZL23" s="1"/>
      <c r="EZM23" s="1"/>
      <c r="EZN23" s="1"/>
      <c r="EZO23" s="1"/>
      <c r="EZP23" s="1"/>
      <c r="EZQ23" s="1"/>
      <c r="EZR23" s="1"/>
      <c r="EZS23" s="1"/>
      <c r="EZT23" s="1"/>
      <c r="EZU23" s="1"/>
      <c r="EZV23" s="1"/>
      <c r="EZW23" s="1"/>
      <c r="EZX23" s="1"/>
      <c r="EZY23" s="1"/>
      <c r="EZZ23" s="1"/>
      <c r="FAA23" s="1"/>
      <c r="FAB23" s="1"/>
      <c r="FAC23" s="1"/>
      <c r="FAD23" s="1"/>
      <c r="FAE23" s="1"/>
      <c r="FAF23" s="1"/>
      <c r="FAG23" s="1"/>
      <c r="FAH23" s="1"/>
      <c r="FAI23" s="1"/>
      <c r="FAJ23" s="1"/>
      <c r="FAK23" s="1"/>
      <c r="FAL23" s="1"/>
      <c r="FAM23" s="1"/>
      <c r="FAN23" s="1"/>
      <c r="FAO23" s="1"/>
      <c r="FAP23" s="1"/>
      <c r="FAQ23" s="1"/>
      <c r="FAR23" s="1"/>
      <c r="FAS23" s="1"/>
      <c r="FAT23" s="1"/>
      <c r="FAU23" s="1"/>
      <c r="FAV23" s="1"/>
      <c r="FAW23" s="1"/>
      <c r="FAX23" s="1"/>
      <c r="FAY23" s="1"/>
      <c r="FAZ23" s="1"/>
      <c r="FBA23" s="1"/>
      <c r="FBB23" s="1"/>
      <c r="FBC23" s="1"/>
      <c r="FBD23" s="1"/>
      <c r="FBE23" s="1"/>
      <c r="FBF23" s="1"/>
      <c r="FBG23" s="1"/>
      <c r="FBH23" s="1"/>
      <c r="FBI23" s="1"/>
      <c r="FBJ23" s="1"/>
      <c r="FBK23" s="1"/>
      <c r="FBL23" s="1"/>
      <c r="FBM23" s="1"/>
      <c r="FBN23" s="1"/>
      <c r="FBO23" s="1"/>
      <c r="FBP23" s="1"/>
      <c r="FBQ23" s="1"/>
      <c r="FBR23" s="1"/>
      <c r="FBS23" s="1"/>
      <c r="FBT23" s="1"/>
      <c r="FBU23" s="1"/>
      <c r="FBV23" s="1"/>
      <c r="FBW23" s="1"/>
      <c r="FBX23" s="1"/>
      <c r="FBY23" s="1"/>
      <c r="FBZ23" s="1"/>
      <c r="FCA23" s="1"/>
      <c r="FCB23" s="1"/>
      <c r="FCC23" s="1"/>
      <c r="FCD23" s="1"/>
      <c r="FCE23" s="1"/>
      <c r="FCF23" s="1"/>
      <c r="FCG23" s="1"/>
      <c r="FCH23" s="1"/>
      <c r="FCI23" s="1"/>
      <c r="FCJ23" s="1"/>
      <c r="FCK23" s="1"/>
      <c r="FCL23" s="1"/>
      <c r="FCM23" s="1"/>
      <c r="FCN23" s="1"/>
      <c r="FCO23" s="1"/>
      <c r="FCP23" s="1"/>
      <c r="FCQ23" s="1"/>
      <c r="FCR23" s="1"/>
      <c r="FCS23" s="1"/>
      <c r="FCT23" s="1"/>
      <c r="FCU23" s="1"/>
      <c r="FCV23" s="1"/>
      <c r="FCW23" s="1"/>
      <c r="FCX23" s="1"/>
      <c r="FCY23" s="1"/>
      <c r="FCZ23" s="1"/>
      <c r="FDA23" s="1"/>
      <c r="FDB23" s="1"/>
      <c r="FDC23" s="1"/>
      <c r="FDD23" s="1"/>
      <c r="FDE23" s="1"/>
      <c r="FDF23" s="1"/>
      <c r="FDG23" s="1"/>
      <c r="FDH23" s="1"/>
      <c r="FDI23" s="1"/>
      <c r="FDJ23" s="1"/>
      <c r="FDK23" s="1"/>
      <c r="FDL23" s="1"/>
      <c r="FDM23" s="1"/>
      <c r="FDN23" s="1"/>
      <c r="FDO23" s="1"/>
      <c r="FDP23" s="1"/>
      <c r="FDQ23" s="1"/>
      <c r="FDR23" s="1"/>
      <c r="FDS23" s="1"/>
      <c r="FDT23" s="1"/>
      <c r="FDU23" s="1"/>
      <c r="FDV23" s="1"/>
      <c r="FDW23" s="1"/>
      <c r="FDX23" s="1"/>
      <c r="FDY23" s="1"/>
      <c r="FDZ23" s="1"/>
      <c r="FEA23" s="1"/>
      <c r="FEB23" s="1"/>
      <c r="FEC23" s="1"/>
      <c r="FED23" s="1"/>
      <c r="FEE23" s="1"/>
      <c r="FEF23" s="1"/>
      <c r="FEG23" s="1"/>
      <c r="FEH23" s="1"/>
      <c r="FEI23" s="1"/>
      <c r="FEJ23" s="1"/>
      <c r="FEK23" s="1"/>
      <c r="FEL23" s="1"/>
      <c r="FEM23" s="1"/>
      <c r="FEN23" s="1"/>
      <c r="FEO23" s="1"/>
      <c r="FEP23" s="1"/>
      <c r="FEQ23" s="1"/>
      <c r="FER23" s="1"/>
      <c r="FES23" s="1"/>
      <c r="FET23" s="1"/>
      <c r="FEU23" s="1"/>
      <c r="FEV23" s="1"/>
      <c r="FEW23" s="1"/>
      <c r="FEX23" s="1"/>
      <c r="FEY23" s="1"/>
      <c r="FEZ23" s="1"/>
      <c r="FFA23" s="1"/>
      <c r="FFB23" s="1"/>
      <c r="FFC23" s="1"/>
      <c r="FFD23" s="1"/>
      <c r="FFE23" s="1"/>
      <c r="FFF23" s="1"/>
      <c r="FFG23" s="1"/>
      <c r="FFH23" s="1"/>
      <c r="FFI23" s="1"/>
      <c r="FFJ23" s="1"/>
      <c r="FFK23" s="1"/>
      <c r="FFL23" s="1"/>
      <c r="FFM23" s="1"/>
      <c r="FFN23" s="1"/>
      <c r="FFO23" s="1"/>
      <c r="FFP23" s="1"/>
      <c r="FFQ23" s="1"/>
      <c r="FFR23" s="1"/>
      <c r="FFS23" s="1"/>
      <c r="FFT23" s="1"/>
      <c r="FFU23" s="1"/>
      <c r="FFV23" s="1"/>
      <c r="FFW23" s="1"/>
      <c r="FFX23" s="1"/>
      <c r="FFY23" s="1"/>
      <c r="FFZ23" s="1"/>
      <c r="FGA23" s="1"/>
      <c r="FGB23" s="1"/>
      <c r="FGC23" s="1"/>
      <c r="FGD23" s="1"/>
      <c r="FGE23" s="1"/>
      <c r="FGF23" s="1"/>
      <c r="FGG23" s="1"/>
      <c r="FGH23" s="1"/>
      <c r="FGI23" s="1"/>
      <c r="FGJ23" s="1"/>
      <c r="FGK23" s="1"/>
      <c r="FGL23" s="1"/>
      <c r="FGM23" s="1"/>
      <c r="FGN23" s="1"/>
      <c r="FGO23" s="1"/>
      <c r="FGP23" s="1"/>
      <c r="FGQ23" s="1"/>
      <c r="FGR23" s="1"/>
      <c r="FGS23" s="1"/>
      <c r="FGT23" s="1"/>
      <c r="FGU23" s="1"/>
      <c r="FGV23" s="1"/>
      <c r="FGW23" s="1"/>
      <c r="FGX23" s="1"/>
      <c r="FGY23" s="1"/>
      <c r="FGZ23" s="1"/>
      <c r="FHA23" s="1"/>
      <c r="FHB23" s="1"/>
      <c r="FHC23" s="1"/>
      <c r="FHD23" s="1"/>
      <c r="FHE23" s="1"/>
      <c r="FHF23" s="1"/>
      <c r="FHG23" s="1"/>
      <c r="FHH23" s="1"/>
      <c r="FHI23" s="1"/>
      <c r="FHJ23" s="1"/>
      <c r="FHK23" s="1"/>
      <c r="FHL23" s="1"/>
      <c r="FHM23" s="1"/>
      <c r="FHN23" s="1"/>
      <c r="FHO23" s="1"/>
      <c r="FHP23" s="1"/>
      <c r="FHQ23" s="1"/>
      <c r="FHR23" s="1"/>
      <c r="FHS23" s="1"/>
      <c r="FHT23" s="1"/>
      <c r="FHU23" s="1"/>
      <c r="FHV23" s="1"/>
      <c r="FHW23" s="1"/>
      <c r="FHX23" s="1"/>
      <c r="FHY23" s="1"/>
      <c r="FHZ23" s="1"/>
      <c r="FIA23" s="1"/>
      <c r="FIB23" s="1"/>
      <c r="FIC23" s="1"/>
      <c r="FID23" s="1"/>
      <c r="FIE23" s="1"/>
      <c r="FIF23" s="1"/>
      <c r="FIG23" s="1"/>
      <c r="FIH23" s="1"/>
      <c r="FII23" s="1"/>
      <c r="FIJ23" s="1"/>
      <c r="FIK23" s="1"/>
      <c r="FIL23" s="1"/>
      <c r="FIM23" s="1"/>
      <c r="FIN23" s="1"/>
      <c r="FIO23" s="1"/>
      <c r="FIP23" s="1"/>
      <c r="FIQ23" s="1"/>
      <c r="FIR23" s="1"/>
      <c r="FIS23" s="1"/>
      <c r="FIT23" s="1"/>
      <c r="FIU23" s="1"/>
      <c r="FIV23" s="1"/>
      <c r="FIW23" s="1"/>
      <c r="FIX23" s="1"/>
      <c r="FIY23" s="1"/>
      <c r="FIZ23" s="1"/>
      <c r="FJA23" s="1"/>
      <c r="FJB23" s="1"/>
      <c r="FJC23" s="1"/>
      <c r="FJD23" s="1"/>
      <c r="FJE23" s="1"/>
      <c r="FJF23" s="1"/>
      <c r="FJG23" s="1"/>
      <c r="FJH23" s="1"/>
      <c r="FJI23" s="1"/>
      <c r="FJJ23" s="1"/>
      <c r="FJK23" s="1"/>
      <c r="FJL23" s="1"/>
      <c r="FJM23" s="1"/>
      <c r="FJN23" s="1"/>
      <c r="FJO23" s="1"/>
      <c r="FJP23" s="1"/>
      <c r="FJQ23" s="1"/>
      <c r="FJR23" s="1"/>
      <c r="FJS23" s="1"/>
      <c r="FJT23" s="1"/>
      <c r="FJU23" s="1"/>
      <c r="FJV23" s="1"/>
      <c r="FJW23" s="1"/>
      <c r="FJX23" s="1"/>
      <c r="FJY23" s="1"/>
      <c r="FJZ23" s="1"/>
      <c r="FKA23" s="1"/>
      <c r="FKB23" s="1"/>
      <c r="FKC23" s="1"/>
      <c r="FKD23" s="1"/>
      <c r="FKE23" s="1"/>
      <c r="FKF23" s="1"/>
      <c r="FKG23" s="1"/>
      <c r="FKH23" s="1"/>
      <c r="FKI23" s="1"/>
      <c r="FKJ23" s="1"/>
      <c r="FKK23" s="1"/>
      <c r="FKL23" s="1"/>
      <c r="FKM23" s="1"/>
      <c r="FKN23" s="1"/>
      <c r="FKO23" s="1"/>
      <c r="FKP23" s="1"/>
      <c r="FKQ23" s="1"/>
      <c r="FKR23" s="1"/>
      <c r="FKS23" s="1"/>
      <c r="FKT23" s="1"/>
      <c r="FKU23" s="1"/>
      <c r="FKV23" s="1"/>
      <c r="FKW23" s="1"/>
      <c r="FKX23" s="1"/>
      <c r="FKY23" s="1"/>
      <c r="FKZ23" s="1"/>
      <c r="FLA23" s="1"/>
      <c r="FLB23" s="1"/>
      <c r="FLC23" s="1"/>
      <c r="FLD23" s="1"/>
      <c r="FLE23" s="1"/>
      <c r="FLF23" s="1"/>
      <c r="FLG23" s="1"/>
      <c r="FLH23" s="1"/>
      <c r="FLI23" s="1"/>
      <c r="FLJ23" s="1"/>
      <c r="FLK23" s="1"/>
      <c r="FLL23" s="1"/>
      <c r="FLM23" s="1"/>
      <c r="FLN23" s="1"/>
      <c r="FLO23" s="1"/>
      <c r="FLP23" s="1"/>
      <c r="FLQ23" s="1"/>
      <c r="FLR23" s="1"/>
      <c r="FLS23" s="1"/>
      <c r="FLT23" s="1"/>
      <c r="FLU23" s="1"/>
      <c r="FLV23" s="1"/>
      <c r="FLW23" s="1"/>
      <c r="FLX23" s="1"/>
      <c r="FLY23" s="1"/>
      <c r="FLZ23" s="1"/>
      <c r="FMA23" s="1"/>
      <c r="FMB23" s="1"/>
      <c r="FMC23" s="1"/>
      <c r="FMD23" s="1"/>
      <c r="FME23" s="1"/>
      <c r="FMF23" s="1"/>
      <c r="FMG23" s="1"/>
      <c r="FMH23" s="1"/>
      <c r="FMI23" s="1"/>
      <c r="FMJ23" s="1"/>
      <c r="FMK23" s="1"/>
      <c r="FML23" s="1"/>
      <c r="FMM23" s="1"/>
      <c r="FMN23" s="1"/>
      <c r="FMO23" s="1"/>
      <c r="FMP23" s="1"/>
      <c r="FMQ23" s="1"/>
      <c r="FMR23" s="1"/>
      <c r="FMS23" s="1"/>
      <c r="FMT23" s="1"/>
      <c r="FMU23" s="1"/>
      <c r="FMV23" s="1"/>
      <c r="FMW23" s="1"/>
      <c r="FMX23" s="1"/>
      <c r="FMY23" s="1"/>
      <c r="FMZ23" s="1"/>
      <c r="FNA23" s="1"/>
      <c r="FNB23" s="1"/>
      <c r="FNC23" s="1"/>
      <c r="FND23" s="1"/>
      <c r="FNE23" s="1"/>
      <c r="FNF23" s="1"/>
      <c r="FNG23" s="1"/>
      <c r="FNH23" s="1"/>
      <c r="FNI23" s="1"/>
      <c r="FNJ23" s="1"/>
      <c r="FNK23" s="1"/>
      <c r="FNL23" s="1"/>
      <c r="FNM23" s="1"/>
      <c r="FNN23" s="1"/>
      <c r="FNO23" s="1"/>
      <c r="FNP23" s="1"/>
      <c r="FNQ23" s="1"/>
      <c r="FNR23" s="1"/>
      <c r="FNS23" s="1"/>
      <c r="FNT23" s="1"/>
      <c r="FNU23" s="1"/>
      <c r="FNV23" s="1"/>
      <c r="FNW23" s="1"/>
      <c r="FNX23" s="1"/>
      <c r="FNY23" s="1"/>
      <c r="FNZ23" s="1"/>
      <c r="FOA23" s="1"/>
      <c r="FOB23" s="1"/>
      <c r="FOC23" s="1"/>
      <c r="FOD23" s="1"/>
      <c r="FOE23" s="1"/>
      <c r="FOF23" s="1"/>
      <c r="FOG23" s="1"/>
      <c r="FOH23" s="1"/>
      <c r="FOI23" s="1"/>
      <c r="FOJ23" s="1"/>
      <c r="FOK23" s="1"/>
      <c r="FOL23" s="1"/>
      <c r="FOM23" s="1"/>
      <c r="FON23" s="1"/>
      <c r="FOO23" s="1"/>
      <c r="FOP23" s="1"/>
      <c r="FOQ23" s="1"/>
      <c r="FOR23" s="1"/>
      <c r="FOS23" s="1"/>
      <c r="FOT23" s="1"/>
      <c r="FOU23" s="1"/>
      <c r="FOV23" s="1"/>
      <c r="FOW23" s="1"/>
      <c r="FOX23" s="1"/>
      <c r="FOY23" s="1"/>
      <c r="FOZ23" s="1"/>
      <c r="FPA23" s="1"/>
      <c r="FPB23" s="1"/>
      <c r="FPC23" s="1"/>
      <c r="FPD23" s="1"/>
      <c r="FPE23" s="1"/>
      <c r="FPF23" s="1"/>
      <c r="FPG23" s="1"/>
      <c r="FPH23" s="1"/>
      <c r="FPI23" s="1"/>
      <c r="FPJ23" s="1"/>
      <c r="FPK23" s="1"/>
      <c r="FPL23" s="1"/>
      <c r="FPM23" s="1"/>
      <c r="FPN23" s="1"/>
      <c r="FPO23" s="1"/>
      <c r="FPP23" s="1"/>
      <c r="FPQ23" s="1"/>
      <c r="FPR23" s="1"/>
      <c r="FPS23" s="1"/>
      <c r="FPT23" s="1"/>
      <c r="FPU23" s="1"/>
      <c r="FPV23" s="1"/>
      <c r="FPW23" s="1"/>
      <c r="FPX23" s="1"/>
      <c r="FPY23" s="1"/>
      <c r="FPZ23" s="1"/>
      <c r="FQA23" s="1"/>
      <c r="FQB23" s="1"/>
      <c r="FQC23" s="1"/>
      <c r="FQD23" s="1"/>
      <c r="FQE23" s="1"/>
      <c r="FQF23" s="1"/>
      <c r="FQG23" s="1"/>
      <c r="FQH23" s="1"/>
      <c r="FQI23" s="1"/>
      <c r="FQJ23" s="1"/>
      <c r="FQK23" s="1"/>
      <c r="FQL23" s="1"/>
      <c r="FQM23" s="1"/>
      <c r="FQN23" s="1"/>
      <c r="FQO23" s="1"/>
      <c r="FQP23" s="1"/>
      <c r="FQQ23" s="1"/>
      <c r="FQR23" s="1"/>
      <c r="FQS23" s="1"/>
      <c r="FQT23" s="1"/>
      <c r="FQU23" s="1"/>
      <c r="FQV23" s="1"/>
      <c r="FQW23" s="1"/>
      <c r="FQX23" s="1"/>
      <c r="FQY23" s="1"/>
      <c r="FQZ23" s="1"/>
      <c r="FRA23" s="1"/>
      <c r="FRB23" s="1"/>
      <c r="FRC23" s="1"/>
      <c r="FRD23" s="1"/>
      <c r="FRE23" s="1"/>
      <c r="FRF23" s="1"/>
      <c r="FRG23" s="1"/>
      <c r="FRH23" s="1"/>
      <c r="FRI23" s="1"/>
      <c r="FRJ23" s="1"/>
      <c r="FRK23" s="1"/>
      <c r="FRL23" s="1"/>
      <c r="FRM23" s="1"/>
      <c r="FRN23" s="1"/>
      <c r="FRO23" s="1"/>
      <c r="FRP23" s="1"/>
      <c r="FRQ23" s="1"/>
      <c r="FRR23" s="1"/>
      <c r="FRS23" s="1"/>
      <c r="FRT23" s="1"/>
      <c r="FRU23" s="1"/>
      <c r="FRV23" s="1"/>
      <c r="FRW23" s="1"/>
      <c r="FRX23" s="1"/>
      <c r="FRY23" s="1"/>
      <c r="FRZ23" s="1"/>
      <c r="FSA23" s="1"/>
      <c r="FSB23" s="1"/>
      <c r="FSC23" s="1"/>
      <c r="FSD23" s="1"/>
      <c r="FSE23" s="1"/>
      <c r="FSF23" s="1"/>
      <c r="FSG23" s="1"/>
      <c r="FSH23" s="1"/>
      <c r="FSI23" s="1"/>
      <c r="FSJ23" s="1"/>
      <c r="FSK23" s="1"/>
      <c r="FSL23" s="1"/>
      <c r="FSM23" s="1"/>
      <c r="FSN23" s="1"/>
      <c r="FSO23" s="1"/>
      <c r="FSP23" s="1"/>
      <c r="FSQ23" s="1"/>
      <c r="FSR23" s="1"/>
      <c r="FSS23" s="1"/>
      <c r="FST23" s="1"/>
      <c r="FSU23" s="1"/>
      <c r="FSV23" s="1"/>
      <c r="FSW23" s="1"/>
      <c r="FSX23" s="1"/>
      <c r="FSY23" s="1"/>
      <c r="FSZ23" s="1"/>
      <c r="FTA23" s="1"/>
      <c r="FTB23" s="1"/>
      <c r="FTC23" s="1"/>
      <c r="FTD23" s="1"/>
      <c r="FTE23" s="1"/>
      <c r="FTF23" s="1"/>
      <c r="FTG23" s="1"/>
      <c r="FTH23" s="1"/>
      <c r="FTI23" s="1"/>
      <c r="FTJ23" s="1"/>
      <c r="FTK23" s="1"/>
      <c r="FTL23" s="1"/>
      <c r="FTM23" s="1"/>
      <c r="FTN23" s="1"/>
      <c r="FTO23" s="1"/>
      <c r="FTP23" s="1"/>
      <c r="FTQ23" s="1"/>
      <c r="FTR23" s="1"/>
      <c r="FTS23" s="1"/>
      <c r="FTT23" s="1"/>
      <c r="FTU23" s="1"/>
      <c r="FTV23" s="1"/>
      <c r="FTW23" s="1"/>
      <c r="FTX23" s="1"/>
      <c r="FTY23" s="1"/>
      <c r="FTZ23" s="1"/>
      <c r="FUA23" s="1"/>
      <c r="FUB23" s="1"/>
      <c r="FUC23" s="1"/>
      <c r="FUD23" s="1"/>
      <c r="FUE23" s="1"/>
      <c r="FUF23" s="1"/>
      <c r="FUG23" s="1"/>
      <c r="FUH23" s="1"/>
      <c r="FUI23" s="1"/>
      <c r="FUJ23" s="1"/>
      <c r="FUK23" s="1"/>
      <c r="FUL23" s="1"/>
      <c r="FUM23" s="1"/>
      <c r="FUN23" s="1"/>
      <c r="FUO23" s="1"/>
      <c r="FUP23" s="1"/>
      <c r="FUQ23" s="1"/>
      <c r="FUR23" s="1"/>
      <c r="FUS23" s="1"/>
      <c r="FUT23" s="1"/>
      <c r="FUU23" s="1"/>
      <c r="FUV23" s="1"/>
      <c r="FUW23" s="1"/>
      <c r="FUX23" s="1"/>
      <c r="FUY23" s="1"/>
      <c r="FUZ23" s="1"/>
      <c r="FVA23" s="1"/>
      <c r="FVB23" s="1"/>
      <c r="FVC23" s="1"/>
      <c r="FVD23" s="1"/>
      <c r="FVE23" s="1"/>
      <c r="FVF23" s="1"/>
      <c r="FVG23" s="1"/>
      <c r="FVH23" s="1"/>
      <c r="FVI23" s="1"/>
      <c r="FVJ23" s="1"/>
      <c r="FVK23" s="1"/>
      <c r="FVL23" s="1"/>
      <c r="FVM23" s="1"/>
      <c r="FVN23" s="1"/>
      <c r="FVO23" s="1"/>
      <c r="FVP23" s="1"/>
      <c r="FVQ23" s="1"/>
      <c r="FVR23" s="1"/>
      <c r="FVS23" s="1"/>
      <c r="FVT23" s="1"/>
      <c r="FVU23" s="1"/>
      <c r="FVV23" s="1"/>
      <c r="FVW23" s="1"/>
      <c r="FVX23" s="1"/>
      <c r="FVY23" s="1"/>
      <c r="FVZ23" s="1"/>
      <c r="FWA23" s="1"/>
      <c r="FWB23" s="1"/>
      <c r="FWC23" s="1"/>
      <c r="FWD23" s="1"/>
      <c r="FWE23" s="1"/>
      <c r="FWF23" s="1"/>
      <c r="FWG23" s="1"/>
      <c r="FWH23" s="1"/>
      <c r="FWI23" s="1"/>
      <c r="FWJ23" s="1"/>
      <c r="FWK23" s="1"/>
      <c r="FWL23" s="1"/>
      <c r="FWM23" s="1"/>
      <c r="FWN23" s="1"/>
      <c r="FWO23" s="1"/>
      <c r="FWP23" s="1"/>
      <c r="FWQ23" s="1"/>
      <c r="FWR23" s="1"/>
      <c r="FWS23" s="1"/>
      <c r="FWT23" s="1"/>
      <c r="FWU23" s="1"/>
      <c r="FWV23" s="1"/>
      <c r="FWW23" s="1"/>
      <c r="FWX23" s="1"/>
      <c r="FWY23" s="1"/>
      <c r="FWZ23" s="1"/>
      <c r="FXA23" s="1"/>
      <c r="FXB23" s="1"/>
      <c r="FXC23" s="1"/>
      <c r="FXD23" s="1"/>
      <c r="FXE23" s="1"/>
      <c r="FXF23" s="1"/>
      <c r="FXG23" s="1"/>
      <c r="FXH23" s="1"/>
      <c r="FXI23" s="1"/>
      <c r="FXJ23" s="1"/>
      <c r="FXK23" s="1"/>
      <c r="FXL23" s="1"/>
      <c r="FXM23" s="1"/>
      <c r="FXN23" s="1"/>
      <c r="FXO23" s="1"/>
      <c r="FXP23" s="1"/>
      <c r="FXQ23" s="1"/>
      <c r="FXR23" s="1"/>
      <c r="FXS23" s="1"/>
      <c r="FXT23" s="1"/>
      <c r="FXU23" s="1"/>
      <c r="FXV23" s="1"/>
      <c r="FXW23" s="1"/>
      <c r="FXX23" s="1"/>
      <c r="FXY23" s="1"/>
      <c r="FXZ23" s="1"/>
      <c r="FYA23" s="1"/>
      <c r="FYB23" s="1"/>
      <c r="FYC23" s="1"/>
      <c r="FYD23" s="1"/>
      <c r="FYE23" s="1"/>
      <c r="FYF23" s="1"/>
      <c r="FYG23" s="1"/>
      <c r="FYH23" s="1"/>
      <c r="FYI23" s="1"/>
      <c r="FYJ23" s="1"/>
      <c r="FYK23" s="1"/>
      <c r="FYL23" s="1"/>
      <c r="FYM23" s="1"/>
      <c r="FYN23" s="1"/>
      <c r="FYO23" s="1"/>
      <c r="FYP23" s="1"/>
      <c r="FYQ23" s="1"/>
      <c r="FYR23" s="1"/>
      <c r="FYS23" s="1"/>
      <c r="FYT23" s="1"/>
      <c r="FYU23" s="1"/>
      <c r="FYV23" s="1"/>
      <c r="FYW23" s="1"/>
      <c r="FYX23" s="1"/>
      <c r="FYY23" s="1"/>
      <c r="FYZ23" s="1"/>
      <c r="FZA23" s="1"/>
      <c r="FZB23" s="1"/>
      <c r="FZC23" s="1"/>
      <c r="FZD23" s="1"/>
      <c r="FZE23" s="1"/>
      <c r="FZF23" s="1"/>
      <c r="FZG23" s="1"/>
      <c r="FZH23" s="1"/>
      <c r="FZI23" s="1"/>
      <c r="FZJ23" s="1"/>
      <c r="FZK23" s="1"/>
      <c r="FZL23" s="1"/>
      <c r="FZM23" s="1"/>
      <c r="FZN23" s="1"/>
      <c r="FZO23" s="1"/>
      <c r="FZP23" s="1"/>
      <c r="FZQ23" s="1"/>
      <c r="FZR23" s="1"/>
      <c r="FZS23" s="1"/>
      <c r="FZT23" s="1"/>
      <c r="FZU23" s="1"/>
      <c r="FZV23" s="1"/>
      <c r="FZW23" s="1"/>
      <c r="FZX23" s="1"/>
      <c r="FZY23" s="1"/>
      <c r="FZZ23" s="1"/>
      <c r="GAA23" s="1"/>
      <c r="GAB23" s="1"/>
      <c r="GAC23" s="1"/>
      <c r="GAD23" s="1"/>
      <c r="GAE23" s="1"/>
      <c r="GAF23" s="1"/>
      <c r="GAG23" s="1"/>
      <c r="GAH23" s="1"/>
      <c r="GAI23" s="1"/>
      <c r="GAJ23" s="1"/>
      <c r="GAK23" s="1"/>
      <c r="GAL23" s="1"/>
      <c r="GAM23" s="1"/>
      <c r="GAN23" s="1"/>
      <c r="GAO23" s="1"/>
      <c r="GAP23" s="1"/>
      <c r="GAQ23" s="1"/>
      <c r="GAR23" s="1"/>
      <c r="GAS23" s="1"/>
      <c r="GAT23" s="1"/>
      <c r="GAU23" s="1"/>
      <c r="GAV23" s="1"/>
      <c r="GAW23" s="1"/>
      <c r="GAX23" s="1"/>
      <c r="GAY23" s="1"/>
      <c r="GAZ23" s="1"/>
      <c r="GBA23" s="1"/>
      <c r="GBB23" s="1"/>
      <c r="GBC23" s="1"/>
      <c r="GBD23" s="1"/>
      <c r="GBE23" s="1"/>
      <c r="GBF23" s="1"/>
      <c r="GBG23" s="1"/>
      <c r="GBH23" s="1"/>
      <c r="GBI23" s="1"/>
      <c r="GBJ23" s="1"/>
      <c r="GBK23" s="1"/>
      <c r="GBL23" s="1"/>
      <c r="GBM23" s="1"/>
      <c r="GBN23" s="1"/>
      <c r="GBO23" s="1"/>
      <c r="GBP23" s="1"/>
      <c r="GBQ23" s="1"/>
      <c r="GBR23" s="1"/>
      <c r="GBS23" s="1"/>
      <c r="GBT23" s="1"/>
      <c r="GBU23" s="1"/>
      <c r="GBV23" s="1"/>
      <c r="GBW23" s="1"/>
      <c r="GBX23" s="1"/>
      <c r="GBY23" s="1"/>
      <c r="GBZ23" s="1"/>
      <c r="GCA23" s="1"/>
      <c r="GCB23" s="1"/>
      <c r="GCC23" s="1"/>
      <c r="GCD23" s="1"/>
      <c r="GCE23" s="1"/>
      <c r="GCF23" s="1"/>
      <c r="GCG23" s="1"/>
      <c r="GCH23" s="1"/>
      <c r="GCI23" s="1"/>
      <c r="GCJ23" s="1"/>
      <c r="GCK23" s="1"/>
      <c r="GCL23" s="1"/>
      <c r="GCM23" s="1"/>
      <c r="GCN23" s="1"/>
      <c r="GCO23" s="1"/>
      <c r="GCP23" s="1"/>
      <c r="GCQ23" s="1"/>
      <c r="GCR23" s="1"/>
      <c r="GCS23" s="1"/>
      <c r="GCT23" s="1"/>
      <c r="GCU23" s="1"/>
      <c r="GCV23" s="1"/>
      <c r="GCW23" s="1"/>
      <c r="GCX23" s="1"/>
      <c r="GCY23" s="1"/>
      <c r="GCZ23" s="1"/>
      <c r="GDA23" s="1"/>
      <c r="GDB23" s="1"/>
      <c r="GDC23" s="1"/>
      <c r="GDD23" s="1"/>
      <c r="GDE23" s="1"/>
      <c r="GDF23" s="1"/>
      <c r="GDG23" s="1"/>
      <c r="GDH23" s="1"/>
      <c r="GDI23" s="1"/>
      <c r="GDJ23" s="1"/>
      <c r="GDK23" s="1"/>
      <c r="GDL23" s="1"/>
      <c r="GDM23" s="1"/>
      <c r="GDN23" s="1"/>
      <c r="GDO23" s="1"/>
      <c r="GDP23" s="1"/>
      <c r="GDQ23" s="1"/>
      <c r="GDR23" s="1"/>
      <c r="GDS23" s="1"/>
      <c r="GDT23" s="1"/>
      <c r="GDU23" s="1"/>
      <c r="GDV23" s="1"/>
      <c r="GDW23" s="1"/>
      <c r="GDX23" s="1"/>
      <c r="GDY23" s="1"/>
      <c r="GDZ23" s="1"/>
      <c r="GEA23" s="1"/>
      <c r="GEB23" s="1"/>
      <c r="GEC23" s="1"/>
      <c r="GED23" s="1"/>
      <c r="GEE23" s="1"/>
      <c r="GEF23" s="1"/>
      <c r="GEG23" s="1"/>
      <c r="GEH23" s="1"/>
      <c r="GEI23" s="1"/>
      <c r="GEJ23" s="1"/>
      <c r="GEK23" s="1"/>
      <c r="GEL23" s="1"/>
      <c r="GEM23" s="1"/>
      <c r="GEN23" s="1"/>
      <c r="GEO23" s="1"/>
      <c r="GEP23" s="1"/>
      <c r="GEQ23" s="1"/>
      <c r="GER23" s="1"/>
      <c r="GES23" s="1"/>
      <c r="GET23" s="1"/>
      <c r="GEU23" s="1"/>
      <c r="GEV23" s="1"/>
      <c r="GEW23" s="1"/>
      <c r="GEX23" s="1"/>
      <c r="GEY23" s="1"/>
      <c r="GEZ23" s="1"/>
      <c r="GFA23" s="1"/>
      <c r="GFB23" s="1"/>
      <c r="GFC23" s="1"/>
      <c r="GFD23" s="1"/>
      <c r="GFE23" s="1"/>
      <c r="GFF23" s="1"/>
      <c r="GFG23" s="1"/>
      <c r="GFH23" s="1"/>
      <c r="GFI23" s="1"/>
      <c r="GFJ23" s="1"/>
      <c r="GFK23" s="1"/>
      <c r="GFL23" s="1"/>
      <c r="GFM23" s="1"/>
      <c r="GFN23" s="1"/>
      <c r="GFO23" s="1"/>
      <c r="GFP23" s="1"/>
      <c r="GFQ23" s="1"/>
      <c r="GFR23" s="1"/>
      <c r="GFS23" s="1"/>
      <c r="GFT23" s="1"/>
      <c r="GFU23" s="1"/>
      <c r="GFV23" s="1"/>
      <c r="GFW23" s="1"/>
      <c r="GFX23" s="1"/>
      <c r="GFY23" s="1"/>
      <c r="GFZ23" s="1"/>
      <c r="GGA23" s="1"/>
      <c r="GGB23" s="1"/>
      <c r="GGC23" s="1"/>
      <c r="GGD23" s="1"/>
      <c r="GGE23" s="1"/>
      <c r="GGF23" s="1"/>
      <c r="GGG23" s="1"/>
      <c r="GGH23" s="1"/>
      <c r="GGI23" s="1"/>
      <c r="GGJ23" s="1"/>
      <c r="GGK23" s="1"/>
      <c r="GGL23" s="1"/>
      <c r="GGM23" s="1"/>
      <c r="GGN23" s="1"/>
      <c r="GGO23" s="1"/>
      <c r="GGP23" s="1"/>
      <c r="GGQ23" s="1"/>
      <c r="GGR23" s="1"/>
      <c r="GGS23" s="1"/>
      <c r="GGT23" s="1"/>
      <c r="GGU23" s="1"/>
      <c r="GGV23" s="1"/>
      <c r="GGW23" s="1"/>
      <c r="GGX23" s="1"/>
      <c r="GGY23" s="1"/>
      <c r="GGZ23" s="1"/>
      <c r="GHA23" s="1"/>
      <c r="GHB23" s="1"/>
      <c r="GHC23" s="1"/>
      <c r="GHD23" s="1"/>
      <c r="GHE23" s="1"/>
      <c r="GHF23" s="1"/>
      <c r="GHG23" s="1"/>
      <c r="GHH23" s="1"/>
      <c r="GHI23" s="1"/>
      <c r="GHJ23" s="1"/>
      <c r="GHK23" s="1"/>
      <c r="GHL23" s="1"/>
      <c r="GHM23" s="1"/>
      <c r="GHN23" s="1"/>
      <c r="GHO23" s="1"/>
      <c r="GHP23" s="1"/>
      <c r="GHQ23" s="1"/>
      <c r="GHR23" s="1"/>
      <c r="GHS23" s="1"/>
      <c r="GHT23" s="1"/>
      <c r="GHU23" s="1"/>
      <c r="GHV23" s="1"/>
      <c r="GHW23" s="1"/>
      <c r="GHX23" s="1"/>
      <c r="GHY23" s="1"/>
      <c r="GHZ23" s="1"/>
      <c r="GIA23" s="1"/>
      <c r="GIB23" s="1"/>
      <c r="GIC23" s="1"/>
      <c r="GID23" s="1"/>
      <c r="GIE23" s="1"/>
      <c r="GIF23" s="1"/>
      <c r="GIG23" s="1"/>
      <c r="GIH23" s="1"/>
      <c r="GII23" s="1"/>
      <c r="GIJ23" s="1"/>
      <c r="GIK23" s="1"/>
      <c r="GIL23" s="1"/>
      <c r="GIM23" s="1"/>
      <c r="GIN23" s="1"/>
      <c r="GIO23" s="1"/>
      <c r="GIP23" s="1"/>
      <c r="GIQ23" s="1"/>
      <c r="GIR23" s="1"/>
      <c r="GIS23" s="1"/>
      <c r="GIT23" s="1"/>
      <c r="GIU23" s="1"/>
      <c r="GIV23" s="1"/>
      <c r="GIW23" s="1"/>
      <c r="GIX23" s="1"/>
      <c r="GIY23" s="1"/>
      <c r="GIZ23" s="1"/>
      <c r="GJA23" s="1"/>
      <c r="GJB23" s="1"/>
      <c r="GJC23" s="1"/>
      <c r="GJD23" s="1"/>
      <c r="GJE23" s="1"/>
      <c r="GJF23" s="1"/>
      <c r="GJG23" s="1"/>
      <c r="GJH23" s="1"/>
      <c r="GJI23" s="1"/>
      <c r="GJJ23" s="1"/>
      <c r="GJK23" s="1"/>
      <c r="GJL23" s="1"/>
      <c r="GJM23" s="1"/>
      <c r="GJN23" s="1"/>
      <c r="GJO23" s="1"/>
      <c r="GJP23" s="1"/>
      <c r="GJQ23" s="1"/>
      <c r="GJR23" s="1"/>
      <c r="GJS23" s="1"/>
      <c r="GJT23" s="1"/>
      <c r="GJU23" s="1"/>
      <c r="GJV23" s="1"/>
      <c r="GJW23" s="1"/>
      <c r="GJX23" s="1"/>
      <c r="GJY23" s="1"/>
      <c r="GJZ23" s="1"/>
      <c r="GKA23" s="1"/>
      <c r="GKB23" s="1"/>
      <c r="GKC23" s="1"/>
      <c r="GKD23" s="1"/>
      <c r="GKE23" s="1"/>
      <c r="GKF23" s="1"/>
      <c r="GKG23" s="1"/>
      <c r="GKH23" s="1"/>
      <c r="GKI23" s="1"/>
      <c r="GKJ23" s="1"/>
      <c r="GKK23" s="1"/>
      <c r="GKL23" s="1"/>
      <c r="GKM23" s="1"/>
      <c r="GKN23" s="1"/>
      <c r="GKO23" s="1"/>
      <c r="GKP23" s="1"/>
      <c r="GKQ23" s="1"/>
      <c r="GKR23" s="1"/>
      <c r="GKS23" s="1"/>
      <c r="GKT23" s="1"/>
      <c r="GKU23" s="1"/>
      <c r="GKV23" s="1"/>
      <c r="GKW23" s="1"/>
      <c r="GKX23" s="1"/>
      <c r="GKY23" s="1"/>
      <c r="GKZ23" s="1"/>
      <c r="GLA23" s="1"/>
      <c r="GLB23" s="1"/>
      <c r="GLC23" s="1"/>
      <c r="GLD23" s="1"/>
      <c r="GLE23" s="1"/>
      <c r="GLF23" s="1"/>
      <c r="GLG23" s="1"/>
      <c r="GLH23" s="1"/>
      <c r="GLI23" s="1"/>
      <c r="GLJ23" s="1"/>
      <c r="GLK23" s="1"/>
      <c r="GLL23" s="1"/>
      <c r="GLM23" s="1"/>
      <c r="GLN23" s="1"/>
      <c r="GLO23" s="1"/>
      <c r="GLP23" s="1"/>
      <c r="GLQ23" s="1"/>
      <c r="GLR23" s="1"/>
      <c r="GLS23" s="1"/>
      <c r="GLT23" s="1"/>
      <c r="GLU23" s="1"/>
      <c r="GLV23" s="1"/>
      <c r="GLW23" s="1"/>
      <c r="GLX23" s="1"/>
      <c r="GLY23" s="1"/>
      <c r="GLZ23" s="1"/>
      <c r="GMA23" s="1"/>
      <c r="GMB23" s="1"/>
      <c r="GMC23" s="1"/>
      <c r="GMD23" s="1"/>
      <c r="GME23" s="1"/>
      <c r="GMF23" s="1"/>
      <c r="GMG23" s="1"/>
      <c r="GMH23" s="1"/>
      <c r="GMI23" s="1"/>
      <c r="GMJ23" s="1"/>
      <c r="GMK23" s="1"/>
      <c r="GML23" s="1"/>
      <c r="GMM23" s="1"/>
      <c r="GMN23" s="1"/>
      <c r="GMO23" s="1"/>
      <c r="GMP23" s="1"/>
      <c r="GMQ23" s="1"/>
      <c r="GMR23" s="1"/>
      <c r="GMS23" s="1"/>
      <c r="GMT23" s="1"/>
      <c r="GMU23" s="1"/>
      <c r="GMV23" s="1"/>
      <c r="GMW23" s="1"/>
      <c r="GMX23" s="1"/>
      <c r="GMY23" s="1"/>
      <c r="GMZ23" s="1"/>
      <c r="GNA23" s="1"/>
      <c r="GNB23" s="1"/>
      <c r="GNC23" s="1"/>
      <c r="GND23" s="1"/>
      <c r="GNE23" s="1"/>
      <c r="GNF23" s="1"/>
      <c r="GNG23" s="1"/>
      <c r="GNH23" s="1"/>
      <c r="GNI23" s="1"/>
      <c r="GNJ23" s="1"/>
      <c r="GNK23" s="1"/>
      <c r="GNL23" s="1"/>
      <c r="GNM23" s="1"/>
      <c r="GNN23" s="1"/>
      <c r="GNO23" s="1"/>
      <c r="GNP23" s="1"/>
      <c r="GNQ23" s="1"/>
      <c r="GNR23" s="1"/>
      <c r="GNS23" s="1"/>
      <c r="GNT23" s="1"/>
      <c r="GNU23" s="1"/>
      <c r="GNV23" s="1"/>
      <c r="GNW23" s="1"/>
      <c r="GNX23" s="1"/>
      <c r="GNY23" s="1"/>
      <c r="GNZ23" s="1"/>
      <c r="GOA23" s="1"/>
      <c r="GOB23" s="1"/>
      <c r="GOC23" s="1"/>
      <c r="GOD23" s="1"/>
      <c r="GOE23" s="1"/>
      <c r="GOF23" s="1"/>
      <c r="GOG23" s="1"/>
      <c r="GOH23" s="1"/>
      <c r="GOI23" s="1"/>
      <c r="GOJ23" s="1"/>
      <c r="GOK23" s="1"/>
      <c r="GOL23" s="1"/>
      <c r="GOM23" s="1"/>
      <c r="GON23" s="1"/>
      <c r="GOO23" s="1"/>
      <c r="GOP23" s="1"/>
      <c r="GOQ23" s="1"/>
      <c r="GOR23" s="1"/>
      <c r="GOS23" s="1"/>
      <c r="GOT23" s="1"/>
      <c r="GOU23" s="1"/>
      <c r="GOV23" s="1"/>
      <c r="GOW23" s="1"/>
      <c r="GOX23" s="1"/>
      <c r="GOY23" s="1"/>
      <c r="GOZ23" s="1"/>
      <c r="GPA23" s="1"/>
      <c r="GPB23" s="1"/>
      <c r="GPC23" s="1"/>
      <c r="GPD23" s="1"/>
      <c r="GPE23" s="1"/>
      <c r="GPF23" s="1"/>
      <c r="GPG23" s="1"/>
      <c r="GPH23" s="1"/>
      <c r="GPI23" s="1"/>
      <c r="GPJ23" s="1"/>
      <c r="GPK23" s="1"/>
      <c r="GPL23" s="1"/>
      <c r="GPM23" s="1"/>
      <c r="GPN23" s="1"/>
      <c r="GPO23" s="1"/>
      <c r="GPP23" s="1"/>
      <c r="GPQ23" s="1"/>
      <c r="GPR23" s="1"/>
      <c r="GPS23" s="1"/>
      <c r="GPT23" s="1"/>
      <c r="GPU23" s="1"/>
      <c r="GPV23" s="1"/>
      <c r="GPW23" s="1"/>
      <c r="GPX23" s="1"/>
      <c r="GPY23" s="1"/>
      <c r="GPZ23" s="1"/>
      <c r="GQA23" s="1"/>
      <c r="GQB23" s="1"/>
      <c r="GQC23" s="1"/>
      <c r="GQD23" s="1"/>
      <c r="GQE23" s="1"/>
      <c r="GQF23" s="1"/>
      <c r="GQG23" s="1"/>
      <c r="GQH23" s="1"/>
      <c r="GQI23" s="1"/>
      <c r="GQJ23" s="1"/>
      <c r="GQK23" s="1"/>
      <c r="GQL23" s="1"/>
      <c r="GQM23" s="1"/>
      <c r="GQN23" s="1"/>
      <c r="GQO23" s="1"/>
      <c r="GQP23" s="1"/>
      <c r="GQQ23" s="1"/>
      <c r="GQR23" s="1"/>
      <c r="GQS23" s="1"/>
      <c r="GQT23" s="1"/>
      <c r="GQU23" s="1"/>
      <c r="GQV23" s="1"/>
      <c r="GQW23" s="1"/>
      <c r="GQX23" s="1"/>
      <c r="GQY23" s="1"/>
      <c r="GQZ23" s="1"/>
      <c r="GRA23" s="1"/>
      <c r="GRB23" s="1"/>
      <c r="GRC23" s="1"/>
      <c r="GRD23" s="1"/>
      <c r="GRE23" s="1"/>
      <c r="GRF23" s="1"/>
      <c r="GRG23" s="1"/>
      <c r="GRH23" s="1"/>
      <c r="GRI23" s="1"/>
      <c r="GRJ23" s="1"/>
      <c r="GRK23" s="1"/>
      <c r="GRL23" s="1"/>
      <c r="GRM23" s="1"/>
      <c r="GRN23" s="1"/>
      <c r="GRO23" s="1"/>
      <c r="GRP23" s="1"/>
      <c r="GRQ23" s="1"/>
      <c r="GRR23" s="1"/>
      <c r="GRS23" s="1"/>
      <c r="GRT23" s="1"/>
      <c r="GRU23" s="1"/>
      <c r="GRV23" s="1"/>
      <c r="GRW23" s="1"/>
      <c r="GRX23" s="1"/>
      <c r="GRY23" s="1"/>
      <c r="GRZ23" s="1"/>
      <c r="GSA23" s="1"/>
      <c r="GSB23" s="1"/>
      <c r="GSC23" s="1"/>
      <c r="GSD23" s="1"/>
      <c r="GSE23" s="1"/>
      <c r="GSF23" s="1"/>
      <c r="GSG23" s="1"/>
      <c r="GSH23" s="1"/>
      <c r="GSI23" s="1"/>
      <c r="GSJ23" s="1"/>
      <c r="GSK23" s="1"/>
      <c r="GSL23" s="1"/>
      <c r="GSM23" s="1"/>
      <c r="GSN23" s="1"/>
      <c r="GSO23" s="1"/>
      <c r="GSP23" s="1"/>
      <c r="GSQ23" s="1"/>
      <c r="GSR23" s="1"/>
      <c r="GSS23" s="1"/>
      <c r="GST23" s="1"/>
      <c r="GSU23" s="1"/>
      <c r="GSV23" s="1"/>
      <c r="GSW23" s="1"/>
      <c r="GSX23" s="1"/>
      <c r="GSY23" s="1"/>
      <c r="GSZ23" s="1"/>
      <c r="GTA23" s="1"/>
      <c r="GTB23" s="1"/>
      <c r="GTC23" s="1"/>
      <c r="GTD23" s="1"/>
      <c r="GTE23" s="1"/>
      <c r="GTF23" s="1"/>
      <c r="GTG23" s="1"/>
      <c r="GTH23" s="1"/>
      <c r="GTI23" s="1"/>
      <c r="GTJ23" s="1"/>
      <c r="GTK23" s="1"/>
      <c r="GTL23" s="1"/>
      <c r="GTM23" s="1"/>
      <c r="GTN23" s="1"/>
      <c r="GTO23" s="1"/>
      <c r="GTP23" s="1"/>
      <c r="GTQ23" s="1"/>
      <c r="GTR23" s="1"/>
      <c r="GTS23" s="1"/>
      <c r="GTT23" s="1"/>
      <c r="GTU23" s="1"/>
      <c r="GTV23" s="1"/>
      <c r="GTW23" s="1"/>
      <c r="GTX23" s="1"/>
      <c r="GTY23" s="1"/>
      <c r="GTZ23" s="1"/>
      <c r="GUA23" s="1"/>
      <c r="GUB23" s="1"/>
      <c r="GUC23" s="1"/>
      <c r="GUD23" s="1"/>
      <c r="GUE23" s="1"/>
      <c r="GUF23" s="1"/>
      <c r="GUG23" s="1"/>
      <c r="GUH23" s="1"/>
      <c r="GUI23" s="1"/>
      <c r="GUJ23" s="1"/>
      <c r="GUK23" s="1"/>
      <c r="GUL23" s="1"/>
      <c r="GUM23" s="1"/>
      <c r="GUN23" s="1"/>
      <c r="GUO23" s="1"/>
      <c r="GUP23" s="1"/>
      <c r="GUQ23" s="1"/>
      <c r="GUR23" s="1"/>
      <c r="GUS23" s="1"/>
      <c r="GUT23" s="1"/>
      <c r="GUU23" s="1"/>
      <c r="GUV23" s="1"/>
      <c r="GUW23" s="1"/>
      <c r="GUX23" s="1"/>
      <c r="GUY23" s="1"/>
      <c r="GUZ23" s="1"/>
      <c r="GVA23" s="1"/>
      <c r="GVB23" s="1"/>
      <c r="GVC23" s="1"/>
      <c r="GVD23" s="1"/>
      <c r="GVE23" s="1"/>
      <c r="GVF23" s="1"/>
      <c r="GVG23" s="1"/>
      <c r="GVH23" s="1"/>
      <c r="GVI23" s="1"/>
      <c r="GVJ23" s="1"/>
      <c r="GVK23" s="1"/>
      <c r="GVL23" s="1"/>
      <c r="GVM23" s="1"/>
      <c r="GVN23" s="1"/>
      <c r="GVO23" s="1"/>
      <c r="GVP23" s="1"/>
      <c r="GVQ23" s="1"/>
      <c r="GVR23" s="1"/>
      <c r="GVS23" s="1"/>
      <c r="GVT23" s="1"/>
      <c r="GVU23" s="1"/>
      <c r="GVV23" s="1"/>
      <c r="GVW23" s="1"/>
      <c r="GVX23" s="1"/>
      <c r="GVY23" s="1"/>
      <c r="GVZ23" s="1"/>
      <c r="GWA23" s="1"/>
      <c r="GWB23" s="1"/>
      <c r="GWC23" s="1"/>
      <c r="GWD23" s="1"/>
      <c r="GWE23" s="1"/>
      <c r="GWF23" s="1"/>
      <c r="GWG23" s="1"/>
      <c r="GWH23" s="1"/>
      <c r="GWI23" s="1"/>
      <c r="GWJ23" s="1"/>
      <c r="GWK23" s="1"/>
      <c r="GWL23" s="1"/>
      <c r="GWM23" s="1"/>
      <c r="GWN23" s="1"/>
      <c r="GWO23" s="1"/>
      <c r="GWP23" s="1"/>
      <c r="GWQ23" s="1"/>
      <c r="GWR23" s="1"/>
      <c r="GWS23" s="1"/>
      <c r="GWT23" s="1"/>
      <c r="GWU23" s="1"/>
      <c r="GWV23" s="1"/>
      <c r="GWW23" s="1"/>
      <c r="GWX23" s="1"/>
      <c r="GWY23" s="1"/>
      <c r="GWZ23" s="1"/>
      <c r="GXA23" s="1"/>
      <c r="GXB23" s="1"/>
      <c r="GXC23" s="1"/>
      <c r="GXD23" s="1"/>
      <c r="GXE23" s="1"/>
      <c r="GXF23" s="1"/>
      <c r="GXG23" s="1"/>
      <c r="GXH23" s="1"/>
      <c r="GXI23" s="1"/>
      <c r="GXJ23" s="1"/>
      <c r="GXK23" s="1"/>
      <c r="GXL23" s="1"/>
      <c r="GXM23" s="1"/>
      <c r="GXN23" s="1"/>
      <c r="GXO23" s="1"/>
      <c r="GXP23" s="1"/>
      <c r="GXQ23" s="1"/>
      <c r="GXR23" s="1"/>
      <c r="GXS23" s="1"/>
      <c r="GXT23" s="1"/>
      <c r="GXU23" s="1"/>
      <c r="GXV23" s="1"/>
      <c r="GXW23" s="1"/>
      <c r="GXX23" s="1"/>
      <c r="GXY23" s="1"/>
      <c r="GXZ23" s="1"/>
      <c r="GYA23" s="1"/>
      <c r="GYB23" s="1"/>
      <c r="GYC23" s="1"/>
      <c r="GYD23" s="1"/>
      <c r="GYE23" s="1"/>
      <c r="GYF23" s="1"/>
      <c r="GYG23" s="1"/>
      <c r="GYH23" s="1"/>
      <c r="GYI23" s="1"/>
      <c r="GYJ23" s="1"/>
      <c r="GYK23" s="1"/>
      <c r="GYL23" s="1"/>
      <c r="GYM23" s="1"/>
      <c r="GYN23" s="1"/>
      <c r="GYO23" s="1"/>
      <c r="GYP23" s="1"/>
      <c r="GYQ23" s="1"/>
      <c r="GYR23" s="1"/>
      <c r="GYS23" s="1"/>
      <c r="GYT23" s="1"/>
      <c r="GYU23" s="1"/>
      <c r="GYV23" s="1"/>
      <c r="GYW23" s="1"/>
      <c r="GYX23" s="1"/>
      <c r="GYY23" s="1"/>
      <c r="GYZ23" s="1"/>
      <c r="GZA23" s="1"/>
      <c r="GZB23" s="1"/>
      <c r="GZC23" s="1"/>
      <c r="GZD23" s="1"/>
      <c r="GZE23" s="1"/>
      <c r="GZF23" s="1"/>
      <c r="GZG23" s="1"/>
      <c r="GZH23" s="1"/>
      <c r="GZI23" s="1"/>
      <c r="GZJ23" s="1"/>
      <c r="GZK23" s="1"/>
      <c r="GZL23" s="1"/>
      <c r="GZM23" s="1"/>
      <c r="GZN23" s="1"/>
      <c r="GZO23" s="1"/>
      <c r="GZP23" s="1"/>
      <c r="GZQ23" s="1"/>
      <c r="GZR23" s="1"/>
      <c r="GZS23" s="1"/>
      <c r="GZT23" s="1"/>
      <c r="GZU23" s="1"/>
      <c r="GZV23" s="1"/>
      <c r="GZW23" s="1"/>
      <c r="GZX23" s="1"/>
      <c r="GZY23" s="1"/>
      <c r="GZZ23" s="1"/>
      <c r="HAA23" s="1"/>
      <c r="HAB23" s="1"/>
      <c r="HAC23" s="1"/>
      <c r="HAD23" s="1"/>
      <c r="HAE23" s="1"/>
      <c r="HAF23" s="1"/>
      <c r="HAG23" s="1"/>
      <c r="HAH23" s="1"/>
      <c r="HAI23" s="1"/>
      <c r="HAJ23" s="1"/>
      <c r="HAK23" s="1"/>
      <c r="HAL23" s="1"/>
      <c r="HAM23" s="1"/>
      <c r="HAN23" s="1"/>
      <c r="HAO23" s="1"/>
      <c r="HAP23" s="1"/>
      <c r="HAQ23" s="1"/>
      <c r="HAR23" s="1"/>
      <c r="HAS23" s="1"/>
      <c r="HAT23" s="1"/>
      <c r="HAU23" s="1"/>
      <c r="HAV23" s="1"/>
      <c r="HAW23" s="1"/>
      <c r="HAX23" s="1"/>
      <c r="HAY23" s="1"/>
      <c r="HAZ23" s="1"/>
      <c r="HBA23" s="1"/>
      <c r="HBB23" s="1"/>
      <c r="HBC23" s="1"/>
      <c r="HBD23" s="1"/>
      <c r="HBE23" s="1"/>
      <c r="HBF23" s="1"/>
      <c r="HBG23" s="1"/>
      <c r="HBH23" s="1"/>
      <c r="HBI23" s="1"/>
      <c r="HBJ23" s="1"/>
      <c r="HBK23" s="1"/>
      <c r="HBL23" s="1"/>
      <c r="HBM23" s="1"/>
      <c r="HBN23" s="1"/>
      <c r="HBO23" s="1"/>
      <c r="HBP23" s="1"/>
      <c r="HBQ23" s="1"/>
      <c r="HBR23" s="1"/>
      <c r="HBS23" s="1"/>
      <c r="HBT23" s="1"/>
      <c r="HBU23" s="1"/>
      <c r="HBV23" s="1"/>
      <c r="HBW23" s="1"/>
      <c r="HBX23" s="1"/>
      <c r="HBY23" s="1"/>
      <c r="HBZ23" s="1"/>
      <c r="HCA23" s="1"/>
      <c r="HCB23" s="1"/>
      <c r="HCC23" s="1"/>
      <c r="HCD23" s="1"/>
      <c r="HCE23" s="1"/>
      <c r="HCF23" s="1"/>
      <c r="HCG23" s="1"/>
      <c r="HCH23" s="1"/>
      <c r="HCI23" s="1"/>
      <c r="HCJ23" s="1"/>
      <c r="HCK23" s="1"/>
      <c r="HCL23" s="1"/>
      <c r="HCM23" s="1"/>
      <c r="HCN23" s="1"/>
      <c r="HCO23" s="1"/>
      <c r="HCP23" s="1"/>
      <c r="HCQ23" s="1"/>
      <c r="HCR23" s="1"/>
      <c r="HCS23" s="1"/>
      <c r="HCT23" s="1"/>
      <c r="HCU23" s="1"/>
      <c r="HCV23" s="1"/>
      <c r="HCW23" s="1"/>
      <c r="HCX23" s="1"/>
      <c r="HCY23" s="1"/>
      <c r="HCZ23" s="1"/>
      <c r="HDA23" s="1"/>
      <c r="HDB23" s="1"/>
      <c r="HDC23" s="1"/>
      <c r="HDD23" s="1"/>
      <c r="HDE23" s="1"/>
      <c r="HDF23" s="1"/>
      <c r="HDG23" s="1"/>
      <c r="HDH23" s="1"/>
      <c r="HDI23" s="1"/>
      <c r="HDJ23" s="1"/>
      <c r="HDK23" s="1"/>
      <c r="HDL23" s="1"/>
      <c r="HDM23" s="1"/>
      <c r="HDN23" s="1"/>
      <c r="HDO23" s="1"/>
      <c r="HDP23" s="1"/>
      <c r="HDQ23" s="1"/>
      <c r="HDR23" s="1"/>
      <c r="HDS23" s="1"/>
      <c r="HDT23" s="1"/>
      <c r="HDU23" s="1"/>
      <c r="HDV23" s="1"/>
      <c r="HDW23" s="1"/>
      <c r="HDX23" s="1"/>
      <c r="HDY23" s="1"/>
      <c r="HDZ23" s="1"/>
      <c r="HEA23" s="1"/>
      <c r="HEB23" s="1"/>
      <c r="HEC23" s="1"/>
      <c r="HED23" s="1"/>
      <c r="HEE23" s="1"/>
      <c r="HEF23" s="1"/>
      <c r="HEG23" s="1"/>
      <c r="HEH23" s="1"/>
      <c r="HEI23" s="1"/>
      <c r="HEJ23" s="1"/>
      <c r="HEK23" s="1"/>
      <c r="HEL23" s="1"/>
      <c r="HEM23" s="1"/>
      <c r="HEN23" s="1"/>
      <c r="HEO23" s="1"/>
      <c r="HEP23" s="1"/>
      <c r="HEQ23" s="1"/>
      <c r="HER23" s="1"/>
      <c r="HES23" s="1"/>
      <c r="HET23" s="1"/>
      <c r="HEU23" s="1"/>
      <c r="HEV23" s="1"/>
      <c r="HEW23" s="1"/>
      <c r="HEX23" s="1"/>
      <c r="HEY23" s="1"/>
      <c r="HEZ23" s="1"/>
      <c r="HFA23" s="1"/>
      <c r="HFB23" s="1"/>
      <c r="HFC23" s="1"/>
      <c r="HFD23" s="1"/>
      <c r="HFE23" s="1"/>
      <c r="HFF23" s="1"/>
      <c r="HFG23" s="1"/>
      <c r="HFH23" s="1"/>
      <c r="HFI23" s="1"/>
      <c r="HFJ23" s="1"/>
      <c r="HFK23" s="1"/>
      <c r="HFL23" s="1"/>
      <c r="HFM23" s="1"/>
      <c r="HFN23" s="1"/>
      <c r="HFO23" s="1"/>
      <c r="HFP23" s="1"/>
      <c r="HFQ23" s="1"/>
      <c r="HFR23" s="1"/>
      <c r="HFS23" s="1"/>
      <c r="HFT23" s="1"/>
      <c r="HFU23" s="1"/>
      <c r="HFV23" s="1"/>
      <c r="HFW23" s="1"/>
      <c r="HFX23" s="1"/>
      <c r="HFY23" s="1"/>
      <c r="HFZ23" s="1"/>
      <c r="HGA23" s="1"/>
      <c r="HGB23" s="1"/>
      <c r="HGC23" s="1"/>
      <c r="HGD23" s="1"/>
      <c r="HGE23" s="1"/>
      <c r="HGF23" s="1"/>
      <c r="HGG23" s="1"/>
      <c r="HGH23" s="1"/>
      <c r="HGI23" s="1"/>
      <c r="HGJ23" s="1"/>
      <c r="HGK23" s="1"/>
      <c r="HGL23" s="1"/>
      <c r="HGM23" s="1"/>
      <c r="HGN23" s="1"/>
      <c r="HGO23" s="1"/>
      <c r="HGP23" s="1"/>
      <c r="HGQ23" s="1"/>
      <c r="HGR23" s="1"/>
      <c r="HGS23" s="1"/>
      <c r="HGT23" s="1"/>
      <c r="HGU23" s="1"/>
      <c r="HGV23" s="1"/>
      <c r="HGW23" s="1"/>
      <c r="HGX23" s="1"/>
      <c r="HGY23" s="1"/>
      <c r="HGZ23" s="1"/>
      <c r="HHA23" s="1"/>
      <c r="HHB23" s="1"/>
      <c r="HHC23" s="1"/>
      <c r="HHD23" s="1"/>
      <c r="HHE23" s="1"/>
      <c r="HHF23" s="1"/>
      <c r="HHG23" s="1"/>
      <c r="HHH23" s="1"/>
      <c r="HHI23" s="1"/>
      <c r="HHJ23" s="1"/>
      <c r="HHK23" s="1"/>
      <c r="HHL23" s="1"/>
      <c r="HHM23" s="1"/>
      <c r="HHN23" s="1"/>
      <c r="HHO23" s="1"/>
      <c r="HHP23" s="1"/>
      <c r="HHQ23" s="1"/>
      <c r="HHR23" s="1"/>
      <c r="HHS23" s="1"/>
      <c r="HHT23" s="1"/>
      <c r="HHU23" s="1"/>
      <c r="HHV23" s="1"/>
      <c r="HHW23" s="1"/>
      <c r="HHX23" s="1"/>
      <c r="HHY23" s="1"/>
      <c r="HHZ23" s="1"/>
      <c r="HIA23" s="1"/>
      <c r="HIB23" s="1"/>
      <c r="HIC23" s="1"/>
      <c r="HID23" s="1"/>
      <c r="HIE23" s="1"/>
      <c r="HIF23" s="1"/>
      <c r="HIG23" s="1"/>
      <c r="HIH23" s="1"/>
      <c r="HII23" s="1"/>
      <c r="HIJ23" s="1"/>
      <c r="HIK23" s="1"/>
      <c r="HIL23" s="1"/>
      <c r="HIM23" s="1"/>
      <c r="HIN23" s="1"/>
      <c r="HIO23" s="1"/>
      <c r="HIP23" s="1"/>
      <c r="HIQ23" s="1"/>
      <c r="HIR23" s="1"/>
      <c r="HIS23" s="1"/>
      <c r="HIT23" s="1"/>
      <c r="HIU23" s="1"/>
      <c r="HIV23" s="1"/>
      <c r="HIW23" s="1"/>
      <c r="HIX23" s="1"/>
      <c r="HIY23" s="1"/>
      <c r="HIZ23" s="1"/>
      <c r="HJA23" s="1"/>
      <c r="HJB23" s="1"/>
      <c r="HJC23" s="1"/>
      <c r="HJD23" s="1"/>
      <c r="HJE23" s="1"/>
      <c r="HJF23" s="1"/>
      <c r="HJG23" s="1"/>
      <c r="HJH23" s="1"/>
      <c r="HJI23" s="1"/>
      <c r="HJJ23" s="1"/>
      <c r="HJK23" s="1"/>
      <c r="HJL23" s="1"/>
      <c r="HJM23" s="1"/>
      <c r="HJN23" s="1"/>
      <c r="HJO23" s="1"/>
      <c r="HJP23" s="1"/>
      <c r="HJQ23" s="1"/>
      <c r="HJR23" s="1"/>
      <c r="HJS23" s="1"/>
      <c r="HJT23" s="1"/>
      <c r="HJU23" s="1"/>
      <c r="HJV23" s="1"/>
      <c r="HJW23" s="1"/>
      <c r="HJX23" s="1"/>
      <c r="HJY23" s="1"/>
      <c r="HJZ23" s="1"/>
      <c r="HKA23" s="1"/>
      <c r="HKB23" s="1"/>
      <c r="HKC23" s="1"/>
      <c r="HKD23" s="1"/>
      <c r="HKE23" s="1"/>
      <c r="HKF23" s="1"/>
      <c r="HKG23" s="1"/>
      <c r="HKH23" s="1"/>
      <c r="HKI23" s="1"/>
      <c r="HKJ23" s="1"/>
      <c r="HKK23" s="1"/>
      <c r="HKL23" s="1"/>
      <c r="HKM23" s="1"/>
      <c r="HKN23" s="1"/>
      <c r="HKO23" s="1"/>
      <c r="HKP23" s="1"/>
      <c r="HKQ23" s="1"/>
      <c r="HKR23" s="1"/>
      <c r="HKS23" s="1"/>
      <c r="HKT23" s="1"/>
      <c r="HKU23" s="1"/>
      <c r="HKV23" s="1"/>
      <c r="HKW23" s="1"/>
      <c r="HKX23" s="1"/>
      <c r="HKY23" s="1"/>
      <c r="HKZ23" s="1"/>
      <c r="HLA23" s="1"/>
      <c r="HLB23" s="1"/>
      <c r="HLC23" s="1"/>
      <c r="HLD23" s="1"/>
      <c r="HLE23" s="1"/>
      <c r="HLF23" s="1"/>
      <c r="HLG23" s="1"/>
      <c r="HLH23" s="1"/>
      <c r="HLI23" s="1"/>
      <c r="HLJ23" s="1"/>
      <c r="HLK23" s="1"/>
      <c r="HLL23" s="1"/>
      <c r="HLM23" s="1"/>
      <c r="HLN23" s="1"/>
      <c r="HLO23" s="1"/>
      <c r="HLP23" s="1"/>
      <c r="HLQ23" s="1"/>
      <c r="HLR23" s="1"/>
      <c r="HLS23" s="1"/>
      <c r="HLT23" s="1"/>
      <c r="HLU23" s="1"/>
      <c r="HLV23" s="1"/>
      <c r="HLW23" s="1"/>
      <c r="HLX23" s="1"/>
      <c r="HLY23" s="1"/>
      <c r="HLZ23" s="1"/>
      <c r="HMA23" s="1"/>
      <c r="HMB23" s="1"/>
      <c r="HMC23" s="1"/>
      <c r="HMD23" s="1"/>
      <c r="HME23" s="1"/>
      <c r="HMF23" s="1"/>
      <c r="HMG23" s="1"/>
      <c r="HMH23" s="1"/>
      <c r="HMI23" s="1"/>
      <c r="HMJ23" s="1"/>
      <c r="HMK23" s="1"/>
      <c r="HML23" s="1"/>
      <c r="HMM23" s="1"/>
      <c r="HMN23" s="1"/>
      <c r="HMO23" s="1"/>
      <c r="HMP23" s="1"/>
      <c r="HMQ23" s="1"/>
      <c r="HMR23" s="1"/>
      <c r="HMS23" s="1"/>
      <c r="HMT23" s="1"/>
      <c r="HMU23" s="1"/>
      <c r="HMV23" s="1"/>
      <c r="HMW23" s="1"/>
      <c r="HMX23" s="1"/>
      <c r="HMY23" s="1"/>
      <c r="HMZ23" s="1"/>
      <c r="HNA23" s="1"/>
      <c r="HNB23" s="1"/>
      <c r="HNC23" s="1"/>
      <c r="HND23" s="1"/>
      <c r="HNE23" s="1"/>
      <c r="HNF23" s="1"/>
      <c r="HNG23" s="1"/>
      <c r="HNH23" s="1"/>
      <c r="HNI23" s="1"/>
      <c r="HNJ23" s="1"/>
      <c r="HNK23" s="1"/>
      <c r="HNL23" s="1"/>
      <c r="HNM23" s="1"/>
      <c r="HNN23" s="1"/>
      <c r="HNO23" s="1"/>
      <c r="HNP23" s="1"/>
      <c r="HNQ23" s="1"/>
      <c r="HNR23" s="1"/>
      <c r="HNS23" s="1"/>
      <c r="HNT23" s="1"/>
      <c r="HNU23" s="1"/>
      <c r="HNV23" s="1"/>
      <c r="HNW23" s="1"/>
      <c r="HNX23" s="1"/>
      <c r="HNY23" s="1"/>
      <c r="HNZ23" s="1"/>
      <c r="HOA23" s="1"/>
      <c r="HOB23" s="1"/>
      <c r="HOC23" s="1"/>
      <c r="HOD23" s="1"/>
      <c r="HOE23" s="1"/>
      <c r="HOF23" s="1"/>
      <c r="HOG23" s="1"/>
      <c r="HOH23" s="1"/>
      <c r="HOI23" s="1"/>
      <c r="HOJ23" s="1"/>
      <c r="HOK23" s="1"/>
      <c r="HOL23" s="1"/>
      <c r="HOM23" s="1"/>
      <c r="HON23" s="1"/>
      <c r="HOO23" s="1"/>
      <c r="HOP23" s="1"/>
      <c r="HOQ23" s="1"/>
      <c r="HOR23" s="1"/>
      <c r="HOS23" s="1"/>
      <c r="HOT23" s="1"/>
      <c r="HOU23" s="1"/>
      <c r="HOV23" s="1"/>
      <c r="HOW23" s="1"/>
      <c r="HOX23" s="1"/>
      <c r="HOY23" s="1"/>
      <c r="HOZ23" s="1"/>
      <c r="HPA23" s="1"/>
      <c r="HPB23" s="1"/>
      <c r="HPC23" s="1"/>
      <c r="HPD23" s="1"/>
      <c r="HPE23" s="1"/>
      <c r="HPF23" s="1"/>
      <c r="HPG23" s="1"/>
      <c r="HPH23" s="1"/>
      <c r="HPI23" s="1"/>
      <c r="HPJ23" s="1"/>
      <c r="HPK23" s="1"/>
      <c r="HPL23" s="1"/>
      <c r="HPM23" s="1"/>
      <c r="HPN23" s="1"/>
      <c r="HPO23" s="1"/>
      <c r="HPP23" s="1"/>
      <c r="HPQ23" s="1"/>
      <c r="HPR23" s="1"/>
      <c r="HPS23" s="1"/>
      <c r="HPT23" s="1"/>
      <c r="HPU23" s="1"/>
      <c r="HPV23" s="1"/>
      <c r="HPW23" s="1"/>
      <c r="HPX23" s="1"/>
      <c r="HPY23" s="1"/>
      <c r="HPZ23" s="1"/>
      <c r="HQA23" s="1"/>
      <c r="HQB23" s="1"/>
      <c r="HQC23" s="1"/>
      <c r="HQD23" s="1"/>
      <c r="HQE23" s="1"/>
      <c r="HQF23" s="1"/>
      <c r="HQG23" s="1"/>
      <c r="HQH23" s="1"/>
      <c r="HQI23" s="1"/>
      <c r="HQJ23" s="1"/>
      <c r="HQK23" s="1"/>
      <c r="HQL23" s="1"/>
      <c r="HQM23" s="1"/>
      <c r="HQN23" s="1"/>
      <c r="HQO23" s="1"/>
      <c r="HQP23" s="1"/>
      <c r="HQQ23" s="1"/>
      <c r="HQR23" s="1"/>
      <c r="HQS23" s="1"/>
      <c r="HQT23" s="1"/>
      <c r="HQU23" s="1"/>
      <c r="HQV23" s="1"/>
      <c r="HQW23" s="1"/>
      <c r="HQX23" s="1"/>
      <c r="HQY23" s="1"/>
      <c r="HQZ23" s="1"/>
      <c r="HRA23" s="1"/>
      <c r="HRB23" s="1"/>
      <c r="HRC23" s="1"/>
      <c r="HRD23" s="1"/>
      <c r="HRE23" s="1"/>
      <c r="HRF23" s="1"/>
      <c r="HRG23" s="1"/>
      <c r="HRH23" s="1"/>
      <c r="HRI23" s="1"/>
      <c r="HRJ23" s="1"/>
      <c r="HRK23" s="1"/>
      <c r="HRL23" s="1"/>
      <c r="HRM23" s="1"/>
      <c r="HRN23" s="1"/>
      <c r="HRO23" s="1"/>
      <c r="HRP23" s="1"/>
      <c r="HRQ23" s="1"/>
      <c r="HRR23" s="1"/>
      <c r="HRS23" s="1"/>
      <c r="HRT23" s="1"/>
      <c r="HRU23" s="1"/>
      <c r="HRV23" s="1"/>
      <c r="HRW23" s="1"/>
      <c r="HRX23" s="1"/>
      <c r="HRY23" s="1"/>
      <c r="HRZ23" s="1"/>
      <c r="HSA23" s="1"/>
      <c r="HSB23" s="1"/>
      <c r="HSC23" s="1"/>
      <c r="HSD23" s="1"/>
      <c r="HSE23" s="1"/>
      <c r="HSF23" s="1"/>
      <c r="HSG23" s="1"/>
      <c r="HSH23" s="1"/>
      <c r="HSI23" s="1"/>
      <c r="HSJ23" s="1"/>
      <c r="HSK23" s="1"/>
      <c r="HSL23" s="1"/>
      <c r="HSM23" s="1"/>
      <c r="HSN23" s="1"/>
      <c r="HSO23" s="1"/>
      <c r="HSP23" s="1"/>
      <c r="HSQ23" s="1"/>
      <c r="HSR23" s="1"/>
      <c r="HSS23" s="1"/>
      <c r="HST23" s="1"/>
      <c r="HSU23" s="1"/>
      <c r="HSV23" s="1"/>
      <c r="HSW23" s="1"/>
      <c r="HSX23" s="1"/>
      <c r="HSY23" s="1"/>
      <c r="HSZ23" s="1"/>
      <c r="HTA23" s="1"/>
      <c r="HTB23" s="1"/>
      <c r="HTC23" s="1"/>
      <c r="HTD23" s="1"/>
      <c r="HTE23" s="1"/>
      <c r="HTF23" s="1"/>
      <c r="HTG23" s="1"/>
      <c r="HTH23" s="1"/>
      <c r="HTI23" s="1"/>
      <c r="HTJ23" s="1"/>
      <c r="HTK23" s="1"/>
      <c r="HTL23" s="1"/>
      <c r="HTM23" s="1"/>
      <c r="HTN23" s="1"/>
      <c r="HTO23" s="1"/>
      <c r="HTP23" s="1"/>
      <c r="HTQ23" s="1"/>
      <c r="HTR23" s="1"/>
      <c r="HTS23" s="1"/>
      <c r="HTT23" s="1"/>
      <c r="HTU23" s="1"/>
      <c r="HTV23" s="1"/>
      <c r="HTW23" s="1"/>
      <c r="HTX23" s="1"/>
      <c r="HTY23" s="1"/>
      <c r="HTZ23" s="1"/>
      <c r="HUA23" s="1"/>
      <c r="HUB23" s="1"/>
      <c r="HUC23" s="1"/>
      <c r="HUD23" s="1"/>
      <c r="HUE23" s="1"/>
      <c r="HUF23" s="1"/>
      <c r="HUG23" s="1"/>
      <c r="HUH23" s="1"/>
      <c r="HUI23" s="1"/>
      <c r="HUJ23" s="1"/>
      <c r="HUK23" s="1"/>
      <c r="HUL23" s="1"/>
      <c r="HUM23" s="1"/>
      <c r="HUN23" s="1"/>
      <c r="HUO23" s="1"/>
      <c r="HUP23" s="1"/>
      <c r="HUQ23" s="1"/>
      <c r="HUR23" s="1"/>
      <c r="HUS23" s="1"/>
      <c r="HUT23" s="1"/>
      <c r="HUU23" s="1"/>
      <c r="HUV23" s="1"/>
      <c r="HUW23" s="1"/>
      <c r="HUX23" s="1"/>
      <c r="HUY23" s="1"/>
      <c r="HUZ23" s="1"/>
      <c r="HVA23" s="1"/>
      <c r="HVB23" s="1"/>
      <c r="HVC23" s="1"/>
      <c r="HVD23" s="1"/>
      <c r="HVE23" s="1"/>
      <c r="HVF23" s="1"/>
      <c r="HVG23" s="1"/>
      <c r="HVH23" s="1"/>
      <c r="HVI23" s="1"/>
      <c r="HVJ23" s="1"/>
      <c r="HVK23" s="1"/>
      <c r="HVL23" s="1"/>
      <c r="HVM23" s="1"/>
      <c r="HVN23" s="1"/>
      <c r="HVO23" s="1"/>
      <c r="HVP23" s="1"/>
      <c r="HVQ23" s="1"/>
      <c r="HVR23" s="1"/>
      <c r="HVS23" s="1"/>
      <c r="HVT23" s="1"/>
      <c r="HVU23" s="1"/>
      <c r="HVV23" s="1"/>
      <c r="HVW23" s="1"/>
      <c r="HVX23" s="1"/>
      <c r="HVY23" s="1"/>
      <c r="HVZ23" s="1"/>
      <c r="HWA23" s="1"/>
      <c r="HWB23" s="1"/>
      <c r="HWC23" s="1"/>
      <c r="HWD23" s="1"/>
      <c r="HWE23" s="1"/>
      <c r="HWF23" s="1"/>
      <c r="HWG23" s="1"/>
      <c r="HWH23" s="1"/>
      <c r="HWI23" s="1"/>
      <c r="HWJ23" s="1"/>
      <c r="HWK23" s="1"/>
      <c r="HWL23" s="1"/>
      <c r="HWM23" s="1"/>
      <c r="HWN23" s="1"/>
      <c r="HWO23" s="1"/>
      <c r="HWP23" s="1"/>
      <c r="HWQ23" s="1"/>
      <c r="HWR23" s="1"/>
      <c r="HWS23" s="1"/>
      <c r="HWT23" s="1"/>
      <c r="HWU23" s="1"/>
      <c r="HWV23" s="1"/>
      <c r="HWW23" s="1"/>
      <c r="HWX23" s="1"/>
      <c r="HWY23" s="1"/>
      <c r="HWZ23" s="1"/>
      <c r="HXA23" s="1"/>
      <c r="HXB23" s="1"/>
      <c r="HXC23" s="1"/>
      <c r="HXD23" s="1"/>
      <c r="HXE23" s="1"/>
      <c r="HXF23" s="1"/>
      <c r="HXG23" s="1"/>
      <c r="HXH23" s="1"/>
      <c r="HXI23" s="1"/>
      <c r="HXJ23" s="1"/>
      <c r="HXK23" s="1"/>
      <c r="HXL23" s="1"/>
      <c r="HXM23" s="1"/>
      <c r="HXN23" s="1"/>
      <c r="HXO23" s="1"/>
      <c r="HXP23" s="1"/>
      <c r="HXQ23" s="1"/>
      <c r="HXR23" s="1"/>
      <c r="HXS23" s="1"/>
      <c r="HXT23" s="1"/>
      <c r="HXU23" s="1"/>
      <c r="HXV23" s="1"/>
      <c r="HXW23" s="1"/>
      <c r="HXX23" s="1"/>
      <c r="HXY23" s="1"/>
      <c r="HXZ23" s="1"/>
      <c r="HYA23" s="1"/>
      <c r="HYB23" s="1"/>
      <c r="HYC23" s="1"/>
      <c r="HYD23" s="1"/>
      <c r="HYE23" s="1"/>
      <c r="HYF23" s="1"/>
      <c r="HYG23" s="1"/>
      <c r="HYH23" s="1"/>
      <c r="HYI23" s="1"/>
      <c r="HYJ23" s="1"/>
      <c r="HYK23" s="1"/>
      <c r="HYL23" s="1"/>
      <c r="HYM23" s="1"/>
      <c r="HYN23" s="1"/>
      <c r="HYO23" s="1"/>
      <c r="HYP23" s="1"/>
      <c r="HYQ23" s="1"/>
      <c r="HYR23" s="1"/>
      <c r="HYS23" s="1"/>
      <c r="HYT23" s="1"/>
      <c r="HYU23" s="1"/>
      <c r="HYV23" s="1"/>
      <c r="HYW23" s="1"/>
      <c r="HYX23" s="1"/>
      <c r="HYY23" s="1"/>
      <c r="HYZ23" s="1"/>
      <c r="HZA23" s="1"/>
      <c r="HZB23" s="1"/>
      <c r="HZC23" s="1"/>
      <c r="HZD23" s="1"/>
      <c r="HZE23" s="1"/>
      <c r="HZF23" s="1"/>
      <c r="HZG23" s="1"/>
      <c r="HZH23" s="1"/>
      <c r="HZI23" s="1"/>
      <c r="HZJ23" s="1"/>
      <c r="HZK23" s="1"/>
      <c r="HZL23" s="1"/>
      <c r="HZM23" s="1"/>
      <c r="HZN23" s="1"/>
      <c r="HZO23" s="1"/>
      <c r="HZP23" s="1"/>
      <c r="HZQ23" s="1"/>
      <c r="HZR23" s="1"/>
      <c r="HZS23" s="1"/>
      <c r="HZT23" s="1"/>
      <c r="HZU23" s="1"/>
      <c r="HZV23" s="1"/>
      <c r="HZW23" s="1"/>
      <c r="HZX23" s="1"/>
      <c r="HZY23" s="1"/>
      <c r="HZZ23" s="1"/>
      <c r="IAA23" s="1"/>
      <c r="IAB23" s="1"/>
      <c r="IAC23" s="1"/>
      <c r="IAD23" s="1"/>
      <c r="IAE23" s="1"/>
      <c r="IAF23" s="1"/>
      <c r="IAG23" s="1"/>
      <c r="IAH23" s="1"/>
      <c r="IAI23" s="1"/>
      <c r="IAJ23" s="1"/>
      <c r="IAK23" s="1"/>
      <c r="IAL23" s="1"/>
      <c r="IAM23" s="1"/>
      <c r="IAN23" s="1"/>
      <c r="IAO23" s="1"/>
      <c r="IAP23" s="1"/>
      <c r="IAQ23" s="1"/>
      <c r="IAR23" s="1"/>
      <c r="IAS23" s="1"/>
      <c r="IAT23" s="1"/>
      <c r="IAU23" s="1"/>
      <c r="IAV23" s="1"/>
      <c r="IAW23" s="1"/>
      <c r="IAX23" s="1"/>
      <c r="IAY23" s="1"/>
      <c r="IAZ23" s="1"/>
      <c r="IBA23" s="1"/>
      <c r="IBB23" s="1"/>
      <c r="IBC23" s="1"/>
      <c r="IBD23" s="1"/>
      <c r="IBE23" s="1"/>
      <c r="IBF23" s="1"/>
      <c r="IBG23" s="1"/>
      <c r="IBH23" s="1"/>
      <c r="IBI23" s="1"/>
      <c r="IBJ23" s="1"/>
      <c r="IBK23" s="1"/>
      <c r="IBL23" s="1"/>
      <c r="IBM23" s="1"/>
      <c r="IBN23" s="1"/>
      <c r="IBO23" s="1"/>
      <c r="IBP23" s="1"/>
      <c r="IBQ23" s="1"/>
      <c r="IBR23" s="1"/>
      <c r="IBS23" s="1"/>
      <c r="IBT23" s="1"/>
      <c r="IBU23" s="1"/>
      <c r="IBV23" s="1"/>
      <c r="IBW23" s="1"/>
      <c r="IBX23" s="1"/>
      <c r="IBY23" s="1"/>
      <c r="IBZ23" s="1"/>
      <c r="ICA23" s="1"/>
      <c r="ICB23" s="1"/>
      <c r="ICC23" s="1"/>
      <c r="ICD23" s="1"/>
      <c r="ICE23" s="1"/>
      <c r="ICF23" s="1"/>
      <c r="ICG23" s="1"/>
      <c r="ICH23" s="1"/>
      <c r="ICI23" s="1"/>
      <c r="ICJ23" s="1"/>
      <c r="ICK23" s="1"/>
      <c r="ICL23" s="1"/>
      <c r="ICM23" s="1"/>
      <c r="ICN23" s="1"/>
      <c r="ICO23" s="1"/>
      <c r="ICP23" s="1"/>
      <c r="ICQ23" s="1"/>
      <c r="ICR23" s="1"/>
      <c r="ICS23" s="1"/>
      <c r="ICT23" s="1"/>
      <c r="ICU23" s="1"/>
      <c r="ICV23" s="1"/>
      <c r="ICW23" s="1"/>
      <c r="ICX23" s="1"/>
      <c r="ICY23" s="1"/>
      <c r="ICZ23" s="1"/>
      <c r="IDA23" s="1"/>
      <c r="IDB23" s="1"/>
      <c r="IDC23" s="1"/>
      <c r="IDD23" s="1"/>
      <c r="IDE23" s="1"/>
      <c r="IDF23" s="1"/>
      <c r="IDG23" s="1"/>
      <c r="IDH23" s="1"/>
      <c r="IDI23" s="1"/>
      <c r="IDJ23" s="1"/>
      <c r="IDK23" s="1"/>
      <c r="IDL23" s="1"/>
      <c r="IDM23" s="1"/>
      <c r="IDN23" s="1"/>
      <c r="IDO23" s="1"/>
      <c r="IDP23" s="1"/>
      <c r="IDQ23" s="1"/>
      <c r="IDR23" s="1"/>
      <c r="IDS23" s="1"/>
      <c r="IDT23" s="1"/>
      <c r="IDU23" s="1"/>
      <c r="IDV23" s="1"/>
      <c r="IDW23" s="1"/>
      <c r="IDX23" s="1"/>
      <c r="IDY23" s="1"/>
      <c r="IDZ23" s="1"/>
      <c r="IEA23" s="1"/>
      <c r="IEB23" s="1"/>
      <c r="IEC23" s="1"/>
      <c r="IED23" s="1"/>
      <c r="IEE23" s="1"/>
      <c r="IEF23" s="1"/>
      <c r="IEG23" s="1"/>
      <c r="IEH23" s="1"/>
      <c r="IEI23" s="1"/>
      <c r="IEJ23" s="1"/>
      <c r="IEK23" s="1"/>
      <c r="IEL23" s="1"/>
      <c r="IEM23" s="1"/>
      <c r="IEN23" s="1"/>
      <c r="IEO23" s="1"/>
      <c r="IEP23" s="1"/>
      <c r="IEQ23" s="1"/>
      <c r="IER23" s="1"/>
      <c r="IES23" s="1"/>
      <c r="IET23" s="1"/>
      <c r="IEU23" s="1"/>
      <c r="IEV23" s="1"/>
      <c r="IEW23" s="1"/>
      <c r="IEX23" s="1"/>
      <c r="IEY23" s="1"/>
      <c r="IEZ23" s="1"/>
      <c r="IFA23" s="1"/>
      <c r="IFB23" s="1"/>
      <c r="IFC23" s="1"/>
      <c r="IFD23" s="1"/>
      <c r="IFE23" s="1"/>
      <c r="IFF23" s="1"/>
      <c r="IFG23" s="1"/>
      <c r="IFH23" s="1"/>
      <c r="IFI23" s="1"/>
      <c r="IFJ23" s="1"/>
      <c r="IFK23" s="1"/>
      <c r="IFL23" s="1"/>
      <c r="IFM23" s="1"/>
      <c r="IFN23" s="1"/>
      <c r="IFO23" s="1"/>
      <c r="IFP23" s="1"/>
      <c r="IFQ23" s="1"/>
      <c r="IFR23" s="1"/>
      <c r="IFS23" s="1"/>
      <c r="IFT23" s="1"/>
      <c r="IFU23" s="1"/>
      <c r="IFV23" s="1"/>
      <c r="IFW23" s="1"/>
      <c r="IFX23" s="1"/>
      <c r="IFY23" s="1"/>
      <c r="IFZ23" s="1"/>
      <c r="IGA23" s="1"/>
      <c r="IGB23" s="1"/>
      <c r="IGC23" s="1"/>
      <c r="IGD23" s="1"/>
      <c r="IGE23" s="1"/>
      <c r="IGF23" s="1"/>
      <c r="IGG23" s="1"/>
      <c r="IGH23" s="1"/>
      <c r="IGI23" s="1"/>
      <c r="IGJ23" s="1"/>
      <c r="IGK23" s="1"/>
      <c r="IGL23" s="1"/>
      <c r="IGM23" s="1"/>
      <c r="IGN23" s="1"/>
      <c r="IGO23" s="1"/>
      <c r="IGP23" s="1"/>
      <c r="IGQ23" s="1"/>
      <c r="IGR23" s="1"/>
      <c r="IGS23" s="1"/>
      <c r="IGT23" s="1"/>
      <c r="IGU23" s="1"/>
      <c r="IGV23" s="1"/>
      <c r="IGW23" s="1"/>
      <c r="IGX23" s="1"/>
      <c r="IGY23" s="1"/>
      <c r="IGZ23" s="1"/>
      <c r="IHA23" s="1"/>
      <c r="IHB23" s="1"/>
      <c r="IHC23" s="1"/>
      <c r="IHD23" s="1"/>
      <c r="IHE23" s="1"/>
      <c r="IHF23" s="1"/>
      <c r="IHG23" s="1"/>
      <c r="IHH23" s="1"/>
      <c r="IHI23" s="1"/>
      <c r="IHJ23" s="1"/>
      <c r="IHK23" s="1"/>
      <c r="IHL23" s="1"/>
      <c r="IHM23" s="1"/>
      <c r="IHN23" s="1"/>
      <c r="IHO23" s="1"/>
      <c r="IHP23" s="1"/>
      <c r="IHQ23" s="1"/>
      <c r="IHR23" s="1"/>
      <c r="IHS23" s="1"/>
      <c r="IHT23" s="1"/>
      <c r="IHU23" s="1"/>
      <c r="IHV23" s="1"/>
      <c r="IHW23" s="1"/>
      <c r="IHX23" s="1"/>
      <c r="IHY23" s="1"/>
      <c r="IHZ23" s="1"/>
      <c r="IIA23" s="1"/>
      <c r="IIB23" s="1"/>
      <c r="IIC23" s="1"/>
      <c r="IID23" s="1"/>
      <c r="IIE23" s="1"/>
      <c r="IIF23" s="1"/>
      <c r="IIG23" s="1"/>
      <c r="IIH23" s="1"/>
      <c r="III23" s="1"/>
      <c r="IIJ23" s="1"/>
      <c r="IIK23" s="1"/>
      <c r="IIL23" s="1"/>
      <c r="IIM23" s="1"/>
      <c r="IIN23" s="1"/>
      <c r="IIO23" s="1"/>
      <c r="IIP23" s="1"/>
      <c r="IIQ23" s="1"/>
      <c r="IIR23" s="1"/>
      <c r="IIS23" s="1"/>
      <c r="IIT23" s="1"/>
      <c r="IIU23" s="1"/>
      <c r="IIV23" s="1"/>
      <c r="IIW23" s="1"/>
      <c r="IIX23" s="1"/>
      <c r="IIY23" s="1"/>
      <c r="IIZ23" s="1"/>
      <c r="IJA23" s="1"/>
      <c r="IJB23" s="1"/>
      <c r="IJC23" s="1"/>
      <c r="IJD23" s="1"/>
      <c r="IJE23" s="1"/>
      <c r="IJF23" s="1"/>
      <c r="IJG23" s="1"/>
      <c r="IJH23" s="1"/>
      <c r="IJI23" s="1"/>
      <c r="IJJ23" s="1"/>
      <c r="IJK23" s="1"/>
      <c r="IJL23" s="1"/>
      <c r="IJM23" s="1"/>
      <c r="IJN23" s="1"/>
      <c r="IJO23" s="1"/>
      <c r="IJP23" s="1"/>
      <c r="IJQ23" s="1"/>
      <c r="IJR23" s="1"/>
      <c r="IJS23" s="1"/>
      <c r="IJT23" s="1"/>
      <c r="IJU23" s="1"/>
      <c r="IJV23" s="1"/>
      <c r="IJW23" s="1"/>
      <c r="IJX23" s="1"/>
      <c r="IJY23" s="1"/>
      <c r="IJZ23" s="1"/>
      <c r="IKA23" s="1"/>
      <c r="IKB23" s="1"/>
      <c r="IKC23" s="1"/>
      <c r="IKD23" s="1"/>
      <c r="IKE23" s="1"/>
      <c r="IKF23" s="1"/>
      <c r="IKG23" s="1"/>
      <c r="IKH23" s="1"/>
      <c r="IKI23" s="1"/>
      <c r="IKJ23" s="1"/>
      <c r="IKK23" s="1"/>
      <c r="IKL23" s="1"/>
      <c r="IKM23" s="1"/>
      <c r="IKN23" s="1"/>
      <c r="IKO23" s="1"/>
      <c r="IKP23" s="1"/>
      <c r="IKQ23" s="1"/>
      <c r="IKR23" s="1"/>
      <c r="IKS23" s="1"/>
      <c r="IKT23" s="1"/>
      <c r="IKU23" s="1"/>
      <c r="IKV23" s="1"/>
      <c r="IKW23" s="1"/>
      <c r="IKX23" s="1"/>
      <c r="IKY23" s="1"/>
      <c r="IKZ23" s="1"/>
      <c r="ILA23" s="1"/>
      <c r="ILB23" s="1"/>
      <c r="ILC23" s="1"/>
      <c r="ILD23" s="1"/>
      <c r="ILE23" s="1"/>
      <c r="ILF23" s="1"/>
      <c r="ILG23" s="1"/>
      <c r="ILH23" s="1"/>
      <c r="ILI23" s="1"/>
      <c r="ILJ23" s="1"/>
      <c r="ILK23" s="1"/>
      <c r="ILL23" s="1"/>
      <c r="ILM23" s="1"/>
      <c r="ILN23" s="1"/>
      <c r="ILO23" s="1"/>
      <c r="ILP23" s="1"/>
      <c r="ILQ23" s="1"/>
      <c r="ILR23" s="1"/>
      <c r="ILS23" s="1"/>
      <c r="ILT23" s="1"/>
      <c r="ILU23" s="1"/>
      <c r="ILV23" s="1"/>
      <c r="ILW23" s="1"/>
      <c r="ILX23" s="1"/>
      <c r="ILY23" s="1"/>
      <c r="ILZ23" s="1"/>
      <c r="IMA23" s="1"/>
      <c r="IMB23" s="1"/>
      <c r="IMC23" s="1"/>
      <c r="IMD23" s="1"/>
      <c r="IME23" s="1"/>
      <c r="IMF23" s="1"/>
      <c r="IMG23" s="1"/>
      <c r="IMH23" s="1"/>
      <c r="IMI23" s="1"/>
      <c r="IMJ23" s="1"/>
      <c r="IMK23" s="1"/>
      <c r="IML23" s="1"/>
      <c r="IMM23" s="1"/>
      <c r="IMN23" s="1"/>
      <c r="IMO23" s="1"/>
      <c r="IMP23" s="1"/>
      <c r="IMQ23" s="1"/>
      <c r="IMR23" s="1"/>
      <c r="IMS23" s="1"/>
      <c r="IMT23" s="1"/>
      <c r="IMU23" s="1"/>
      <c r="IMV23" s="1"/>
      <c r="IMW23" s="1"/>
      <c r="IMX23" s="1"/>
      <c r="IMY23" s="1"/>
      <c r="IMZ23" s="1"/>
      <c r="INA23" s="1"/>
      <c r="INB23" s="1"/>
      <c r="INC23" s="1"/>
      <c r="IND23" s="1"/>
      <c r="INE23" s="1"/>
      <c r="INF23" s="1"/>
      <c r="ING23" s="1"/>
      <c r="INH23" s="1"/>
      <c r="INI23" s="1"/>
      <c r="INJ23" s="1"/>
      <c r="INK23" s="1"/>
      <c r="INL23" s="1"/>
      <c r="INM23" s="1"/>
      <c r="INN23" s="1"/>
      <c r="INO23" s="1"/>
      <c r="INP23" s="1"/>
      <c r="INQ23" s="1"/>
      <c r="INR23" s="1"/>
      <c r="INS23" s="1"/>
      <c r="INT23" s="1"/>
      <c r="INU23" s="1"/>
      <c r="INV23" s="1"/>
      <c r="INW23" s="1"/>
      <c r="INX23" s="1"/>
      <c r="INY23" s="1"/>
      <c r="INZ23" s="1"/>
      <c r="IOA23" s="1"/>
      <c r="IOB23" s="1"/>
      <c r="IOC23" s="1"/>
      <c r="IOD23" s="1"/>
      <c r="IOE23" s="1"/>
      <c r="IOF23" s="1"/>
      <c r="IOG23" s="1"/>
      <c r="IOH23" s="1"/>
      <c r="IOI23" s="1"/>
      <c r="IOJ23" s="1"/>
      <c r="IOK23" s="1"/>
      <c r="IOL23" s="1"/>
      <c r="IOM23" s="1"/>
      <c r="ION23" s="1"/>
      <c r="IOO23" s="1"/>
      <c r="IOP23" s="1"/>
      <c r="IOQ23" s="1"/>
      <c r="IOR23" s="1"/>
      <c r="IOS23" s="1"/>
      <c r="IOT23" s="1"/>
      <c r="IOU23" s="1"/>
      <c r="IOV23" s="1"/>
      <c r="IOW23" s="1"/>
      <c r="IOX23" s="1"/>
      <c r="IOY23" s="1"/>
      <c r="IOZ23" s="1"/>
      <c r="IPA23" s="1"/>
      <c r="IPB23" s="1"/>
      <c r="IPC23" s="1"/>
      <c r="IPD23" s="1"/>
      <c r="IPE23" s="1"/>
      <c r="IPF23" s="1"/>
      <c r="IPG23" s="1"/>
      <c r="IPH23" s="1"/>
      <c r="IPI23" s="1"/>
      <c r="IPJ23" s="1"/>
      <c r="IPK23" s="1"/>
      <c r="IPL23" s="1"/>
      <c r="IPM23" s="1"/>
      <c r="IPN23" s="1"/>
      <c r="IPO23" s="1"/>
      <c r="IPP23" s="1"/>
      <c r="IPQ23" s="1"/>
      <c r="IPR23" s="1"/>
      <c r="IPS23" s="1"/>
      <c r="IPT23" s="1"/>
      <c r="IPU23" s="1"/>
      <c r="IPV23" s="1"/>
      <c r="IPW23" s="1"/>
      <c r="IPX23" s="1"/>
      <c r="IPY23" s="1"/>
      <c r="IPZ23" s="1"/>
      <c r="IQA23" s="1"/>
      <c r="IQB23" s="1"/>
      <c r="IQC23" s="1"/>
      <c r="IQD23" s="1"/>
      <c r="IQE23" s="1"/>
      <c r="IQF23" s="1"/>
      <c r="IQG23" s="1"/>
      <c r="IQH23" s="1"/>
      <c r="IQI23" s="1"/>
      <c r="IQJ23" s="1"/>
      <c r="IQK23" s="1"/>
      <c r="IQL23" s="1"/>
      <c r="IQM23" s="1"/>
      <c r="IQN23" s="1"/>
      <c r="IQO23" s="1"/>
      <c r="IQP23" s="1"/>
      <c r="IQQ23" s="1"/>
      <c r="IQR23" s="1"/>
      <c r="IQS23" s="1"/>
      <c r="IQT23" s="1"/>
      <c r="IQU23" s="1"/>
      <c r="IQV23" s="1"/>
      <c r="IQW23" s="1"/>
      <c r="IQX23" s="1"/>
      <c r="IQY23" s="1"/>
      <c r="IQZ23" s="1"/>
      <c r="IRA23" s="1"/>
      <c r="IRB23" s="1"/>
      <c r="IRC23" s="1"/>
      <c r="IRD23" s="1"/>
      <c r="IRE23" s="1"/>
      <c r="IRF23" s="1"/>
      <c r="IRG23" s="1"/>
      <c r="IRH23" s="1"/>
      <c r="IRI23" s="1"/>
      <c r="IRJ23" s="1"/>
      <c r="IRK23" s="1"/>
      <c r="IRL23" s="1"/>
      <c r="IRM23" s="1"/>
      <c r="IRN23" s="1"/>
      <c r="IRO23" s="1"/>
      <c r="IRP23" s="1"/>
      <c r="IRQ23" s="1"/>
      <c r="IRR23" s="1"/>
      <c r="IRS23" s="1"/>
      <c r="IRT23" s="1"/>
      <c r="IRU23" s="1"/>
      <c r="IRV23" s="1"/>
      <c r="IRW23" s="1"/>
      <c r="IRX23" s="1"/>
      <c r="IRY23" s="1"/>
      <c r="IRZ23" s="1"/>
      <c r="ISA23" s="1"/>
      <c r="ISB23" s="1"/>
      <c r="ISC23" s="1"/>
      <c r="ISD23" s="1"/>
      <c r="ISE23" s="1"/>
      <c r="ISF23" s="1"/>
      <c r="ISG23" s="1"/>
      <c r="ISH23" s="1"/>
      <c r="ISI23" s="1"/>
      <c r="ISJ23" s="1"/>
      <c r="ISK23" s="1"/>
      <c r="ISL23" s="1"/>
      <c r="ISM23" s="1"/>
      <c r="ISN23" s="1"/>
      <c r="ISO23" s="1"/>
      <c r="ISP23" s="1"/>
      <c r="ISQ23" s="1"/>
      <c r="ISR23" s="1"/>
      <c r="ISS23" s="1"/>
      <c r="IST23" s="1"/>
      <c r="ISU23" s="1"/>
      <c r="ISV23" s="1"/>
      <c r="ISW23" s="1"/>
      <c r="ISX23" s="1"/>
      <c r="ISY23" s="1"/>
      <c r="ISZ23" s="1"/>
      <c r="ITA23" s="1"/>
      <c r="ITB23" s="1"/>
      <c r="ITC23" s="1"/>
      <c r="ITD23" s="1"/>
      <c r="ITE23" s="1"/>
      <c r="ITF23" s="1"/>
      <c r="ITG23" s="1"/>
      <c r="ITH23" s="1"/>
      <c r="ITI23" s="1"/>
      <c r="ITJ23" s="1"/>
      <c r="ITK23" s="1"/>
      <c r="ITL23" s="1"/>
      <c r="ITM23" s="1"/>
      <c r="ITN23" s="1"/>
      <c r="ITO23" s="1"/>
      <c r="ITP23" s="1"/>
      <c r="ITQ23" s="1"/>
      <c r="ITR23" s="1"/>
      <c r="ITS23" s="1"/>
      <c r="ITT23" s="1"/>
      <c r="ITU23" s="1"/>
      <c r="ITV23" s="1"/>
      <c r="ITW23" s="1"/>
      <c r="ITX23" s="1"/>
      <c r="ITY23" s="1"/>
      <c r="ITZ23" s="1"/>
      <c r="IUA23" s="1"/>
      <c r="IUB23" s="1"/>
      <c r="IUC23" s="1"/>
      <c r="IUD23" s="1"/>
      <c r="IUE23" s="1"/>
      <c r="IUF23" s="1"/>
      <c r="IUG23" s="1"/>
      <c r="IUH23" s="1"/>
      <c r="IUI23" s="1"/>
      <c r="IUJ23" s="1"/>
      <c r="IUK23" s="1"/>
      <c r="IUL23" s="1"/>
      <c r="IUM23" s="1"/>
      <c r="IUN23" s="1"/>
      <c r="IUO23" s="1"/>
      <c r="IUP23" s="1"/>
      <c r="IUQ23" s="1"/>
      <c r="IUR23" s="1"/>
      <c r="IUS23" s="1"/>
      <c r="IUT23" s="1"/>
      <c r="IUU23" s="1"/>
      <c r="IUV23" s="1"/>
      <c r="IUW23" s="1"/>
      <c r="IUX23" s="1"/>
      <c r="IUY23" s="1"/>
      <c r="IUZ23" s="1"/>
      <c r="IVA23" s="1"/>
      <c r="IVB23" s="1"/>
      <c r="IVC23" s="1"/>
      <c r="IVD23" s="1"/>
      <c r="IVE23" s="1"/>
      <c r="IVF23" s="1"/>
      <c r="IVG23" s="1"/>
      <c r="IVH23" s="1"/>
      <c r="IVI23" s="1"/>
      <c r="IVJ23" s="1"/>
      <c r="IVK23" s="1"/>
      <c r="IVL23" s="1"/>
      <c r="IVM23" s="1"/>
      <c r="IVN23" s="1"/>
      <c r="IVO23" s="1"/>
      <c r="IVP23" s="1"/>
      <c r="IVQ23" s="1"/>
      <c r="IVR23" s="1"/>
      <c r="IVS23" s="1"/>
      <c r="IVT23" s="1"/>
      <c r="IVU23" s="1"/>
      <c r="IVV23" s="1"/>
      <c r="IVW23" s="1"/>
      <c r="IVX23" s="1"/>
      <c r="IVY23" s="1"/>
      <c r="IVZ23" s="1"/>
      <c r="IWA23" s="1"/>
      <c r="IWB23" s="1"/>
      <c r="IWC23" s="1"/>
      <c r="IWD23" s="1"/>
      <c r="IWE23" s="1"/>
      <c r="IWF23" s="1"/>
      <c r="IWG23" s="1"/>
      <c r="IWH23" s="1"/>
      <c r="IWI23" s="1"/>
      <c r="IWJ23" s="1"/>
      <c r="IWK23" s="1"/>
      <c r="IWL23" s="1"/>
      <c r="IWM23" s="1"/>
      <c r="IWN23" s="1"/>
      <c r="IWO23" s="1"/>
      <c r="IWP23" s="1"/>
      <c r="IWQ23" s="1"/>
      <c r="IWR23" s="1"/>
      <c r="IWS23" s="1"/>
      <c r="IWT23" s="1"/>
      <c r="IWU23" s="1"/>
      <c r="IWV23" s="1"/>
      <c r="IWW23" s="1"/>
      <c r="IWX23" s="1"/>
      <c r="IWY23" s="1"/>
      <c r="IWZ23" s="1"/>
      <c r="IXA23" s="1"/>
      <c r="IXB23" s="1"/>
      <c r="IXC23" s="1"/>
      <c r="IXD23" s="1"/>
      <c r="IXE23" s="1"/>
      <c r="IXF23" s="1"/>
      <c r="IXG23" s="1"/>
      <c r="IXH23" s="1"/>
      <c r="IXI23" s="1"/>
      <c r="IXJ23" s="1"/>
      <c r="IXK23" s="1"/>
      <c r="IXL23" s="1"/>
      <c r="IXM23" s="1"/>
      <c r="IXN23" s="1"/>
      <c r="IXO23" s="1"/>
      <c r="IXP23" s="1"/>
      <c r="IXQ23" s="1"/>
      <c r="IXR23" s="1"/>
      <c r="IXS23" s="1"/>
      <c r="IXT23" s="1"/>
      <c r="IXU23" s="1"/>
      <c r="IXV23" s="1"/>
      <c r="IXW23" s="1"/>
      <c r="IXX23" s="1"/>
      <c r="IXY23" s="1"/>
      <c r="IXZ23" s="1"/>
      <c r="IYA23" s="1"/>
      <c r="IYB23" s="1"/>
      <c r="IYC23" s="1"/>
      <c r="IYD23" s="1"/>
      <c r="IYE23" s="1"/>
      <c r="IYF23" s="1"/>
      <c r="IYG23" s="1"/>
      <c r="IYH23" s="1"/>
      <c r="IYI23" s="1"/>
      <c r="IYJ23" s="1"/>
      <c r="IYK23" s="1"/>
      <c r="IYL23" s="1"/>
      <c r="IYM23" s="1"/>
      <c r="IYN23" s="1"/>
      <c r="IYO23" s="1"/>
      <c r="IYP23" s="1"/>
      <c r="IYQ23" s="1"/>
      <c r="IYR23" s="1"/>
      <c r="IYS23" s="1"/>
      <c r="IYT23" s="1"/>
      <c r="IYU23" s="1"/>
      <c r="IYV23" s="1"/>
      <c r="IYW23" s="1"/>
      <c r="IYX23" s="1"/>
      <c r="IYY23" s="1"/>
      <c r="IYZ23" s="1"/>
      <c r="IZA23" s="1"/>
      <c r="IZB23" s="1"/>
      <c r="IZC23" s="1"/>
      <c r="IZD23" s="1"/>
      <c r="IZE23" s="1"/>
      <c r="IZF23" s="1"/>
      <c r="IZG23" s="1"/>
      <c r="IZH23" s="1"/>
      <c r="IZI23" s="1"/>
      <c r="IZJ23" s="1"/>
      <c r="IZK23" s="1"/>
      <c r="IZL23" s="1"/>
      <c r="IZM23" s="1"/>
      <c r="IZN23" s="1"/>
      <c r="IZO23" s="1"/>
      <c r="IZP23" s="1"/>
      <c r="IZQ23" s="1"/>
      <c r="IZR23" s="1"/>
      <c r="IZS23" s="1"/>
      <c r="IZT23" s="1"/>
      <c r="IZU23" s="1"/>
      <c r="IZV23" s="1"/>
      <c r="IZW23" s="1"/>
      <c r="IZX23" s="1"/>
      <c r="IZY23" s="1"/>
      <c r="IZZ23" s="1"/>
      <c r="JAA23" s="1"/>
      <c r="JAB23" s="1"/>
      <c r="JAC23" s="1"/>
      <c r="JAD23" s="1"/>
      <c r="JAE23" s="1"/>
      <c r="JAF23" s="1"/>
      <c r="JAG23" s="1"/>
      <c r="JAH23" s="1"/>
      <c r="JAI23" s="1"/>
      <c r="JAJ23" s="1"/>
      <c r="JAK23" s="1"/>
      <c r="JAL23" s="1"/>
      <c r="JAM23" s="1"/>
      <c r="JAN23" s="1"/>
      <c r="JAO23" s="1"/>
      <c r="JAP23" s="1"/>
      <c r="JAQ23" s="1"/>
      <c r="JAR23" s="1"/>
      <c r="JAS23" s="1"/>
      <c r="JAT23" s="1"/>
      <c r="JAU23" s="1"/>
      <c r="JAV23" s="1"/>
      <c r="JAW23" s="1"/>
      <c r="JAX23" s="1"/>
      <c r="JAY23" s="1"/>
      <c r="JAZ23" s="1"/>
      <c r="JBA23" s="1"/>
      <c r="JBB23" s="1"/>
      <c r="JBC23" s="1"/>
      <c r="JBD23" s="1"/>
      <c r="JBE23" s="1"/>
      <c r="JBF23" s="1"/>
      <c r="JBG23" s="1"/>
      <c r="JBH23" s="1"/>
      <c r="JBI23" s="1"/>
      <c r="JBJ23" s="1"/>
      <c r="JBK23" s="1"/>
      <c r="JBL23" s="1"/>
      <c r="JBM23" s="1"/>
      <c r="JBN23" s="1"/>
      <c r="JBO23" s="1"/>
      <c r="JBP23" s="1"/>
      <c r="JBQ23" s="1"/>
      <c r="JBR23" s="1"/>
      <c r="JBS23" s="1"/>
      <c r="JBT23" s="1"/>
      <c r="JBU23" s="1"/>
      <c r="JBV23" s="1"/>
      <c r="JBW23" s="1"/>
      <c r="JBX23" s="1"/>
      <c r="JBY23" s="1"/>
      <c r="JBZ23" s="1"/>
      <c r="JCA23" s="1"/>
      <c r="JCB23" s="1"/>
      <c r="JCC23" s="1"/>
      <c r="JCD23" s="1"/>
      <c r="JCE23" s="1"/>
      <c r="JCF23" s="1"/>
      <c r="JCG23" s="1"/>
      <c r="JCH23" s="1"/>
      <c r="JCI23" s="1"/>
      <c r="JCJ23" s="1"/>
      <c r="JCK23" s="1"/>
      <c r="JCL23" s="1"/>
      <c r="JCM23" s="1"/>
      <c r="JCN23" s="1"/>
      <c r="JCO23" s="1"/>
      <c r="JCP23" s="1"/>
      <c r="JCQ23" s="1"/>
      <c r="JCR23" s="1"/>
      <c r="JCS23" s="1"/>
      <c r="JCT23" s="1"/>
      <c r="JCU23" s="1"/>
      <c r="JCV23" s="1"/>
      <c r="JCW23" s="1"/>
      <c r="JCX23" s="1"/>
      <c r="JCY23" s="1"/>
      <c r="JCZ23" s="1"/>
      <c r="JDA23" s="1"/>
      <c r="JDB23" s="1"/>
      <c r="JDC23" s="1"/>
      <c r="JDD23" s="1"/>
      <c r="JDE23" s="1"/>
      <c r="JDF23" s="1"/>
      <c r="JDG23" s="1"/>
      <c r="JDH23" s="1"/>
      <c r="JDI23" s="1"/>
      <c r="JDJ23" s="1"/>
      <c r="JDK23" s="1"/>
      <c r="JDL23" s="1"/>
      <c r="JDM23" s="1"/>
      <c r="JDN23" s="1"/>
      <c r="JDO23" s="1"/>
      <c r="JDP23" s="1"/>
      <c r="JDQ23" s="1"/>
      <c r="JDR23" s="1"/>
      <c r="JDS23" s="1"/>
      <c r="JDT23" s="1"/>
      <c r="JDU23" s="1"/>
      <c r="JDV23" s="1"/>
      <c r="JDW23" s="1"/>
      <c r="JDX23" s="1"/>
      <c r="JDY23" s="1"/>
      <c r="JDZ23" s="1"/>
      <c r="JEA23" s="1"/>
      <c r="JEB23" s="1"/>
      <c r="JEC23" s="1"/>
      <c r="JED23" s="1"/>
      <c r="JEE23" s="1"/>
      <c r="JEF23" s="1"/>
      <c r="JEG23" s="1"/>
      <c r="JEH23" s="1"/>
      <c r="JEI23" s="1"/>
      <c r="JEJ23" s="1"/>
      <c r="JEK23" s="1"/>
      <c r="JEL23" s="1"/>
      <c r="JEM23" s="1"/>
      <c r="JEN23" s="1"/>
      <c r="JEO23" s="1"/>
      <c r="JEP23" s="1"/>
      <c r="JEQ23" s="1"/>
      <c r="JER23" s="1"/>
      <c r="JES23" s="1"/>
      <c r="JET23" s="1"/>
      <c r="JEU23" s="1"/>
      <c r="JEV23" s="1"/>
      <c r="JEW23" s="1"/>
      <c r="JEX23" s="1"/>
      <c r="JEY23" s="1"/>
      <c r="JEZ23" s="1"/>
      <c r="JFA23" s="1"/>
      <c r="JFB23" s="1"/>
      <c r="JFC23" s="1"/>
      <c r="JFD23" s="1"/>
      <c r="JFE23" s="1"/>
      <c r="JFF23" s="1"/>
      <c r="JFG23" s="1"/>
      <c r="JFH23" s="1"/>
      <c r="JFI23" s="1"/>
      <c r="JFJ23" s="1"/>
      <c r="JFK23" s="1"/>
      <c r="JFL23" s="1"/>
      <c r="JFM23" s="1"/>
      <c r="JFN23" s="1"/>
      <c r="JFO23" s="1"/>
      <c r="JFP23" s="1"/>
      <c r="JFQ23" s="1"/>
      <c r="JFR23" s="1"/>
      <c r="JFS23" s="1"/>
      <c r="JFT23" s="1"/>
      <c r="JFU23" s="1"/>
      <c r="JFV23" s="1"/>
      <c r="JFW23" s="1"/>
      <c r="JFX23" s="1"/>
      <c r="JFY23" s="1"/>
      <c r="JFZ23" s="1"/>
      <c r="JGA23" s="1"/>
      <c r="JGB23" s="1"/>
      <c r="JGC23" s="1"/>
      <c r="JGD23" s="1"/>
      <c r="JGE23" s="1"/>
      <c r="JGF23" s="1"/>
      <c r="JGG23" s="1"/>
      <c r="JGH23" s="1"/>
      <c r="JGI23" s="1"/>
      <c r="JGJ23" s="1"/>
      <c r="JGK23" s="1"/>
      <c r="JGL23" s="1"/>
      <c r="JGM23" s="1"/>
      <c r="JGN23" s="1"/>
      <c r="JGO23" s="1"/>
      <c r="JGP23" s="1"/>
      <c r="JGQ23" s="1"/>
      <c r="JGR23" s="1"/>
      <c r="JGS23" s="1"/>
      <c r="JGT23" s="1"/>
      <c r="JGU23" s="1"/>
      <c r="JGV23" s="1"/>
      <c r="JGW23" s="1"/>
      <c r="JGX23" s="1"/>
      <c r="JGY23" s="1"/>
      <c r="JGZ23" s="1"/>
      <c r="JHA23" s="1"/>
      <c r="JHB23" s="1"/>
      <c r="JHC23" s="1"/>
      <c r="JHD23" s="1"/>
      <c r="JHE23" s="1"/>
      <c r="JHF23" s="1"/>
      <c r="JHG23" s="1"/>
      <c r="JHH23" s="1"/>
      <c r="JHI23" s="1"/>
      <c r="JHJ23" s="1"/>
      <c r="JHK23" s="1"/>
      <c r="JHL23" s="1"/>
      <c r="JHM23" s="1"/>
      <c r="JHN23" s="1"/>
      <c r="JHO23" s="1"/>
      <c r="JHP23" s="1"/>
      <c r="JHQ23" s="1"/>
      <c r="JHR23" s="1"/>
      <c r="JHS23" s="1"/>
      <c r="JHT23" s="1"/>
      <c r="JHU23" s="1"/>
      <c r="JHV23" s="1"/>
      <c r="JHW23" s="1"/>
      <c r="JHX23" s="1"/>
      <c r="JHY23" s="1"/>
      <c r="JHZ23" s="1"/>
      <c r="JIA23" s="1"/>
      <c r="JIB23" s="1"/>
      <c r="JIC23" s="1"/>
      <c r="JID23" s="1"/>
      <c r="JIE23" s="1"/>
      <c r="JIF23" s="1"/>
      <c r="JIG23" s="1"/>
      <c r="JIH23" s="1"/>
      <c r="JII23" s="1"/>
      <c r="JIJ23" s="1"/>
      <c r="JIK23" s="1"/>
      <c r="JIL23" s="1"/>
      <c r="JIM23" s="1"/>
      <c r="JIN23" s="1"/>
      <c r="JIO23" s="1"/>
      <c r="JIP23" s="1"/>
      <c r="JIQ23" s="1"/>
      <c r="JIR23" s="1"/>
      <c r="JIS23" s="1"/>
      <c r="JIT23" s="1"/>
      <c r="JIU23" s="1"/>
      <c r="JIV23" s="1"/>
      <c r="JIW23" s="1"/>
      <c r="JIX23" s="1"/>
      <c r="JIY23" s="1"/>
      <c r="JIZ23" s="1"/>
      <c r="JJA23" s="1"/>
      <c r="JJB23" s="1"/>
      <c r="JJC23" s="1"/>
      <c r="JJD23" s="1"/>
      <c r="JJE23" s="1"/>
      <c r="JJF23" s="1"/>
      <c r="JJG23" s="1"/>
      <c r="JJH23" s="1"/>
      <c r="JJI23" s="1"/>
      <c r="JJJ23" s="1"/>
      <c r="JJK23" s="1"/>
      <c r="JJL23" s="1"/>
      <c r="JJM23" s="1"/>
      <c r="JJN23" s="1"/>
      <c r="JJO23" s="1"/>
      <c r="JJP23" s="1"/>
      <c r="JJQ23" s="1"/>
      <c r="JJR23" s="1"/>
      <c r="JJS23" s="1"/>
      <c r="JJT23" s="1"/>
      <c r="JJU23" s="1"/>
      <c r="JJV23" s="1"/>
      <c r="JJW23" s="1"/>
      <c r="JJX23" s="1"/>
      <c r="JJY23" s="1"/>
      <c r="JJZ23" s="1"/>
      <c r="JKA23" s="1"/>
      <c r="JKB23" s="1"/>
      <c r="JKC23" s="1"/>
      <c r="JKD23" s="1"/>
      <c r="JKE23" s="1"/>
      <c r="JKF23" s="1"/>
      <c r="JKG23" s="1"/>
      <c r="JKH23" s="1"/>
      <c r="JKI23" s="1"/>
      <c r="JKJ23" s="1"/>
      <c r="JKK23" s="1"/>
      <c r="JKL23" s="1"/>
      <c r="JKM23" s="1"/>
      <c r="JKN23" s="1"/>
      <c r="JKO23" s="1"/>
      <c r="JKP23" s="1"/>
      <c r="JKQ23" s="1"/>
      <c r="JKR23" s="1"/>
      <c r="JKS23" s="1"/>
      <c r="JKT23" s="1"/>
      <c r="JKU23" s="1"/>
      <c r="JKV23" s="1"/>
      <c r="JKW23" s="1"/>
      <c r="JKX23" s="1"/>
      <c r="JKY23" s="1"/>
      <c r="JKZ23" s="1"/>
      <c r="JLA23" s="1"/>
      <c r="JLB23" s="1"/>
      <c r="JLC23" s="1"/>
      <c r="JLD23" s="1"/>
      <c r="JLE23" s="1"/>
      <c r="JLF23" s="1"/>
      <c r="JLG23" s="1"/>
      <c r="JLH23" s="1"/>
      <c r="JLI23" s="1"/>
      <c r="JLJ23" s="1"/>
      <c r="JLK23" s="1"/>
      <c r="JLL23" s="1"/>
      <c r="JLM23" s="1"/>
      <c r="JLN23" s="1"/>
      <c r="JLO23" s="1"/>
      <c r="JLP23" s="1"/>
      <c r="JLQ23" s="1"/>
      <c r="JLR23" s="1"/>
      <c r="JLS23" s="1"/>
      <c r="JLT23" s="1"/>
      <c r="JLU23" s="1"/>
      <c r="JLV23" s="1"/>
      <c r="JLW23" s="1"/>
      <c r="JLX23" s="1"/>
      <c r="JLY23" s="1"/>
      <c r="JLZ23" s="1"/>
      <c r="JMA23" s="1"/>
      <c r="JMB23" s="1"/>
      <c r="JMC23" s="1"/>
      <c r="JMD23" s="1"/>
      <c r="JME23" s="1"/>
      <c r="JMF23" s="1"/>
      <c r="JMG23" s="1"/>
      <c r="JMH23" s="1"/>
      <c r="JMI23" s="1"/>
      <c r="JMJ23" s="1"/>
      <c r="JMK23" s="1"/>
      <c r="JML23" s="1"/>
      <c r="JMM23" s="1"/>
      <c r="JMN23" s="1"/>
      <c r="JMO23" s="1"/>
      <c r="JMP23" s="1"/>
      <c r="JMQ23" s="1"/>
      <c r="JMR23" s="1"/>
      <c r="JMS23" s="1"/>
      <c r="JMT23" s="1"/>
      <c r="JMU23" s="1"/>
      <c r="JMV23" s="1"/>
      <c r="JMW23" s="1"/>
      <c r="JMX23" s="1"/>
      <c r="JMY23" s="1"/>
      <c r="JMZ23" s="1"/>
      <c r="JNA23" s="1"/>
      <c r="JNB23" s="1"/>
      <c r="JNC23" s="1"/>
      <c r="JND23" s="1"/>
      <c r="JNE23" s="1"/>
      <c r="JNF23" s="1"/>
      <c r="JNG23" s="1"/>
      <c r="JNH23" s="1"/>
      <c r="JNI23" s="1"/>
      <c r="JNJ23" s="1"/>
      <c r="JNK23" s="1"/>
      <c r="JNL23" s="1"/>
      <c r="JNM23" s="1"/>
      <c r="JNN23" s="1"/>
      <c r="JNO23" s="1"/>
      <c r="JNP23" s="1"/>
      <c r="JNQ23" s="1"/>
      <c r="JNR23" s="1"/>
      <c r="JNS23" s="1"/>
      <c r="JNT23" s="1"/>
      <c r="JNU23" s="1"/>
      <c r="JNV23" s="1"/>
      <c r="JNW23" s="1"/>
      <c r="JNX23" s="1"/>
      <c r="JNY23" s="1"/>
      <c r="JNZ23" s="1"/>
      <c r="JOA23" s="1"/>
      <c r="JOB23" s="1"/>
      <c r="JOC23" s="1"/>
      <c r="JOD23" s="1"/>
      <c r="JOE23" s="1"/>
      <c r="JOF23" s="1"/>
      <c r="JOG23" s="1"/>
      <c r="JOH23" s="1"/>
      <c r="JOI23" s="1"/>
      <c r="JOJ23" s="1"/>
      <c r="JOK23" s="1"/>
      <c r="JOL23" s="1"/>
      <c r="JOM23" s="1"/>
      <c r="JON23" s="1"/>
      <c r="JOO23" s="1"/>
      <c r="JOP23" s="1"/>
      <c r="JOQ23" s="1"/>
      <c r="JOR23" s="1"/>
      <c r="JOS23" s="1"/>
      <c r="JOT23" s="1"/>
      <c r="JOU23" s="1"/>
      <c r="JOV23" s="1"/>
      <c r="JOW23" s="1"/>
      <c r="JOX23" s="1"/>
      <c r="JOY23" s="1"/>
      <c r="JOZ23" s="1"/>
      <c r="JPA23" s="1"/>
      <c r="JPB23" s="1"/>
      <c r="JPC23" s="1"/>
      <c r="JPD23" s="1"/>
      <c r="JPE23" s="1"/>
      <c r="JPF23" s="1"/>
      <c r="JPG23" s="1"/>
      <c r="JPH23" s="1"/>
      <c r="JPI23" s="1"/>
      <c r="JPJ23" s="1"/>
      <c r="JPK23" s="1"/>
      <c r="JPL23" s="1"/>
      <c r="JPM23" s="1"/>
      <c r="JPN23" s="1"/>
      <c r="JPO23" s="1"/>
      <c r="JPP23" s="1"/>
      <c r="JPQ23" s="1"/>
      <c r="JPR23" s="1"/>
      <c r="JPS23" s="1"/>
      <c r="JPT23" s="1"/>
      <c r="JPU23" s="1"/>
      <c r="JPV23" s="1"/>
      <c r="JPW23" s="1"/>
      <c r="JPX23" s="1"/>
      <c r="JPY23" s="1"/>
      <c r="JPZ23" s="1"/>
      <c r="JQA23" s="1"/>
      <c r="JQB23" s="1"/>
      <c r="JQC23" s="1"/>
      <c r="JQD23" s="1"/>
      <c r="JQE23" s="1"/>
      <c r="JQF23" s="1"/>
      <c r="JQG23" s="1"/>
      <c r="JQH23" s="1"/>
      <c r="JQI23" s="1"/>
      <c r="JQJ23" s="1"/>
      <c r="JQK23" s="1"/>
      <c r="JQL23" s="1"/>
      <c r="JQM23" s="1"/>
      <c r="JQN23" s="1"/>
      <c r="JQO23" s="1"/>
      <c r="JQP23" s="1"/>
      <c r="JQQ23" s="1"/>
      <c r="JQR23" s="1"/>
      <c r="JQS23" s="1"/>
      <c r="JQT23" s="1"/>
      <c r="JQU23" s="1"/>
      <c r="JQV23" s="1"/>
      <c r="JQW23" s="1"/>
      <c r="JQX23" s="1"/>
      <c r="JQY23" s="1"/>
      <c r="JQZ23" s="1"/>
      <c r="JRA23" s="1"/>
      <c r="JRB23" s="1"/>
      <c r="JRC23" s="1"/>
      <c r="JRD23" s="1"/>
      <c r="JRE23" s="1"/>
      <c r="JRF23" s="1"/>
      <c r="JRG23" s="1"/>
      <c r="JRH23" s="1"/>
      <c r="JRI23" s="1"/>
      <c r="JRJ23" s="1"/>
      <c r="JRK23" s="1"/>
      <c r="JRL23" s="1"/>
      <c r="JRM23" s="1"/>
      <c r="JRN23" s="1"/>
      <c r="JRO23" s="1"/>
      <c r="JRP23" s="1"/>
      <c r="JRQ23" s="1"/>
      <c r="JRR23" s="1"/>
      <c r="JRS23" s="1"/>
      <c r="JRT23" s="1"/>
      <c r="JRU23" s="1"/>
      <c r="JRV23" s="1"/>
      <c r="JRW23" s="1"/>
      <c r="JRX23" s="1"/>
      <c r="JRY23" s="1"/>
      <c r="JRZ23" s="1"/>
      <c r="JSA23" s="1"/>
      <c r="JSB23" s="1"/>
      <c r="JSC23" s="1"/>
      <c r="JSD23" s="1"/>
      <c r="JSE23" s="1"/>
      <c r="JSF23" s="1"/>
      <c r="JSG23" s="1"/>
      <c r="JSH23" s="1"/>
      <c r="JSI23" s="1"/>
      <c r="JSJ23" s="1"/>
      <c r="JSK23" s="1"/>
      <c r="JSL23" s="1"/>
      <c r="JSM23" s="1"/>
      <c r="JSN23" s="1"/>
      <c r="JSO23" s="1"/>
      <c r="JSP23" s="1"/>
      <c r="JSQ23" s="1"/>
      <c r="JSR23" s="1"/>
      <c r="JSS23" s="1"/>
      <c r="JST23" s="1"/>
      <c r="JSU23" s="1"/>
      <c r="JSV23" s="1"/>
      <c r="JSW23" s="1"/>
      <c r="JSX23" s="1"/>
      <c r="JSY23" s="1"/>
      <c r="JSZ23" s="1"/>
      <c r="JTA23" s="1"/>
      <c r="JTB23" s="1"/>
      <c r="JTC23" s="1"/>
      <c r="JTD23" s="1"/>
      <c r="JTE23" s="1"/>
      <c r="JTF23" s="1"/>
      <c r="JTG23" s="1"/>
      <c r="JTH23" s="1"/>
      <c r="JTI23" s="1"/>
      <c r="JTJ23" s="1"/>
      <c r="JTK23" s="1"/>
      <c r="JTL23" s="1"/>
      <c r="JTM23" s="1"/>
      <c r="JTN23" s="1"/>
      <c r="JTO23" s="1"/>
      <c r="JTP23" s="1"/>
      <c r="JTQ23" s="1"/>
      <c r="JTR23" s="1"/>
      <c r="JTS23" s="1"/>
      <c r="JTT23" s="1"/>
      <c r="JTU23" s="1"/>
      <c r="JTV23" s="1"/>
      <c r="JTW23" s="1"/>
      <c r="JTX23" s="1"/>
      <c r="JTY23" s="1"/>
      <c r="JTZ23" s="1"/>
      <c r="JUA23" s="1"/>
      <c r="JUB23" s="1"/>
      <c r="JUC23" s="1"/>
      <c r="JUD23" s="1"/>
      <c r="JUE23" s="1"/>
      <c r="JUF23" s="1"/>
      <c r="JUG23" s="1"/>
      <c r="JUH23" s="1"/>
      <c r="JUI23" s="1"/>
      <c r="JUJ23" s="1"/>
      <c r="JUK23" s="1"/>
      <c r="JUL23" s="1"/>
      <c r="JUM23" s="1"/>
      <c r="JUN23" s="1"/>
      <c r="JUO23" s="1"/>
      <c r="JUP23" s="1"/>
      <c r="JUQ23" s="1"/>
      <c r="JUR23" s="1"/>
      <c r="JUS23" s="1"/>
      <c r="JUT23" s="1"/>
      <c r="JUU23" s="1"/>
      <c r="JUV23" s="1"/>
      <c r="JUW23" s="1"/>
      <c r="JUX23" s="1"/>
      <c r="JUY23" s="1"/>
      <c r="JUZ23" s="1"/>
      <c r="JVA23" s="1"/>
      <c r="JVB23" s="1"/>
      <c r="JVC23" s="1"/>
      <c r="JVD23" s="1"/>
      <c r="JVE23" s="1"/>
      <c r="JVF23" s="1"/>
      <c r="JVG23" s="1"/>
      <c r="JVH23" s="1"/>
      <c r="JVI23" s="1"/>
      <c r="JVJ23" s="1"/>
      <c r="JVK23" s="1"/>
      <c r="JVL23" s="1"/>
      <c r="JVM23" s="1"/>
      <c r="JVN23" s="1"/>
      <c r="JVO23" s="1"/>
      <c r="JVP23" s="1"/>
      <c r="JVQ23" s="1"/>
      <c r="JVR23" s="1"/>
      <c r="JVS23" s="1"/>
      <c r="JVT23" s="1"/>
      <c r="JVU23" s="1"/>
      <c r="JVV23" s="1"/>
      <c r="JVW23" s="1"/>
      <c r="JVX23" s="1"/>
      <c r="JVY23" s="1"/>
      <c r="JVZ23" s="1"/>
      <c r="JWA23" s="1"/>
      <c r="JWB23" s="1"/>
      <c r="JWC23" s="1"/>
      <c r="JWD23" s="1"/>
      <c r="JWE23" s="1"/>
      <c r="JWF23" s="1"/>
      <c r="JWG23" s="1"/>
      <c r="JWH23" s="1"/>
      <c r="JWI23" s="1"/>
      <c r="JWJ23" s="1"/>
      <c r="JWK23" s="1"/>
      <c r="JWL23" s="1"/>
      <c r="JWM23" s="1"/>
      <c r="JWN23" s="1"/>
      <c r="JWO23" s="1"/>
      <c r="JWP23" s="1"/>
      <c r="JWQ23" s="1"/>
      <c r="JWR23" s="1"/>
      <c r="JWS23" s="1"/>
      <c r="JWT23" s="1"/>
      <c r="JWU23" s="1"/>
      <c r="JWV23" s="1"/>
      <c r="JWW23" s="1"/>
      <c r="JWX23" s="1"/>
      <c r="JWY23" s="1"/>
      <c r="JWZ23" s="1"/>
      <c r="JXA23" s="1"/>
      <c r="JXB23" s="1"/>
      <c r="JXC23" s="1"/>
      <c r="JXD23" s="1"/>
      <c r="JXE23" s="1"/>
      <c r="JXF23" s="1"/>
      <c r="JXG23" s="1"/>
      <c r="JXH23" s="1"/>
      <c r="JXI23" s="1"/>
      <c r="JXJ23" s="1"/>
      <c r="JXK23" s="1"/>
      <c r="JXL23" s="1"/>
      <c r="JXM23" s="1"/>
      <c r="JXN23" s="1"/>
      <c r="JXO23" s="1"/>
      <c r="JXP23" s="1"/>
      <c r="JXQ23" s="1"/>
      <c r="JXR23" s="1"/>
      <c r="JXS23" s="1"/>
      <c r="JXT23" s="1"/>
      <c r="JXU23" s="1"/>
      <c r="JXV23" s="1"/>
      <c r="JXW23" s="1"/>
      <c r="JXX23" s="1"/>
      <c r="JXY23" s="1"/>
      <c r="JXZ23" s="1"/>
      <c r="JYA23" s="1"/>
      <c r="JYB23" s="1"/>
      <c r="JYC23" s="1"/>
      <c r="JYD23" s="1"/>
      <c r="JYE23" s="1"/>
      <c r="JYF23" s="1"/>
      <c r="JYG23" s="1"/>
      <c r="JYH23" s="1"/>
      <c r="JYI23" s="1"/>
      <c r="JYJ23" s="1"/>
      <c r="JYK23" s="1"/>
      <c r="JYL23" s="1"/>
      <c r="JYM23" s="1"/>
      <c r="JYN23" s="1"/>
      <c r="JYO23" s="1"/>
      <c r="JYP23" s="1"/>
      <c r="JYQ23" s="1"/>
      <c r="JYR23" s="1"/>
      <c r="JYS23" s="1"/>
      <c r="JYT23" s="1"/>
      <c r="JYU23" s="1"/>
      <c r="JYV23" s="1"/>
      <c r="JYW23" s="1"/>
      <c r="JYX23" s="1"/>
      <c r="JYY23" s="1"/>
      <c r="JYZ23" s="1"/>
      <c r="JZA23" s="1"/>
      <c r="JZB23" s="1"/>
      <c r="JZC23" s="1"/>
      <c r="JZD23" s="1"/>
      <c r="JZE23" s="1"/>
      <c r="JZF23" s="1"/>
      <c r="JZG23" s="1"/>
      <c r="JZH23" s="1"/>
      <c r="JZI23" s="1"/>
      <c r="JZJ23" s="1"/>
      <c r="JZK23" s="1"/>
      <c r="JZL23" s="1"/>
      <c r="JZM23" s="1"/>
      <c r="JZN23" s="1"/>
      <c r="JZO23" s="1"/>
      <c r="JZP23" s="1"/>
      <c r="JZQ23" s="1"/>
      <c r="JZR23" s="1"/>
      <c r="JZS23" s="1"/>
      <c r="JZT23" s="1"/>
      <c r="JZU23" s="1"/>
      <c r="JZV23" s="1"/>
      <c r="JZW23" s="1"/>
      <c r="JZX23" s="1"/>
      <c r="JZY23" s="1"/>
      <c r="JZZ23" s="1"/>
      <c r="KAA23" s="1"/>
      <c r="KAB23" s="1"/>
      <c r="KAC23" s="1"/>
      <c r="KAD23" s="1"/>
      <c r="KAE23" s="1"/>
      <c r="KAF23" s="1"/>
      <c r="KAG23" s="1"/>
      <c r="KAH23" s="1"/>
      <c r="KAI23" s="1"/>
      <c r="KAJ23" s="1"/>
      <c r="KAK23" s="1"/>
      <c r="KAL23" s="1"/>
      <c r="KAM23" s="1"/>
      <c r="KAN23" s="1"/>
      <c r="KAO23" s="1"/>
      <c r="KAP23" s="1"/>
      <c r="KAQ23" s="1"/>
      <c r="KAR23" s="1"/>
      <c r="KAS23" s="1"/>
      <c r="KAT23" s="1"/>
      <c r="KAU23" s="1"/>
      <c r="KAV23" s="1"/>
      <c r="KAW23" s="1"/>
      <c r="KAX23" s="1"/>
      <c r="KAY23" s="1"/>
      <c r="KAZ23" s="1"/>
      <c r="KBA23" s="1"/>
      <c r="KBB23" s="1"/>
      <c r="KBC23" s="1"/>
      <c r="KBD23" s="1"/>
      <c r="KBE23" s="1"/>
      <c r="KBF23" s="1"/>
      <c r="KBG23" s="1"/>
      <c r="KBH23" s="1"/>
      <c r="KBI23" s="1"/>
      <c r="KBJ23" s="1"/>
      <c r="KBK23" s="1"/>
      <c r="KBL23" s="1"/>
      <c r="KBM23" s="1"/>
      <c r="KBN23" s="1"/>
      <c r="KBO23" s="1"/>
      <c r="KBP23" s="1"/>
      <c r="KBQ23" s="1"/>
      <c r="KBR23" s="1"/>
      <c r="KBS23" s="1"/>
      <c r="KBT23" s="1"/>
      <c r="KBU23" s="1"/>
      <c r="KBV23" s="1"/>
      <c r="KBW23" s="1"/>
      <c r="KBX23" s="1"/>
      <c r="KBY23" s="1"/>
      <c r="KBZ23" s="1"/>
      <c r="KCA23" s="1"/>
      <c r="KCB23" s="1"/>
      <c r="KCC23" s="1"/>
      <c r="KCD23" s="1"/>
      <c r="KCE23" s="1"/>
      <c r="KCF23" s="1"/>
      <c r="KCG23" s="1"/>
      <c r="KCH23" s="1"/>
      <c r="KCI23" s="1"/>
      <c r="KCJ23" s="1"/>
      <c r="KCK23" s="1"/>
      <c r="KCL23" s="1"/>
      <c r="KCM23" s="1"/>
      <c r="KCN23" s="1"/>
      <c r="KCO23" s="1"/>
      <c r="KCP23" s="1"/>
      <c r="KCQ23" s="1"/>
      <c r="KCR23" s="1"/>
      <c r="KCS23" s="1"/>
      <c r="KCT23" s="1"/>
      <c r="KCU23" s="1"/>
      <c r="KCV23" s="1"/>
      <c r="KCW23" s="1"/>
      <c r="KCX23" s="1"/>
      <c r="KCY23" s="1"/>
      <c r="KCZ23" s="1"/>
      <c r="KDA23" s="1"/>
      <c r="KDB23" s="1"/>
      <c r="KDC23" s="1"/>
      <c r="KDD23" s="1"/>
      <c r="KDE23" s="1"/>
      <c r="KDF23" s="1"/>
      <c r="KDG23" s="1"/>
      <c r="KDH23" s="1"/>
      <c r="KDI23" s="1"/>
      <c r="KDJ23" s="1"/>
      <c r="KDK23" s="1"/>
      <c r="KDL23" s="1"/>
      <c r="KDM23" s="1"/>
      <c r="KDN23" s="1"/>
      <c r="KDO23" s="1"/>
      <c r="KDP23" s="1"/>
      <c r="KDQ23" s="1"/>
      <c r="KDR23" s="1"/>
      <c r="KDS23" s="1"/>
      <c r="KDT23" s="1"/>
      <c r="KDU23" s="1"/>
      <c r="KDV23" s="1"/>
      <c r="KDW23" s="1"/>
      <c r="KDX23" s="1"/>
      <c r="KDY23" s="1"/>
      <c r="KDZ23" s="1"/>
      <c r="KEA23" s="1"/>
      <c r="KEB23" s="1"/>
      <c r="KEC23" s="1"/>
      <c r="KED23" s="1"/>
      <c r="KEE23" s="1"/>
      <c r="KEF23" s="1"/>
      <c r="KEG23" s="1"/>
      <c r="KEH23" s="1"/>
      <c r="KEI23" s="1"/>
      <c r="KEJ23" s="1"/>
      <c r="KEK23" s="1"/>
      <c r="KEL23" s="1"/>
      <c r="KEM23" s="1"/>
      <c r="KEN23" s="1"/>
      <c r="KEO23" s="1"/>
      <c r="KEP23" s="1"/>
      <c r="KEQ23" s="1"/>
      <c r="KER23" s="1"/>
      <c r="KES23" s="1"/>
      <c r="KET23" s="1"/>
      <c r="KEU23" s="1"/>
      <c r="KEV23" s="1"/>
      <c r="KEW23" s="1"/>
      <c r="KEX23" s="1"/>
      <c r="KEY23" s="1"/>
      <c r="KEZ23" s="1"/>
      <c r="KFA23" s="1"/>
      <c r="KFB23" s="1"/>
      <c r="KFC23" s="1"/>
      <c r="KFD23" s="1"/>
      <c r="KFE23" s="1"/>
      <c r="KFF23" s="1"/>
      <c r="KFG23" s="1"/>
      <c r="KFH23" s="1"/>
      <c r="KFI23" s="1"/>
      <c r="KFJ23" s="1"/>
      <c r="KFK23" s="1"/>
      <c r="KFL23" s="1"/>
      <c r="KFM23" s="1"/>
      <c r="KFN23" s="1"/>
      <c r="KFO23" s="1"/>
      <c r="KFP23" s="1"/>
      <c r="KFQ23" s="1"/>
      <c r="KFR23" s="1"/>
      <c r="KFS23" s="1"/>
      <c r="KFT23" s="1"/>
      <c r="KFU23" s="1"/>
      <c r="KFV23" s="1"/>
      <c r="KFW23" s="1"/>
      <c r="KFX23" s="1"/>
      <c r="KFY23" s="1"/>
      <c r="KFZ23" s="1"/>
      <c r="KGA23" s="1"/>
      <c r="KGB23" s="1"/>
      <c r="KGC23" s="1"/>
      <c r="KGD23" s="1"/>
      <c r="KGE23" s="1"/>
      <c r="KGF23" s="1"/>
      <c r="KGG23" s="1"/>
      <c r="KGH23" s="1"/>
      <c r="KGI23" s="1"/>
      <c r="KGJ23" s="1"/>
      <c r="KGK23" s="1"/>
      <c r="KGL23" s="1"/>
      <c r="KGM23" s="1"/>
      <c r="KGN23" s="1"/>
      <c r="KGO23" s="1"/>
      <c r="KGP23" s="1"/>
      <c r="KGQ23" s="1"/>
      <c r="KGR23" s="1"/>
      <c r="KGS23" s="1"/>
      <c r="KGT23" s="1"/>
      <c r="KGU23" s="1"/>
      <c r="KGV23" s="1"/>
      <c r="KGW23" s="1"/>
      <c r="KGX23" s="1"/>
      <c r="KGY23" s="1"/>
      <c r="KGZ23" s="1"/>
      <c r="KHA23" s="1"/>
      <c r="KHB23" s="1"/>
      <c r="KHC23" s="1"/>
      <c r="KHD23" s="1"/>
      <c r="KHE23" s="1"/>
      <c r="KHF23" s="1"/>
      <c r="KHG23" s="1"/>
      <c r="KHH23" s="1"/>
      <c r="KHI23" s="1"/>
      <c r="KHJ23" s="1"/>
      <c r="KHK23" s="1"/>
      <c r="KHL23" s="1"/>
      <c r="KHM23" s="1"/>
      <c r="KHN23" s="1"/>
      <c r="KHO23" s="1"/>
      <c r="KHP23" s="1"/>
      <c r="KHQ23" s="1"/>
      <c r="KHR23" s="1"/>
      <c r="KHS23" s="1"/>
      <c r="KHT23" s="1"/>
      <c r="KHU23" s="1"/>
      <c r="KHV23" s="1"/>
      <c r="KHW23" s="1"/>
      <c r="KHX23" s="1"/>
      <c r="KHY23" s="1"/>
      <c r="KHZ23" s="1"/>
      <c r="KIA23" s="1"/>
      <c r="KIB23" s="1"/>
      <c r="KIC23" s="1"/>
      <c r="KID23" s="1"/>
      <c r="KIE23" s="1"/>
      <c r="KIF23" s="1"/>
      <c r="KIG23" s="1"/>
      <c r="KIH23" s="1"/>
      <c r="KII23" s="1"/>
      <c r="KIJ23" s="1"/>
      <c r="KIK23" s="1"/>
      <c r="KIL23" s="1"/>
      <c r="KIM23" s="1"/>
      <c r="KIN23" s="1"/>
      <c r="KIO23" s="1"/>
      <c r="KIP23" s="1"/>
      <c r="KIQ23" s="1"/>
      <c r="KIR23" s="1"/>
      <c r="KIS23" s="1"/>
      <c r="KIT23" s="1"/>
      <c r="KIU23" s="1"/>
      <c r="KIV23" s="1"/>
      <c r="KIW23" s="1"/>
      <c r="KIX23" s="1"/>
      <c r="KIY23" s="1"/>
      <c r="KIZ23" s="1"/>
      <c r="KJA23" s="1"/>
      <c r="KJB23" s="1"/>
      <c r="KJC23" s="1"/>
      <c r="KJD23" s="1"/>
      <c r="KJE23" s="1"/>
      <c r="KJF23" s="1"/>
      <c r="KJG23" s="1"/>
      <c r="KJH23" s="1"/>
      <c r="KJI23" s="1"/>
      <c r="KJJ23" s="1"/>
      <c r="KJK23" s="1"/>
      <c r="KJL23" s="1"/>
      <c r="KJM23" s="1"/>
      <c r="KJN23" s="1"/>
      <c r="KJO23" s="1"/>
      <c r="KJP23" s="1"/>
      <c r="KJQ23" s="1"/>
      <c r="KJR23" s="1"/>
      <c r="KJS23" s="1"/>
      <c r="KJT23" s="1"/>
      <c r="KJU23" s="1"/>
      <c r="KJV23" s="1"/>
      <c r="KJW23" s="1"/>
      <c r="KJX23" s="1"/>
      <c r="KJY23" s="1"/>
      <c r="KJZ23" s="1"/>
      <c r="KKA23" s="1"/>
      <c r="KKB23" s="1"/>
      <c r="KKC23" s="1"/>
      <c r="KKD23" s="1"/>
      <c r="KKE23" s="1"/>
      <c r="KKF23" s="1"/>
      <c r="KKG23" s="1"/>
      <c r="KKH23" s="1"/>
      <c r="KKI23" s="1"/>
      <c r="KKJ23" s="1"/>
      <c r="KKK23" s="1"/>
      <c r="KKL23" s="1"/>
      <c r="KKM23" s="1"/>
      <c r="KKN23" s="1"/>
      <c r="KKO23" s="1"/>
      <c r="KKP23" s="1"/>
      <c r="KKQ23" s="1"/>
      <c r="KKR23" s="1"/>
      <c r="KKS23" s="1"/>
      <c r="KKT23" s="1"/>
      <c r="KKU23" s="1"/>
      <c r="KKV23" s="1"/>
      <c r="KKW23" s="1"/>
      <c r="KKX23" s="1"/>
      <c r="KKY23" s="1"/>
      <c r="KKZ23" s="1"/>
      <c r="KLA23" s="1"/>
      <c r="KLB23" s="1"/>
      <c r="KLC23" s="1"/>
      <c r="KLD23" s="1"/>
      <c r="KLE23" s="1"/>
      <c r="KLF23" s="1"/>
      <c r="KLG23" s="1"/>
      <c r="KLH23" s="1"/>
      <c r="KLI23" s="1"/>
      <c r="KLJ23" s="1"/>
      <c r="KLK23" s="1"/>
      <c r="KLL23" s="1"/>
      <c r="KLM23" s="1"/>
      <c r="KLN23" s="1"/>
      <c r="KLO23" s="1"/>
      <c r="KLP23" s="1"/>
      <c r="KLQ23" s="1"/>
      <c r="KLR23" s="1"/>
      <c r="KLS23" s="1"/>
      <c r="KLT23" s="1"/>
      <c r="KLU23" s="1"/>
      <c r="KLV23" s="1"/>
      <c r="KLW23" s="1"/>
      <c r="KLX23" s="1"/>
      <c r="KLY23" s="1"/>
      <c r="KLZ23" s="1"/>
      <c r="KMA23" s="1"/>
      <c r="KMB23" s="1"/>
      <c r="KMC23" s="1"/>
      <c r="KMD23" s="1"/>
      <c r="KME23" s="1"/>
      <c r="KMF23" s="1"/>
      <c r="KMG23" s="1"/>
      <c r="KMH23" s="1"/>
      <c r="KMI23" s="1"/>
      <c r="KMJ23" s="1"/>
      <c r="KMK23" s="1"/>
      <c r="KML23" s="1"/>
      <c r="KMM23" s="1"/>
      <c r="KMN23" s="1"/>
      <c r="KMO23" s="1"/>
      <c r="KMP23" s="1"/>
      <c r="KMQ23" s="1"/>
      <c r="KMR23" s="1"/>
      <c r="KMS23" s="1"/>
      <c r="KMT23" s="1"/>
      <c r="KMU23" s="1"/>
      <c r="KMV23" s="1"/>
      <c r="KMW23" s="1"/>
      <c r="KMX23" s="1"/>
      <c r="KMY23" s="1"/>
      <c r="KMZ23" s="1"/>
      <c r="KNA23" s="1"/>
      <c r="KNB23" s="1"/>
      <c r="KNC23" s="1"/>
      <c r="KND23" s="1"/>
      <c r="KNE23" s="1"/>
      <c r="KNF23" s="1"/>
      <c r="KNG23" s="1"/>
      <c r="KNH23" s="1"/>
      <c r="KNI23" s="1"/>
      <c r="KNJ23" s="1"/>
      <c r="KNK23" s="1"/>
      <c r="KNL23" s="1"/>
      <c r="KNM23" s="1"/>
      <c r="KNN23" s="1"/>
      <c r="KNO23" s="1"/>
      <c r="KNP23" s="1"/>
      <c r="KNQ23" s="1"/>
      <c r="KNR23" s="1"/>
      <c r="KNS23" s="1"/>
      <c r="KNT23" s="1"/>
      <c r="KNU23" s="1"/>
      <c r="KNV23" s="1"/>
      <c r="KNW23" s="1"/>
      <c r="KNX23" s="1"/>
      <c r="KNY23" s="1"/>
      <c r="KNZ23" s="1"/>
      <c r="KOA23" s="1"/>
      <c r="KOB23" s="1"/>
      <c r="KOC23" s="1"/>
      <c r="KOD23" s="1"/>
      <c r="KOE23" s="1"/>
      <c r="KOF23" s="1"/>
      <c r="KOG23" s="1"/>
      <c r="KOH23" s="1"/>
      <c r="KOI23" s="1"/>
      <c r="KOJ23" s="1"/>
      <c r="KOK23" s="1"/>
      <c r="KOL23" s="1"/>
      <c r="KOM23" s="1"/>
      <c r="KON23" s="1"/>
      <c r="KOO23" s="1"/>
      <c r="KOP23" s="1"/>
      <c r="KOQ23" s="1"/>
      <c r="KOR23" s="1"/>
      <c r="KOS23" s="1"/>
      <c r="KOT23" s="1"/>
      <c r="KOU23" s="1"/>
      <c r="KOV23" s="1"/>
      <c r="KOW23" s="1"/>
      <c r="KOX23" s="1"/>
      <c r="KOY23" s="1"/>
      <c r="KOZ23" s="1"/>
      <c r="KPA23" s="1"/>
      <c r="KPB23" s="1"/>
      <c r="KPC23" s="1"/>
      <c r="KPD23" s="1"/>
      <c r="KPE23" s="1"/>
      <c r="KPF23" s="1"/>
      <c r="KPG23" s="1"/>
      <c r="KPH23" s="1"/>
      <c r="KPI23" s="1"/>
      <c r="KPJ23" s="1"/>
      <c r="KPK23" s="1"/>
      <c r="KPL23" s="1"/>
      <c r="KPM23" s="1"/>
      <c r="KPN23" s="1"/>
      <c r="KPO23" s="1"/>
      <c r="KPP23" s="1"/>
      <c r="KPQ23" s="1"/>
      <c r="KPR23" s="1"/>
      <c r="KPS23" s="1"/>
      <c r="KPT23" s="1"/>
      <c r="KPU23" s="1"/>
      <c r="KPV23" s="1"/>
      <c r="KPW23" s="1"/>
      <c r="KPX23" s="1"/>
      <c r="KPY23" s="1"/>
      <c r="KPZ23" s="1"/>
      <c r="KQA23" s="1"/>
      <c r="KQB23" s="1"/>
      <c r="KQC23" s="1"/>
      <c r="KQD23" s="1"/>
      <c r="KQE23" s="1"/>
      <c r="KQF23" s="1"/>
      <c r="KQG23" s="1"/>
      <c r="KQH23" s="1"/>
      <c r="KQI23" s="1"/>
      <c r="KQJ23" s="1"/>
      <c r="KQK23" s="1"/>
      <c r="KQL23" s="1"/>
      <c r="KQM23" s="1"/>
      <c r="KQN23" s="1"/>
      <c r="KQO23" s="1"/>
      <c r="KQP23" s="1"/>
      <c r="KQQ23" s="1"/>
      <c r="KQR23" s="1"/>
      <c r="KQS23" s="1"/>
      <c r="KQT23" s="1"/>
      <c r="KQU23" s="1"/>
      <c r="KQV23" s="1"/>
      <c r="KQW23" s="1"/>
      <c r="KQX23" s="1"/>
      <c r="KQY23" s="1"/>
      <c r="KQZ23" s="1"/>
      <c r="KRA23" s="1"/>
      <c r="KRB23" s="1"/>
      <c r="KRC23" s="1"/>
      <c r="KRD23" s="1"/>
      <c r="KRE23" s="1"/>
      <c r="KRF23" s="1"/>
      <c r="KRG23" s="1"/>
      <c r="KRH23" s="1"/>
      <c r="KRI23" s="1"/>
      <c r="KRJ23" s="1"/>
      <c r="KRK23" s="1"/>
      <c r="KRL23" s="1"/>
      <c r="KRM23" s="1"/>
      <c r="KRN23" s="1"/>
      <c r="KRO23" s="1"/>
      <c r="KRP23" s="1"/>
      <c r="KRQ23" s="1"/>
      <c r="KRR23" s="1"/>
      <c r="KRS23" s="1"/>
      <c r="KRT23" s="1"/>
      <c r="KRU23" s="1"/>
      <c r="KRV23" s="1"/>
      <c r="KRW23" s="1"/>
      <c r="KRX23" s="1"/>
      <c r="KRY23" s="1"/>
      <c r="KRZ23" s="1"/>
      <c r="KSA23" s="1"/>
      <c r="KSB23" s="1"/>
      <c r="KSC23" s="1"/>
      <c r="KSD23" s="1"/>
      <c r="KSE23" s="1"/>
      <c r="KSF23" s="1"/>
      <c r="KSG23" s="1"/>
      <c r="KSH23" s="1"/>
      <c r="KSI23" s="1"/>
      <c r="KSJ23" s="1"/>
      <c r="KSK23" s="1"/>
      <c r="KSL23" s="1"/>
      <c r="KSM23" s="1"/>
      <c r="KSN23" s="1"/>
      <c r="KSO23" s="1"/>
      <c r="KSP23" s="1"/>
      <c r="KSQ23" s="1"/>
      <c r="KSR23" s="1"/>
      <c r="KSS23" s="1"/>
      <c r="KST23" s="1"/>
      <c r="KSU23" s="1"/>
      <c r="KSV23" s="1"/>
      <c r="KSW23" s="1"/>
      <c r="KSX23" s="1"/>
      <c r="KSY23" s="1"/>
      <c r="KSZ23" s="1"/>
      <c r="KTA23" s="1"/>
      <c r="KTB23" s="1"/>
      <c r="KTC23" s="1"/>
      <c r="KTD23" s="1"/>
      <c r="KTE23" s="1"/>
      <c r="KTF23" s="1"/>
      <c r="KTG23" s="1"/>
      <c r="KTH23" s="1"/>
      <c r="KTI23" s="1"/>
      <c r="KTJ23" s="1"/>
      <c r="KTK23" s="1"/>
      <c r="KTL23" s="1"/>
      <c r="KTM23" s="1"/>
      <c r="KTN23" s="1"/>
      <c r="KTO23" s="1"/>
      <c r="KTP23" s="1"/>
      <c r="KTQ23" s="1"/>
      <c r="KTR23" s="1"/>
      <c r="KTS23" s="1"/>
      <c r="KTT23" s="1"/>
      <c r="KTU23" s="1"/>
      <c r="KTV23" s="1"/>
      <c r="KTW23" s="1"/>
      <c r="KTX23" s="1"/>
      <c r="KTY23" s="1"/>
      <c r="KTZ23" s="1"/>
      <c r="KUA23" s="1"/>
      <c r="KUB23" s="1"/>
      <c r="KUC23" s="1"/>
      <c r="KUD23" s="1"/>
      <c r="KUE23" s="1"/>
      <c r="KUF23" s="1"/>
      <c r="KUG23" s="1"/>
      <c r="KUH23" s="1"/>
      <c r="KUI23" s="1"/>
      <c r="KUJ23" s="1"/>
      <c r="KUK23" s="1"/>
      <c r="KUL23" s="1"/>
      <c r="KUM23" s="1"/>
      <c r="KUN23" s="1"/>
      <c r="KUO23" s="1"/>
      <c r="KUP23" s="1"/>
      <c r="KUQ23" s="1"/>
      <c r="KUR23" s="1"/>
      <c r="KUS23" s="1"/>
      <c r="KUT23" s="1"/>
      <c r="KUU23" s="1"/>
      <c r="KUV23" s="1"/>
      <c r="KUW23" s="1"/>
      <c r="KUX23" s="1"/>
      <c r="KUY23" s="1"/>
      <c r="KUZ23" s="1"/>
      <c r="KVA23" s="1"/>
      <c r="KVB23" s="1"/>
      <c r="KVC23" s="1"/>
      <c r="KVD23" s="1"/>
      <c r="KVE23" s="1"/>
      <c r="KVF23" s="1"/>
      <c r="KVG23" s="1"/>
      <c r="KVH23" s="1"/>
      <c r="KVI23" s="1"/>
      <c r="KVJ23" s="1"/>
      <c r="KVK23" s="1"/>
      <c r="KVL23" s="1"/>
      <c r="KVM23" s="1"/>
      <c r="KVN23" s="1"/>
      <c r="KVO23" s="1"/>
      <c r="KVP23" s="1"/>
      <c r="KVQ23" s="1"/>
      <c r="KVR23" s="1"/>
      <c r="KVS23" s="1"/>
      <c r="KVT23" s="1"/>
      <c r="KVU23" s="1"/>
      <c r="KVV23" s="1"/>
      <c r="KVW23" s="1"/>
      <c r="KVX23" s="1"/>
      <c r="KVY23" s="1"/>
      <c r="KVZ23" s="1"/>
      <c r="KWA23" s="1"/>
      <c r="KWB23" s="1"/>
      <c r="KWC23" s="1"/>
      <c r="KWD23" s="1"/>
      <c r="KWE23" s="1"/>
      <c r="KWF23" s="1"/>
      <c r="KWG23" s="1"/>
      <c r="KWH23" s="1"/>
      <c r="KWI23" s="1"/>
      <c r="KWJ23" s="1"/>
      <c r="KWK23" s="1"/>
      <c r="KWL23" s="1"/>
      <c r="KWM23" s="1"/>
      <c r="KWN23" s="1"/>
      <c r="KWO23" s="1"/>
      <c r="KWP23" s="1"/>
      <c r="KWQ23" s="1"/>
      <c r="KWR23" s="1"/>
      <c r="KWS23" s="1"/>
      <c r="KWT23" s="1"/>
      <c r="KWU23" s="1"/>
      <c r="KWV23" s="1"/>
      <c r="KWW23" s="1"/>
      <c r="KWX23" s="1"/>
      <c r="KWY23" s="1"/>
      <c r="KWZ23" s="1"/>
      <c r="KXA23" s="1"/>
      <c r="KXB23" s="1"/>
      <c r="KXC23" s="1"/>
      <c r="KXD23" s="1"/>
      <c r="KXE23" s="1"/>
      <c r="KXF23" s="1"/>
      <c r="KXG23" s="1"/>
      <c r="KXH23" s="1"/>
      <c r="KXI23" s="1"/>
      <c r="KXJ23" s="1"/>
      <c r="KXK23" s="1"/>
      <c r="KXL23" s="1"/>
      <c r="KXM23" s="1"/>
      <c r="KXN23" s="1"/>
      <c r="KXO23" s="1"/>
      <c r="KXP23" s="1"/>
      <c r="KXQ23" s="1"/>
      <c r="KXR23" s="1"/>
      <c r="KXS23" s="1"/>
      <c r="KXT23" s="1"/>
      <c r="KXU23" s="1"/>
      <c r="KXV23" s="1"/>
      <c r="KXW23" s="1"/>
      <c r="KXX23" s="1"/>
      <c r="KXY23" s="1"/>
      <c r="KXZ23" s="1"/>
      <c r="KYA23" s="1"/>
      <c r="KYB23" s="1"/>
      <c r="KYC23" s="1"/>
      <c r="KYD23" s="1"/>
      <c r="KYE23" s="1"/>
      <c r="KYF23" s="1"/>
      <c r="KYG23" s="1"/>
      <c r="KYH23" s="1"/>
      <c r="KYI23" s="1"/>
      <c r="KYJ23" s="1"/>
      <c r="KYK23" s="1"/>
      <c r="KYL23" s="1"/>
      <c r="KYM23" s="1"/>
      <c r="KYN23" s="1"/>
      <c r="KYO23" s="1"/>
      <c r="KYP23" s="1"/>
      <c r="KYQ23" s="1"/>
      <c r="KYR23" s="1"/>
      <c r="KYS23" s="1"/>
      <c r="KYT23" s="1"/>
      <c r="KYU23" s="1"/>
      <c r="KYV23" s="1"/>
      <c r="KYW23" s="1"/>
      <c r="KYX23" s="1"/>
      <c r="KYY23" s="1"/>
      <c r="KYZ23" s="1"/>
      <c r="KZA23" s="1"/>
      <c r="KZB23" s="1"/>
      <c r="KZC23" s="1"/>
      <c r="KZD23" s="1"/>
      <c r="KZE23" s="1"/>
      <c r="KZF23" s="1"/>
      <c r="KZG23" s="1"/>
      <c r="KZH23" s="1"/>
      <c r="KZI23" s="1"/>
      <c r="KZJ23" s="1"/>
      <c r="KZK23" s="1"/>
      <c r="KZL23" s="1"/>
      <c r="KZM23" s="1"/>
      <c r="KZN23" s="1"/>
      <c r="KZO23" s="1"/>
      <c r="KZP23" s="1"/>
      <c r="KZQ23" s="1"/>
      <c r="KZR23" s="1"/>
      <c r="KZS23" s="1"/>
      <c r="KZT23" s="1"/>
      <c r="KZU23" s="1"/>
      <c r="KZV23" s="1"/>
      <c r="KZW23" s="1"/>
      <c r="KZX23" s="1"/>
      <c r="KZY23" s="1"/>
      <c r="KZZ23" s="1"/>
      <c r="LAA23" s="1"/>
      <c r="LAB23" s="1"/>
      <c r="LAC23" s="1"/>
      <c r="LAD23" s="1"/>
      <c r="LAE23" s="1"/>
      <c r="LAF23" s="1"/>
      <c r="LAG23" s="1"/>
      <c r="LAH23" s="1"/>
      <c r="LAI23" s="1"/>
      <c r="LAJ23" s="1"/>
      <c r="LAK23" s="1"/>
      <c r="LAL23" s="1"/>
      <c r="LAM23" s="1"/>
      <c r="LAN23" s="1"/>
      <c r="LAO23" s="1"/>
      <c r="LAP23" s="1"/>
      <c r="LAQ23" s="1"/>
      <c r="LAR23" s="1"/>
      <c r="LAS23" s="1"/>
      <c r="LAT23" s="1"/>
      <c r="LAU23" s="1"/>
      <c r="LAV23" s="1"/>
      <c r="LAW23" s="1"/>
      <c r="LAX23" s="1"/>
      <c r="LAY23" s="1"/>
      <c r="LAZ23" s="1"/>
      <c r="LBA23" s="1"/>
      <c r="LBB23" s="1"/>
      <c r="LBC23" s="1"/>
      <c r="LBD23" s="1"/>
      <c r="LBE23" s="1"/>
      <c r="LBF23" s="1"/>
      <c r="LBG23" s="1"/>
      <c r="LBH23" s="1"/>
      <c r="LBI23" s="1"/>
      <c r="LBJ23" s="1"/>
      <c r="LBK23" s="1"/>
      <c r="LBL23" s="1"/>
      <c r="LBM23" s="1"/>
      <c r="LBN23" s="1"/>
      <c r="LBO23" s="1"/>
      <c r="LBP23" s="1"/>
      <c r="LBQ23" s="1"/>
      <c r="LBR23" s="1"/>
      <c r="LBS23" s="1"/>
      <c r="LBT23" s="1"/>
      <c r="LBU23" s="1"/>
      <c r="LBV23" s="1"/>
      <c r="LBW23" s="1"/>
      <c r="LBX23" s="1"/>
      <c r="LBY23" s="1"/>
      <c r="LBZ23" s="1"/>
      <c r="LCA23" s="1"/>
      <c r="LCB23" s="1"/>
      <c r="LCC23" s="1"/>
      <c r="LCD23" s="1"/>
      <c r="LCE23" s="1"/>
      <c r="LCF23" s="1"/>
      <c r="LCG23" s="1"/>
      <c r="LCH23" s="1"/>
      <c r="LCI23" s="1"/>
      <c r="LCJ23" s="1"/>
      <c r="LCK23" s="1"/>
      <c r="LCL23" s="1"/>
      <c r="LCM23" s="1"/>
      <c r="LCN23" s="1"/>
      <c r="LCO23" s="1"/>
      <c r="LCP23" s="1"/>
      <c r="LCQ23" s="1"/>
      <c r="LCR23" s="1"/>
      <c r="LCS23" s="1"/>
      <c r="LCT23" s="1"/>
      <c r="LCU23" s="1"/>
      <c r="LCV23" s="1"/>
      <c r="LCW23" s="1"/>
      <c r="LCX23" s="1"/>
      <c r="LCY23" s="1"/>
      <c r="LCZ23" s="1"/>
      <c r="LDA23" s="1"/>
      <c r="LDB23" s="1"/>
      <c r="LDC23" s="1"/>
      <c r="LDD23" s="1"/>
      <c r="LDE23" s="1"/>
      <c r="LDF23" s="1"/>
      <c r="LDG23" s="1"/>
      <c r="LDH23" s="1"/>
      <c r="LDI23" s="1"/>
      <c r="LDJ23" s="1"/>
      <c r="LDK23" s="1"/>
      <c r="LDL23" s="1"/>
      <c r="LDM23" s="1"/>
      <c r="LDN23" s="1"/>
      <c r="LDO23" s="1"/>
      <c r="LDP23" s="1"/>
      <c r="LDQ23" s="1"/>
      <c r="LDR23" s="1"/>
      <c r="LDS23" s="1"/>
      <c r="LDT23" s="1"/>
      <c r="LDU23" s="1"/>
      <c r="LDV23" s="1"/>
      <c r="LDW23" s="1"/>
      <c r="LDX23" s="1"/>
      <c r="LDY23" s="1"/>
      <c r="LDZ23" s="1"/>
      <c r="LEA23" s="1"/>
      <c r="LEB23" s="1"/>
      <c r="LEC23" s="1"/>
      <c r="LED23" s="1"/>
      <c r="LEE23" s="1"/>
      <c r="LEF23" s="1"/>
      <c r="LEG23" s="1"/>
      <c r="LEH23" s="1"/>
      <c r="LEI23" s="1"/>
      <c r="LEJ23" s="1"/>
      <c r="LEK23" s="1"/>
      <c r="LEL23" s="1"/>
      <c r="LEM23" s="1"/>
      <c r="LEN23" s="1"/>
      <c r="LEO23" s="1"/>
      <c r="LEP23" s="1"/>
      <c r="LEQ23" s="1"/>
      <c r="LER23" s="1"/>
      <c r="LES23" s="1"/>
      <c r="LET23" s="1"/>
      <c r="LEU23" s="1"/>
      <c r="LEV23" s="1"/>
      <c r="LEW23" s="1"/>
      <c r="LEX23" s="1"/>
      <c r="LEY23" s="1"/>
      <c r="LEZ23" s="1"/>
      <c r="LFA23" s="1"/>
      <c r="LFB23" s="1"/>
      <c r="LFC23" s="1"/>
      <c r="LFD23" s="1"/>
      <c r="LFE23" s="1"/>
      <c r="LFF23" s="1"/>
      <c r="LFG23" s="1"/>
      <c r="LFH23" s="1"/>
      <c r="LFI23" s="1"/>
      <c r="LFJ23" s="1"/>
      <c r="LFK23" s="1"/>
      <c r="LFL23" s="1"/>
      <c r="LFM23" s="1"/>
      <c r="LFN23" s="1"/>
      <c r="LFO23" s="1"/>
      <c r="LFP23" s="1"/>
      <c r="LFQ23" s="1"/>
      <c r="LFR23" s="1"/>
      <c r="LFS23" s="1"/>
      <c r="LFT23" s="1"/>
      <c r="LFU23" s="1"/>
      <c r="LFV23" s="1"/>
      <c r="LFW23" s="1"/>
      <c r="LFX23" s="1"/>
      <c r="LFY23" s="1"/>
      <c r="LFZ23" s="1"/>
      <c r="LGA23" s="1"/>
      <c r="LGB23" s="1"/>
      <c r="LGC23" s="1"/>
      <c r="LGD23" s="1"/>
      <c r="LGE23" s="1"/>
      <c r="LGF23" s="1"/>
      <c r="LGG23" s="1"/>
      <c r="LGH23" s="1"/>
      <c r="LGI23" s="1"/>
      <c r="LGJ23" s="1"/>
      <c r="LGK23" s="1"/>
      <c r="LGL23" s="1"/>
      <c r="LGM23" s="1"/>
      <c r="LGN23" s="1"/>
      <c r="LGO23" s="1"/>
      <c r="LGP23" s="1"/>
      <c r="LGQ23" s="1"/>
      <c r="LGR23" s="1"/>
      <c r="LGS23" s="1"/>
      <c r="LGT23" s="1"/>
      <c r="LGU23" s="1"/>
      <c r="LGV23" s="1"/>
      <c r="LGW23" s="1"/>
      <c r="LGX23" s="1"/>
      <c r="LGY23" s="1"/>
      <c r="LGZ23" s="1"/>
      <c r="LHA23" s="1"/>
      <c r="LHB23" s="1"/>
      <c r="LHC23" s="1"/>
      <c r="LHD23" s="1"/>
      <c r="LHE23" s="1"/>
      <c r="LHF23" s="1"/>
      <c r="LHG23" s="1"/>
      <c r="LHH23" s="1"/>
      <c r="LHI23" s="1"/>
      <c r="LHJ23" s="1"/>
      <c r="LHK23" s="1"/>
      <c r="LHL23" s="1"/>
      <c r="LHM23" s="1"/>
      <c r="LHN23" s="1"/>
      <c r="LHO23" s="1"/>
      <c r="LHP23" s="1"/>
      <c r="LHQ23" s="1"/>
      <c r="LHR23" s="1"/>
      <c r="LHS23" s="1"/>
      <c r="LHT23" s="1"/>
      <c r="LHU23" s="1"/>
      <c r="LHV23" s="1"/>
      <c r="LHW23" s="1"/>
      <c r="LHX23" s="1"/>
      <c r="LHY23" s="1"/>
      <c r="LHZ23" s="1"/>
      <c r="LIA23" s="1"/>
      <c r="LIB23" s="1"/>
      <c r="LIC23" s="1"/>
      <c r="LID23" s="1"/>
      <c r="LIE23" s="1"/>
      <c r="LIF23" s="1"/>
      <c r="LIG23" s="1"/>
      <c r="LIH23" s="1"/>
      <c r="LII23" s="1"/>
      <c r="LIJ23" s="1"/>
      <c r="LIK23" s="1"/>
      <c r="LIL23" s="1"/>
      <c r="LIM23" s="1"/>
      <c r="LIN23" s="1"/>
      <c r="LIO23" s="1"/>
      <c r="LIP23" s="1"/>
      <c r="LIQ23" s="1"/>
      <c r="LIR23" s="1"/>
      <c r="LIS23" s="1"/>
      <c r="LIT23" s="1"/>
      <c r="LIU23" s="1"/>
      <c r="LIV23" s="1"/>
      <c r="LIW23" s="1"/>
      <c r="LIX23" s="1"/>
      <c r="LIY23" s="1"/>
      <c r="LIZ23" s="1"/>
      <c r="LJA23" s="1"/>
      <c r="LJB23" s="1"/>
      <c r="LJC23" s="1"/>
      <c r="LJD23" s="1"/>
      <c r="LJE23" s="1"/>
      <c r="LJF23" s="1"/>
      <c r="LJG23" s="1"/>
      <c r="LJH23" s="1"/>
      <c r="LJI23" s="1"/>
      <c r="LJJ23" s="1"/>
      <c r="LJK23" s="1"/>
      <c r="LJL23" s="1"/>
      <c r="LJM23" s="1"/>
      <c r="LJN23" s="1"/>
      <c r="LJO23" s="1"/>
      <c r="LJP23" s="1"/>
      <c r="LJQ23" s="1"/>
      <c r="LJR23" s="1"/>
      <c r="LJS23" s="1"/>
      <c r="LJT23" s="1"/>
      <c r="LJU23" s="1"/>
      <c r="LJV23" s="1"/>
      <c r="LJW23" s="1"/>
      <c r="LJX23" s="1"/>
      <c r="LJY23" s="1"/>
      <c r="LJZ23" s="1"/>
      <c r="LKA23" s="1"/>
      <c r="LKB23" s="1"/>
      <c r="LKC23" s="1"/>
      <c r="LKD23" s="1"/>
      <c r="LKE23" s="1"/>
      <c r="LKF23" s="1"/>
      <c r="LKG23" s="1"/>
      <c r="LKH23" s="1"/>
      <c r="LKI23" s="1"/>
      <c r="LKJ23" s="1"/>
      <c r="LKK23" s="1"/>
      <c r="LKL23" s="1"/>
      <c r="LKM23" s="1"/>
      <c r="LKN23" s="1"/>
      <c r="LKO23" s="1"/>
      <c r="LKP23" s="1"/>
      <c r="LKQ23" s="1"/>
      <c r="LKR23" s="1"/>
      <c r="LKS23" s="1"/>
      <c r="LKT23" s="1"/>
      <c r="LKU23" s="1"/>
      <c r="LKV23" s="1"/>
      <c r="LKW23" s="1"/>
      <c r="LKX23" s="1"/>
      <c r="LKY23" s="1"/>
      <c r="LKZ23" s="1"/>
      <c r="LLA23" s="1"/>
      <c r="LLB23" s="1"/>
      <c r="LLC23" s="1"/>
      <c r="LLD23" s="1"/>
      <c r="LLE23" s="1"/>
      <c r="LLF23" s="1"/>
      <c r="LLG23" s="1"/>
      <c r="LLH23" s="1"/>
      <c r="LLI23" s="1"/>
      <c r="LLJ23" s="1"/>
      <c r="LLK23" s="1"/>
      <c r="LLL23" s="1"/>
      <c r="LLM23" s="1"/>
      <c r="LLN23" s="1"/>
      <c r="LLO23" s="1"/>
      <c r="LLP23" s="1"/>
      <c r="LLQ23" s="1"/>
      <c r="LLR23" s="1"/>
      <c r="LLS23" s="1"/>
      <c r="LLT23" s="1"/>
      <c r="LLU23" s="1"/>
      <c r="LLV23" s="1"/>
      <c r="LLW23" s="1"/>
      <c r="LLX23" s="1"/>
      <c r="LLY23" s="1"/>
      <c r="LLZ23" s="1"/>
      <c r="LMA23" s="1"/>
      <c r="LMB23" s="1"/>
      <c r="LMC23" s="1"/>
      <c r="LMD23" s="1"/>
      <c r="LME23" s="1"/>
      <c r="LMF23" s="1"/>
      <c r="LMG23" s="1"/>
      <c r="LMH23" s="1"/>
      <c r="LMI23" s="1"/>
      <c r="LMJ23" s="1"/>
      <c r="LMK23" s="1"/>
      <c r="LML23" s="1"/>
      <c r="LMM23" s="1"/>
      <c r="LMN23" s="1"/>
      <c r="LMO23" s="1"/>
      <c r="LMP23" s="1"/>
      <c r="LMQ23" s="1"/>
      <c r="LMR23" s="1"/>
      <c r="LMS23" s="1"/>
      <c r="LMT23" s="1"/>
      <c r="LMU23" s="1"/>
      <c r="LMV23" s="1"/>
      <c r="LMW23" s="1"/>
      <c r="LMX23" s="1"/>
      <c r="LMY23" s="1"/>
      <c r="LMZ23" s="1"/>
      <c r="LNA23" s="1"/>
      <c r="LNB23" s="1"/>
      <c r="LNC23" s="1"/>
      <c r="LND23" s="1"/>
      <c r="LNE23" s="1"/>
      <c r="LNF23" s="1"/>
      <c r="LNG23" s="1"/>
      <c r="LNH23" s="1"/>
      <c r="LNI23" s="1"/>
      <c r="LNJ23" s="1"/>
      <c r="LNK23" s="1"/>
      <c r="LNL23" s="1"/>
      <c r="LNM23" s="1"/>
      <c r="LNN23" s="1"/>
      <c r="LNO23" s="1"/>
      <c r="LNP23" s="1"/>
      <c r="LNQ23" s="1"/>
      <c r="LNR23" s="1"/>
      <c r="LNS23" s="1"/>
      <c r="LNT23" s="1"/>
      <c r="LNU23" s="1"/>
      <c r="LNV23" s="1"/>
      <c r="LNW23" s="1"/>
      <c r="LNX23" s="1"/>
      <c r="LNY23" s="1"/>
      <c r="LNZ23" s="1"/>
      <c r="LOA23" s="1"/>
      <c r="LOB23" s="1"/>
      <c r="LOC23" s="1"/>
      <c r="LOD23" s="1"/>
      <c r="LOE23" s="1"/>
      <c r="LOF23" s="1"/>
      <c r="LOG23" s="1"/>
      <c r="LOH23" s="1"/>
      <c r="LOI23" s="1"/>
      <c r="LOJ23" s="1"/>
      <c r="LOK23" s="1"/>
      <c r="LOL23" s="1"/>
      <c r="LOM23" s="1"/>
      <c r="LON23" s="1"/>
      <c r="LOO23" s="1"/>
      <c r="LOP23" s="1"/>
      <c r="LOQ23" s="1"/>
      <c r="LOR23" s="1"/>
      <c r="LOS23" s="1"/>
      <c r="LOT23" s="1"/>
      <c r="LOU23" s="1"/>
      <c r="LOV23" s="1"/>
      <c r="LOW23" s="1"/>
      <c r="LOX23" s="1"/>
      <c r="LOY23" s="1"/>
      <c r="LOZ23" s="1"/>
      <c r="LPA23" s="1"/>
      <c r="LPB23" s="1"/>
      <c r="LPC23" s="1"/>
      <c r="LPD23" s="1"/>
      <c r="LPE23" s="1"/>
      <c r="LPF23" s="1"/>
      <c r="LPG23" s="1"/>
      <c r="LPH23" s="1"/>
      <c r="LPI23" s="1"/>
      <c r="LPJ23" s="1"/>
      <c r="LPK23" s="1"/>
      <c r="LPL23" s="1"/>
      <c r="LPM23" s="1"/>
      <c r="LPN23" s="1"/>
      <c r="LPO23" s="1"/>
      <c r="LPP23" s="1"/>
      <c r="LPQ23" s="1"/>
      <c r="LPR23" s="1"/>
      <c r="LPS23" s="1"/>
      <c r="LPT23" s="1"/>
      <c r="LPU23" s="1"/>
      <c r="LPV23" s="1"/>
      <c r="LPW23" s="1"/>
      <c r="LPX23" s="1"/>
      <c r="LPY23" s="1"/>
      <c r="LPZ23" s="1"/>
      <c r="LQA23" s="1"/>
      <c r="LQB23" s="1"/>
      <c r="LQC23" s="1"/>
      <c r="LQD23" s="1"/>
      <c r="LQE23" s="1"/>
      <c r="LQF23" s="1"/>
      <c r="LQG23" s="1"/>
      <c r="LQH23" s="1"/>
      <c r="LQI23" s="1"/>
      <c r="LQJ23" s="1"/>
      <c r="LQK23" s="1"/>
      <c r="LQL23" s="1"/>
      <c r="LQM23" s="1"/>
      <c r="LQN23" s="1"/>
      <c r="LQO23" s="1"/>
      <c r="LQP23" s="1"/>
      <c r="LQQ23" s="1"/>
      <c r="LQR23" s="1"/>
      <c r="LQS23" s="1"/>
      <c r="LQT23" s="1"/>
      <c r="LQU23" s="1"/>
      <c r="LQV23" s="1"/>
      <c r="LQW23" s="1"/>
      <c r="LQX23" s="1"/>
      <c r="LQY23" s="1"/>
      <c r="LQZ23" s="1"/>
      <c r="LRA23" s="1"/>
      <c r="LRB23" s="1"/>
      <c r="LRC23" s="1"/>
      <c r="LRD23" s="1"/>
      <c r="LRE23" s="1"/>
      <c r="LRF23" s="1"/>
      <c r="LRG23" s="1"/>
      <c r="LRH23" s="1"/>
      <c r="LRI23" s="1"/>
      <c r="LRJ23" s="1"/>
      <c r="LRK23" s="1"/>
      <c r="LRL23" s="1"/>
      <c r="LRM23" s="1"/>
      <c r="LRN23" s="1"/>
      <c r="LRO23" s="1"/>
      <c r="LRP23" s="1"/>
      <c r="LRQ23" s="1"/>
      <c r="LRR23" s="1"/>
      <c r="LRS23" s="1"/>
      <c r="LRT23" s="1"/>
      <c r="LRU23" s="1"/>
      <c r="LRV23" s="1"/>
      <c r="LRW23" s="1"/>
      <c r="LRX23" s="1"/>
      <c r="LRY23" s="1"/>
      <c r="LRZ23" s="1"/>
      <c r="LSA23" s="1"/>
      <c r="LSB23" s="1"/>
      <c r="LSC23" s="1"/>
      <c r="LSD23" s="1"/>
      <c r="LSE23" s="1"/>
      <c r="LSF23" s="1"/>
      <c r="LSG23" s="1"/>
      <c r="LSH23" s="1"/>
      <c r="LSI23" s="1"/>
      <c r="LSJ23" s="1"/>
      <c r="LSK23" s="1"/>
      <c r="LSL23" s="1"/>
      <c r="LSM23" s="1"/>
      <c r="LSN23" s="1"/>
      <c r="LSO23" s="1"/>
      <c r="LSP23" s="1"/>
      <c r="LSQ23" s="1"/>
      <c r="LSR23" s="1"/>
      <c r="LSS23" s="1"/>
      <c r="LST23" s="1"/>
      <c r="LSU23" s="1"/>
      <c r="LSV23" s="1"/>
      <c r="LSW23" s="1"/>
      <c r="LSX23" s="1"/>
      <c r="LSY23" s="1"/>
      <c r="LSZ23" s="1"/>
      <c r="LTA23" s="1"/>
      <c r="LTB23" s="1"/>
      <c r="LTC23" s="1"/>
      <c r="LTD23" s="1"/>
      <c r="LTE23" s="1"/>
      <c r="LTF23" s="1"/>
      <c r="LTG23" s="1"/>
      <c r="LTH23" s="1"/>
      <c r="LTI23" s="1"/>
      <c r="LTJ23" s="1"/>
      <c r="LTK23" s="1"/>
      <c r="LTL23" s="1"/>
      <c r="LTM23" s="1"/>
      <c r="LTN23" s="1"/>
      <c r="LTO23" s="1"/>
      <c r="LTP23" s="1"/>
      <c r="LTQ23" s="1"/>
      <c r="LTR23" s="1"/>
      <c r="LTS23" s="1"/>
      <c r="LTT23" s="1"/>
      <c r="LTU23" s="1"/>
      <c r="LTV23" s="1"/>
      <c r="LTW23" s="1"/>
      <c r="LTX23" s="1"/>
      <c r="LTY23" s="1"/>
      <c r="LTZ23" s="1"/>
      <c r="LUA23" s="1"/>
      <c r="LUB23" s="1"/>
      <c r="LUC23" s="1"/>
      <c r="LUD23" s="1"/>
      <c r="LUE23" s="1"/>
      <c r="LUF23" s="1"/>
      <c r="LUG23" s="1"/>
      <c r="LUH23" s="1"/>
      <c r="LUI23" s="1"/>
      <c r="LUJ23" s="1"/>
      <c r="LUK23" s="1"/>
      <c r="LUL23" s="1"/>
      <c r="LUM23" s="1"/>
      <c r="LUN23" s="1"/>
      <c r="LUO23" s="1"/>
      <c r="LUP23" s="1"/>
      <c r="LUQ23" s="1"/>
      <c r="LUR23" s="1"/>
      <c r="LUS23" s="1"/>
      <c r="LUT23" s="1"/>
      <c r="LUU23" s="1"/>
      <c r="LUV23" s="1"/>
      <c r="LUW23" s="1"/>
      <c r="LUX23" s="1"/>
      <c r="LUY23" s="1"/>
      <c r="LUZ23" s="1"/>
      <c r="LVA23" s="1"/>
      <c r="LVB23" s="1"/>
      <c r="LVC23" s="1"/>
      <c r="LVD23" s="1"/>
      <c r="LVE23" s="1"/>
      <c r="LVF23" s="1"/>
      <c r="LVG23" s="1"/>
      <c r="LVH23" s="1"/>
      <c r="LVI23" s="1"/>
      <c r="LVJ23" s="1"/>
      <c r="LVK23" s="1"/>
      <c r="LVL23" s="1"/>
      <c r="LVM23" s="1"/>
      <c r="LVN23" s="1"/>
      <c r="LVO23" s="1"/>
      <c r="LVP23" s="1"/>
      <c r="LVQ23" s="1"/>
      <c r="LVR23" s="1"/>
      <c r="LVS23" s="1"/>
      <c r="LVT23" s="1"/>
      <c r="LVU23" s="1"/>
      <c r="LVV23" s="1"/>
      <c r="LVW23" s="1"/>
      <c r="LVX23" s="1"/>
      <c r="LVY23" s="1"/>
      <c r="LVZ23" s="1"/>
      <c r="LWA23" s="1"/>
      <c r="LWB23" s="1"/>
      <c r="LWC23" s="1"/>
      <c r="LWD23" s="1"/>
      <c r="LWE23" s="1"/>
      <c r="LWF23" s="1"/>
      <c r="LWG23" s="1"/>
      <c r="LWH23" s="1"/>
      <c r="LWI23" s="1"/>
      <c r="LWJ23" s="1"/>
      <c r="LWK23" s="1"/>
      <c r="LWL23" s="1"/>
      <c r="LWM23" s="1"/>
      <c r="LWN23" s="1"/>
      <c r="LWO23" s="1"/>
      <c r="LWP23" s="1"/>
      <c r="LWQ23" s="1"/>
      <c r="LWR23" s="1"/>
      <c r="LWS23" s="1"/>
      <c r="LWT23" s="1"/>
      <c r="LWU23" s="1"/>
      <c r="LWV23" s="1"/>
      <c r="LWW23" s="1"/>
      <c r="LWX23" s="1"/>
      <c r="LWY23" s="1"/>
      <c r="LWZ23" s="1"/>
      <c r="LXA23" s="1"/>
      <c r="LXB23" s="1"/>
      <c r="LXC23" s="1"/>
      <c r="LXD23" s="1"/>
      <c r="LXE23" s="1"/>
      <c r="LXF23" s="1"/>
      <c r="LXG23" s="1"/>
      <c r="LXH23" s="1"/>
      <c r="LXI23" s="1"/>
      <c r="LXJ23" s="1"/>
      <c r="LXK23" s="1"/>
      <c r="LXL23" s="1"/>
      <c r="LXM23" s="1"/>
      <c r="LXN23" s="1"/>
      <c r="LXO23" s="1"/>
      <c r="LXP23" s="1"/>
      <c r="LXQ23" s="1"/>
      <c r="LXR23" s="1"/>
      <c r="LXS23" s="1"/>
      <c r="LXT23" s="1"/>
      <c r="LXU23" s="1"/>
      <c r="LXV23" s="1"/>
      <c r="LXW23" s="1"/>
      <c r="LXX23" s="1"/>
      <c r="LXY23" s="1"/>
      <c r="LXZ23" s="1"/>
      <c r="LYA23" s="1"/>
      <c r="LYB23" s="1"/>
      <c r="LYC23" s="1"/>
      <c r="LYD23" s="1"/>
      <c r="LYE23" s="1"/>
      <c r="LYF23" s="1"/>
      <c r="LYG23" s="1"/>
      <c r="LYH23" s="1"/>
      <c r="LYI23" s="1"/>
      <c r="LYJ23" s="1"/>
      <c r="LYK23" s="1"/>
      <c r="LYL23" s="1"/>
      <c r="LYM23" s="1"/>
      <c r="LYN23" s="1"/>
      <c r="LYO23" s="1"/>
      <c r="LYP23" s="1"/>
      <c r="LYQ23" s="1"/>
      <c r="LYR23" s="1"/>
      <c r="LYS23" s="1"/>
      <c r="LYT23" s="1"/>
      <c r="LYU23" s="1"/>
      <c r="LYV23" s="1"/>
      <c r="LYW23" s="1"/>
      <c r="LYX23" s="1"/>
      <c r="LYY23" s="1"/>
      <c r="LYZ23" s="1"/>
      <c r="LZA23" s="1"/>
      <c r="LZB23" s="1"/>
      <c r="LZC23" s="1"/>
      <c r="LZD23" s="1"/>
      <c r="LZE23" s="1"/>
      <c r="LZF23" s="1"/>
      <c r="LZG23" s="1"/>
      <c r="LZH23" s="1"/>
      <c r="LZI23" s="1"/>
      <c r="LZJ23" s="1"/>
      <c r="LZK23" s="1"/>
      <c r="LZL23" s="1"/>
      <c r="LZM23" s="1"/>
      <c r="LZN23" s="1"/>
      <c r="LZO23" s="1"/>
      <c r="LZP23" s="1"/>
      <c r="LZQ23" s="1"/>
      <c r="LZR23" s="1"/>
      <c r="LZS23" s="1"/>
      <c r="LZT23" s="1"/>
      <c r="LZU23" s="1"/>
      <c r="LZV23" s="1"/>
      <c r="LZW23" s="1"/>
      <c r="LZX23" s="1"/>
      <c r="LZY23" s="1"/>
      <c r="LZZ23" s="1"/>
      <c r="MAA23" s="1"/>
      <c r="MAB23" s="1"/>
      <c r="MAC23" s="1"/>
      <c r="MAD23" s="1"/>
      <c r="MAE23" s="1"/>
      <c r="MAF23" s="1"/>
      <c r="MAG23" s="1"/>
      <c r="MAH23" s="1"/>
      <c r="MAI23" s="1"/>
      <c r="MAJ23" s="1"/>
      <c r="MAK23" s="1"/>
      <c r="MAL23" s="1"/>
      <c r="MAM23" s="1"/>
      <c r="MAN23" s="1"/>
      <c r="MAO23" s="1"/>
      <c r="MAP23" s="1"/>
      <c r="MAQ23" s="1"/>
      <c r="MAR23" s="1"/>
      <c r="MAS23" s="1"/>
      <c r="MAT23" s="1"/>
      <c r="MAU23" s="1"/>
      <c r="MAV23" s="1"/>
      <c r="MAW23" s="1"/>
      <c r="MAX23" s="1"/>
      <c r="MAY23" s="1"/>
      <c r="MAZ23" s="1"/>
      <c r="MBA23" s="1"/>
      <c r="MBB23" s="1"/>
      <c r="MBC23" s="1"/>
      <c r="MBD23" s="1"/>
      <c r="MBE23" s="1"/>
      <c r="MBF23" s="1"/>
      <c r="MBG23" s="1"/>
      <c r="MBH23" s="1"/>
      <c r="MBI23" s="1"/>
      <c r="MBJ23" s="1"/>
      <c r="MBK23" s="1"/>
      <c r="MBL23" s="1"/>
      <c r="MBM23" s="1"/>
      <c r="MBN23" s="1"/>
      <c r="MBO23" s="1"/>
      <c r="MBP23" s="1"/>
      <c r="MBQ23" s="1"/>
      <c r="MBR23" s="1"/>
      <c r="MBS23" s="1"/>
      <c r="MBT23" s="1"/>
      <c r="MBU23" s="1"/>
      <c r="MBV23" s="1"/>
      <c r="MBW23" s="1"/>
      <c r="MBX23" s="1"/>
      <c r="MBY23" s="1"/>
      <c r="MBZ23" s="1"/>
      <c r="MCA23" s="1"/>
      <c r="MCB23" s="1"/>
      <c r="MCC23" s="1"/>
      <c r="MCD23" s="1"/>
      <c r="MCE23" s="1"/>
      <c r="MCF23" s="1"/>
      <c r="MCG23" s="1"/>
      <c r="MCH23" s="1"/>
      <c r="MCI23" s="1"/>
      <c r="MCJ23" s="1"/>
      <c r="MCK23" s="1"/>
      <c r="MCL23" s="1"/>
      <c r="MCM23" s="1"/>
      <c r="MCN23" s="1"/>
      <c r="MCO23" s="1"/>
      <c r="MCP23" s="1"/>
      <c r="MCQ23" s="1"/>
      <c r="MCR23" s="1"/>
      <c r="MCS23" s="1"/>
      <c r="MCT23" s="1"/>
      <c r="MCU23" s="1"/>
      <c r="MCV23" s="1"/>
      <c r="MCW23" s="1"/>
      <c r="MCX23" s="1"/>
      <c r="MCY23" s="1"/>
      <c r="MCZ23" s="1"/>
      <c r="MDA23" s="1"/>
      <c r="MDB23" s="1"/>
      <c r="MDC23" s="1"/>
      <c r="MDD23" s="1"/>
      <c r="MDE23" s="1"/>
      <c r="MDF23" s="1"/>
      <c r="MDG23" s="1"/>
      <c r="MDH23" s="1"/>
      <c r="MDI23" s="1"/>
      <c r="MDJ23" s="1"/>
      <c r="MDK23" s="1"/>
      <c r="MDL23" s="1"/>
      <c r="MDM23" s="1"/>
      <c r="MDN23" s="1"/>
      <c r="MDO23" s="1"/>
      <c r="MDP23" s="1"/>
      <c r="MDQ23" s="1"/>
      <c r="MDR23" s="1"/>
      <c r="MDS23" s="1"/>
      <c r="MDT23" s="1"/>
      <c r="MDU23" s="1"/>
      <c r="MDV23" s="1"/>
      <c r="MDW23" s="1"/>
      <c r="MDX23" s="1"/>
      <c r="MDY23" s="1"/>
      <c r="MDZ23" s="1"/>
      <c r="MEA23" s="1"/>
      <c r="MEB23" s="1"/>
      <c r="MEC23" s="1"/>
      <c r="MED23" s="1"/>
      <c r="MEE23" s="1"/>
      <c r="MEF23" s="1"/>
      <c r="MEG23" s="1"/>
      <c r="MEH23" s="1"/>
      <c r="MEI23" s="1"/>
      <c r="MEJ23" s="1"/>
      <c r="MEK23" s="1"/>
      <c r="MEL23" s="1"/>
      <c r="MEM23" s="1"/>
      <c r="MEN23" s="1"/>
      <c r="MEO23" s="1"/>
      <c r="MEP23" s="1"/>
      <c r="MEQ23" s="1"/>
      <c r="MER23" s="1"/>
      <c r="MES23" s="1"/>
      <c r="MET23" s="1"/>
      <c r="MEU23" s="1"/>
      <c r="MEV23" s="1"/>
      <c r="MEW23" s="1"/>
      <c r="MEX23" s="1"/>
      <c r="MEY23" s="1"/>
      <c r="MEZ23" s="1"/>
      <c r="MFA23" s="1"/>
      <c r="MFB23" s="1"/>
      <c r="MFC23" s="1"/>
      <c r="MFD23" s="1"/>
      <c r="MFE23" s="1"/>
      <c r="MFF23" s="1"/>
      <c r="MFG23" s="1"/>
      <c r="MFH23" s="1"/>
      <c r="MFI23" s="1"/>
      <c r="MFJ23" s="1"/>
      <c r="MFK23" s="1"/>
      <c r="MFL23" s="1"/>
      <c r="MFM23" s="1"/>
      <c r="MFN23" s="1"/>
      <c r="MFO23" s="1"/>
      <c r="MFP23" s="1"/>
      <c r="MFQ23" s="1"/>
      <c r="MFR23" s="1"/>
      <c r="MFS23" s="1"/>
      <c r="MFT23" s="1"/>
      <c r="MFU23" s="1"/>
      <c r="MFV23" s="1"/>
      <c r="MFW23" s="1"/>
      <c r="MFX23" s="1"/>
      <c r="MFY23" s="1"/>
      <c r="MFZ23" s="1"/>
      <c r="MGA23" s="1"/>
      <c r="MGB23" s="1"/>
      <c r="MGC23" s="1"/>
      <c r="MGD23" s="1"/>
      <c r="MGE23" s="1"/>
      <c r="MGF23" s="1"/>
      <c r="MGG23" s="1"/>
      <c r="MGH23" s="1"/>
      <c r="MGI23" s="1"/>
      <c r="MGJ23" s="1"/>
      <c r="MGK23" s="1"/>
      <c r="MGL23" s="1"/>
      <c r="MGM23" s="1"/>
      <c r="MGN23" s="1"/>
      <c r="MGO23" s="1"/>
      <c r="MGP23" s="1"/>
      <c r="MGQ23" s="1"/>
      <c r="MGR23" s="1"/>
      <c r="MGS23" s="1"/>
      <c r="MGT23" s="1"/>
      <c r="MGU23" s="1"/>
      <c r="MGV23" s="1"/>
      <c r="MGW23" s="1"/>
      <c r="MGX23" s="1"/>
      <c r="MGY23" s="1"/>
      <c r="MGZ23" s="1"/>
      <c r="MHA23" s="1"/>
      <c r="MHB23" s="1"/>
      <c r="MHC23" s="1"/>
      <c r="MHD23" s="1"/>
      <c r="MHE23" s="1"/>
      <c r="MHF23" s="1"/>
      <c r="MHG23" s="1"/>
      <c r="MHH23" s="1"/>
      <c r="MHI23" s="1"/>
      <c r="MHJ23" s="1"/>
      <c r="MHK23" s="1"/>
      <c r="MHL23" s="1"/>
      <c r="MHM23" s="1"/>
      <c r="MHN23" s="1"/>
      <c r="MHO23" s="1"/>
      <c r="MHP23" s="1"/>
      <c r="MHQ23" s="1"/>
      <c r="MHR23" s="1"/>
      <c r="MHS23" s="1"/>
      <c r="MHT23" s="1"/>
      <c r="MHU23" s="1"/>
      <c r="MHV23" s="1"/>
      <c r="MHW23" s="1"/>
      <c r="MHX23" s="1"/>
      <c r="MHY23" s="1"/>
      <c r="MHZ23" s="1"/>
      <c r="MIA23" s="1"/>
      <c r="MIB23" s="1"/>
      <c r="MIC23" s="1"/>
      <c r="MID23" s="1"/>
      <c r="MIE23" s="1"/>
      <c r="MIF23" s="1"/>
      <c r="MIG23" s="1"/>
      <c r="MIH23" s="1"/>
      <c r="MII23" s="1"/>
      <c r="MIJ23" s="1"/>
      <c r="MIK23" s="1"/>
      <c r="MIL23" s="1"/>
      <c r="MIM23" s="1"/>
      <c r="MIN23" s="1"/>
      <c r="MIO23" s="1"/>
      <c r="MIP23" s="1"/>
      <c r="MIQ23" s="1"/>
      <c r="MIR23" s="1"/>
      <c r="MIS23" s="1"/>
      <c r="MIT23" s="1"/>
      <c r="MIU23" s="1"/>
      <c r="MIV23" s="1"/>
      <c r="MIW23" s="1"/>
      <c r="MIX23" s="1"/>
      <c r="MIY23" s="1"/>
      <c r="MIZ23" s="1"/>
      <c r="MJA23" s="1"/>
      <c r="MJB23" s="1"/>
      <c r="MJC23" s="1"/>
      <c r="MJD23" s="1"/>
      <c r="MJE23" s="1"/>
      <c r="MJF23" s="1"/>
      <c r="MJG23" s="1"/>
      <c r="MJH23" s="1"/>
      <c r="MJI23" s="1"/>
      <c r="MJJ23" s="1"/>
      <c r="MJK23" s="1"/>
      <c r="MJL23" s="1"/>
      <c r="MJM23" s="1"/>
      <c r="MJN23" s="1"/>
      <c r="MJO23" s="1"/>
      <c r="MJP23" s="1"/>
      <c r="MJQ23" s="1"/>
      <c r="MJR23" s="1"/>
      <c r="MJS23" s="1"/>
      <c r="MJT23" s="1"/>
      <c r="MJU23" s="1"/>
      <c r="MJV23" s="1"/>
      <c r="MJW23" s="1"/>
      <c r="MJX23" s="1"/>
      <c r="MJY23" s="1"/>
      <c r="MJZ23" s="1"/>
      <c r="MKA23" s="1"/>
      <c r="MKB23" s="1"/>
      <c r="MKC23" s="1"/>
      <c r="MKD23" s="1"/>
      <c r="MKE23" s="1"/>
      <c r="MKF23" s="1"/>
      <c r="MKG23" s="1"/>
      <c r="MKH23" s="1"/>
      <c r="MKI23" s="1"/>
      <c r="MKJ23" s="1"/>
      <c r="MKK23" s="1"/>
      <c r="MKL23" s="1"/>
      <c r="MKM23" s="1"/>
      <c r="MKN23" s="1"/>
      <c r="MKO23" s="1"/>
      <c r="MKP23" s="1"/>
      <c r="MKQ23" s="1"/>
      <c r="MKR23" s="1"/>
      <c r="MKS23" s="1"/>
      <c r="MKT23" s="1"/>
      <c r="MKU23" s="1"/>
      <c r="MKV23" s="1"/>
      <c r="MKW23" s="1"/>
      <c r="MKX23" s="1"/>
      <c r="MKY23" s="1"/>
      <c r="MKZ23" s="1"/>
      <c r="MLA23" s="1"/>
      <c r="MLB23" s="1"/>
      <c r="MLC23" s="1"/>
      <c r="MLD23" s="1"/>
      <c r="MLE23" s="1"/>
      <c r="MLF23" s="1"/>
      <c r="MLG23" s="1"/>
      <c r="MLH23" s="1"/>
      <c r="MLI23" s="1"/>
      <c r="MLJ23" s="1"/>
      <c r="MLK23" s="1"/>
      <c r="MLL23" s="1"/>
      <c r="MLM23" s="1"/>
      <c r="MLN23" s="1"/>
      <c r="MLO23" s="1"/>
      <c r="MLP23" s="1"/>
      <c r="MLQ23" s="1"/>
      <c r="MLR23" s="1"/>
      <c r="MLS23" s="1"/>
      <c r="MLT23" s="1"/>
      <c r="MLU23" s="1"/>
      <c r="MLV23" s="1"/>
      <c r="MLW23" s="1"/>
      <c r="MLX23" s="1"/>
      <c r="MLY23" s="1"/>
      <c r="MLZ23" s="1"/>
      <c r="MMA23" s="1"/>
      <c r="MMB23" s="1"/>
      <c r="MMC23" s="1"/>
      <c r="MMD23" s="1"/>
      <c r="MME23" s="1"/>
      <c r="MMF23" s="1"/>
      <c r="MMG23" s="1"/>
      <c r="MMH23" s="1"/>
      <c r="MMI23" s="1"/>
      <c r="MMJ23" s="1"/>
      <c r="MMK23" s="1"/>
      <c r="MML23" s="1"/>
      <c r="MMM23" s="1"/>
      <c r="MMN23" s="1"/>
      <c r="MMO23" s="1"/>
      <c r="MMP23" s="1"/>
      <c r="MMQ23" s="1"/>
      <c r="MMR23" s="1"/>
      <c r="MMS23" s="1"/>
      <c r="MMT23" s="1"/>
      <c r="MMU23" s="1"/>
      <c r="MMV23" s="1"/>
      <c r="MMW23" s="1"/>
      <c r="MMX23" s="1"/>
      <c r="MMY23" s="1"/>
      <c r="MMZ23" s="1"/>
      <c r="MNA23" s="1"/>
      <c r="MNB23" s="1"/>
      <c r="MNC23" s="1"/>
      <c r="MND23" s="1"/>
      <c r="MNE23" s="1"/>
      <c r="MNF23" s="1"/>
      <c r="MNG23" s="1"/>
      <c r="MNH23" s="1"/>
      <c r="MNI23" s="1"/>
      <c r="MNJ23" s="1"/>
      <c r="MNK23" s="1"/>
      <c r="MNL23" s="1"/>
      <c r="MNM23" s="1"/>
      <c r="MNN23" s="1"/>
      <c r="MNO23" s="1"/>
      <c r="MNP23" s="1"/>
      <c r="MNQ23" s="1"/>
      <c r="MNR23" s="1"/>
      <c r="MNS23" s="1"/>
      <c r="MNT23" s="1"/>
      <c r="MNU23" s="1"/>
      <c r="MNV23" s="1"/>
      <c r="MNW23" s="1"/>
      <c r="MNX23" s="1"/>
      <c r="MNY23" s="1"/>
      <c r="MNZ23" s="1"/>
      <c r="MOA23" s="1"/>
      <c r="MOB23" s="1"/>
      <c r="MOC23" s="1"/>
      <c r="MOD23" s="1"/>
      <c r="MOE23" s="1"/>
      <c r="MOF23" s="1"/>
      <c r="MOG23" s="1"/>
      <c r="MOH23" s="1"/>
      <c r="MOI23" s="1"/>
      <c r="MOJ23" s="1"/>
      <c r="MOK23" s="1"/>
      <c r="MOL23" s="1"/>
      <c r="MOM23" s="1"/>
      <c r="MON23" s="1"/>
      <c r="MOO23" s="1"/>
      <c r="MOP23" s="1"/>
      <c r="MOQ23" s="1"/>
      <c r="MOR23" s="1"/>
      <c r="MOS23" s="1"/>
      <c r="MOT23" s="1"/>
      <c r="MOU23" s="1"/>
      <c r="MOV23" s="1"/>
      <c r="MOW23" s="1"/>
      <c r="MOX23" s="1"/>
      <c r="MOY23" s="1"/>
      <c r="MOZ23" s="1"/>
      <c r="MPA23" s="1"/>
      <c r="MPB23" s="1"/>
      <c r="MPC23" s="1"/>
      <c r="MPD23" s="1"/>
      <c r="MPE23" s="1"/>
      <c r="MPF23" s="1"/>
      <c r="MPG23" s="1"/>
      <c r="MPH23" s="1"/>
      <c r="MPI23" s="1"/>
      <c r="MPJ23" s="1"/>
      <c r="MPK23" s="1"/>
      <c r="MPL23" s="1"/>
      <c r="MPM23" s="1"/>
      <c r="MPN23" s="1"/>
      <c r="MPO23" s="1"/>
      <c r="MPP23" s="1"/>
      <c r="MPQ23" s="1"/>
      <c r="MPR23" s="1"/>
      <c r="MPS23" s="1"/>
      <c r="MPT23" s="1"/>
      <c r="MPU23" s="1"/>
      <c r="MPV23" s="1"/>
      <c r="MPW23" s="1"/>
      <c r="MPX23" s="1"/>
      <c r="MPY23" s="1"/>
      <c r="MPZ23" s="1"/>
      <c r="MQA23" s="1"/>
      <c r="MQB23" s="1"/>
      <c r="MQC23" s="1"/>
      <c r="MQD23" s="1"/>
      <c r="MQE23" s="1"/>
      <c r="MQF23" s="1"/>
      <c r="MQG23" s="1"/>
      <c r="MQH23" s="1"/>
      <c r="MQI23" s="1"/>
      <c r="MQJ23" s="1"/>
      <c r="MQK23" s="1"/>
      <c r="MQL23" s="1"/>
      <c r="MQM23" s="1"/>
      <c r="MQN23" s="1"/>
      <c r="MQO23" s="1"/>
      <c r="MQP23" s="1"/>
      <c r="MQQ23" s="1"/>
      <c r="MQR23" s="1"/>
      <c r="MQS23" s="1"/>
      <c r="MQT23" s="1"/>
      <c r="MQU23" s="1"/>
      <c r="MQV23" s="1"/>
      <c r="MQW23" s="1"/>
      <c r="MQX23" s="1"/>
      <c r="MQY23" s="1"/>
      <c r="MQZ23" s="1"/>
      <c r="MRA23" s="1"/>
      <c r="MRB23" s="1"/>
      <c r="MRC23" s="1"/>
      <c r="MRD23" s="1"/>
      <c r="MRE23" s="1"/>
      <c r="MRF23" s="1"/>
      <c r="MRG23" s="1"/>
      <c r="MRH23" s="1"/>
      <c r="MRI23" s="1"/>
      <c r="MRJ23" s="1"/>
      <c r="MRK23" s="1"/>
      <c r="MRL23" s="1"/>
      <c r="MRM23" s="1"/>
      <c r="MRN23" s="1"/>
      <c r="MRO23" s="1"/>
      <c r="MRP23" s="1"/>
      <c r="MRQ23" s="1"/>
      <c r="MRR23" s="1"/>
      <c r="MRS23" s="1"/>
      <c r="MRT23" s="1"/>
      <c r="MRU23" s="1"/>
      <c r="MRV23" s="1"/>
      <c r="MRW23" s="1"/>
      <c r="MRX23" s="1"/>
      <c r="MRY23" s="1"/>
      <c r="MRZ23" s="1"/>
      <c r="MSA23" s="1"/>
      <c r="MSB23" s="1"/>
      <c r="MSC23" s="1"/>
      <c r="MSD23" s="1"/>
      <c r="MSE23" s="1"/>
      <c r="MSF23" s="1"/>
      <c r="MSG23" s="1"/>
      <c r="MSH23" s="1"/>
      <c r="MSI23" s="1"/>
      <c r="MSJ23" s="1"/>
      <c r="MSK23" s="1"/>
      <c r="MSL23" s="1"/>
      <c r="MSM23" s="1"/>
      <c r="MSN23" s="1"/>
      <c r="MSO23" s="1"/>
      <c r="MSP23" s="1"/>
      <c r="MSQ23" s="1"/>
      <c r="MSR23" s="1"/>
      <c r="MSS23" s="1"/>
      <c r="MST23" s="1"/>
      <c r="MSU23" s="1"/>
      <c r="MSV23" s="1"/>
      <c r="MSW23" s="1"/>
      <c r="MSX23" s="1"/>
      <c r="MSY23" s="1"/>
      <c r="MSZ23" s="1"/>
      <c r="MTA23" s="1"/>
      <c r="MTB23" s="1"/>
      <c r="MTC23" s="1"/>
      <c r="MTD23" s="1"/>
      <c r="MTE23" s="1"/>
      <c r="MTF23" s="1"/>
      <c r="MTG23" s="1"/>
      <c r="MTH23" s="1"/>
      <c r="MTI23" s="1"/>
      <c r="MTJ23" s="1"/>
      <c r="MTK23" s="1"/>
      <c r="MTL23" s="1"/>
      <c r="MTM23" s="1"/>
      <c r="MTN23" s="1"/>
      <c r="MTO23" s="1"/>
      <c r="MTP23" s="1"/>
      <c r="MTQ23" s="1"/>
      <c r="MTR23" s="1"/>
      <c r="MTS23" s="1"/>
      <c r="MTT23" s="1"/>
      <c r="MTU23" s="1"/>
      <c r="MTV23" s="1"/>
      <c r="MTW23" s="1"/>
      <c r="MTX23" s="1"/>
      <c r="MTY23" s="1"/>
      <c r="MTZ23" s="1"/>
      <c r="MUA23" s="1"/>
      <c r="MUB23" s="1"/>
      <c r="MUC23" s="1"/>
      <c r="MUD23" s="1"/>
      <c r="MUE23" s="1"/>
      <c r="MUF23" s="1"/>
      <c r="MUG23" s="1"/>
      <c r="MUH23" s="1"/>
      <c r="MUI23" s="1"/>
      <c r="MUJ23" s="1"/>
      <c r="MUK23" s="1"/>
      <c r="MUL23" s="1"/>
      <c r="MUM23" s="1"/>
      <c r="MUN23" s="1"/>
      <c r="MUO23" s="1"/>
      <c r="MUP23" s="1"/>
      <c r="MUQ23" s="1"/>
      <c r="MUR23" s="1"/>
      <c r="MUS23" s="1"/>
      <c r="MUT23" s="1"/>
      <c r="MUU23" s="1"/>
      <c r="MUV23" s="1"/>
      <c r="MUW23" s="1"/>
      <c r="MUX23" s="1"/>
      <c r="MUY23" s="1"/>
      <c r="MUZ23" s="1"/>
      <c r="MVA23" s="1"/>
      <c r="MVB23" s="1"/>
      <c r="MVC23" s="1"/>
      <c r="MVD23" s="1"/>
      <c r="MVE23" s="1"/>
      <c r="MVF23" s="1"/>
      <c r="MVG23" s="1"/>
      <c r="MVH23" s="1"/>
      <c r="MVI23" s="1"/>
      <c r="MVJ23" s="1"/>
      <c r="MVK23" s="1"/>
      <c r="MVL23" s="1"/>
      <c r="MVM23" s="1"/>
      <c r="MVN23" s="1"/>
      <c r="MVO23" s="1"/>
      <c r="MVP23" s="1"/>
      <c r="MVQ23" s="1"/>
      <c r="MVR23" s="1"/>
      <c r="MVS23" s="1"/>
      <c r="MVT23" s="1"/>
      <c r="MVU23" s="1"/>
      <c r="MVV23" s="1"/>
      <c r="MVW23" s="1"/>
      <c r="MVX23" s="1"/>
      <c r="MVY23" s="1"/>
      <c r="MVZ23" s="1"/>
      <c r="MWA23" s="1"/>
      <c r="MWB23" s="1"/>
      <c r="MWC23" s="1"/>
      <c r="MWD23" s="1"/>
      <c r="MWE23" s="1"/>
      <c r="MWF23" s="1"/>
      <c r="MWG23" s="1"/>
      <c r="MWH23" s="1"/>
      <c r="MWI23" s="1"/>
      <c r="MWJ23" s="1"/>
      <c r="MWK23" s="1"/>
      <c r="MWL23" s="1"/>
      <c r="MWM23" s="1"/>
      <c r="MWN23" s="1"/>
      <c r="MWO23" s="1"/>
      <c r="MWP23" s="1"/>
      <c r="MWQ23" s="1"/>
      <c r="MWR23" s="1"/>
      <c r="MWS23" s="1"/>
      <c r="MWT23" s="1"/>
      <c r="MWU23" s="1"/>
      <c r="MWV23" s="1"/>
      <c r="MWW23" s="1"/>
      <c r="MWX23" s="1"/>
      <c r="MWY23" s="1"/>
      <c r="MWZ23" s="1"/>
      <c r="MXA23" s="1"/>
      <c r="MXB23" s="1"/>
      <c r="MXC23" s="1"/>
      <c r="MXD23" s="1"/>
      <c r="MXE23" s="1"/>
      <c r="MXF23" s="1"/>
      <c r="MXG23" s="1"/>
      <c r="MXH23" s="1"/>
      <c r="MXI23" s="1"/>
      <c r="MXJ23" s="1"/>
      <c r="MXK23" s="1"/>
      <c r="MXL23" s="1"/>
      <c r="MXM23" s="1"/>
      <c r="MXN23" s="1"/>
      <c r="MXO23" s="1"/>
      <c r="MXP23" s="1"/>
      <c r="MXQ23" s="1"/>
      <c r="MXR23" s="1"/>
      <c r="MXS23" s="1"/>
      <c r="MXT23" s="1"/>
      <c r="MXU23" s="1"/>
      <c r="MXV23" s="1"/>
      <c r="MXW23" s="1"/>
      <c r="MXX23" s="1"/>
      <c r="MXY23" s="1"/>
      <c r="MXZ23" s="1"/>
      <c r="MYA23" s="1"/>
      <c r="MYB23" s="1"/>
      <c r="MYC23" s="1"/>
      <c r="MYD23" s="1"/>
      <c r="MYE23" s="1"/>
      <c r="MYF23" s="1"/>
      <c r="MYG23" s="1"/>
      <c r="MYH23" s="1"/>
      <c r="MYI23" s="1"/>
      <c r="MYJ23" s="1"/>
      <c r="MYK23" s="1"/>
      <c r="MYL23" s="1"/>
      <c r="MYM23" s="1"/>
      <c r="MYN23" s="1"/>
      <c r="MYO23" s="1"/>
      <c r="MYP23" s="1"/>
      <c r="MYQ23" s="1"/>
      <c r="MYR23" s="1"/>
      <c r="MYS23" s="1"/>
      <c r="MYT23" s="1"/>
      <c r="MYU23" s="1"/>
      <c r="MYV23" s="1"/>
      <c r="MYW23" s="1"/>
      <c r="MYX23" s="1"/>
      <c r="MYY23" s="1"/>
      <c r="MYZ23" s="1"/>
      <c r="MZA23" s="1"/>
      <c r="MZB23" s="1"/>
      <c r="MZC23" s="1"/>
      <c r="MZD23" s="1"/>
      <c r="MZE23" s="1"/>
      <c r="MZF23" s="1"/>
      <c r="MZG23" s="1"/>
      <c r="MZH23" s="1"/>
      <c r="MZI23" s="1"/>
      <c r="MZJ23" s="1"/>
      <c r="MZK23" s="1"/>
      <c r="MZL23" s="1"/>
      <c r="MZM23" s="1"/>
      <c r="MZN23" s="1"/>
      <c r="MZO23" s="1"/>
      <c r="MZP23" s="1"/>
      <c r="MZQ23" s="1"/>
      <c r="MZR23" s="1"/>
      <c r="MZS23" s="1"/>
      <c r="MZT23" s="1"/>
      <c r="MZU23" s="1"/>
      <c r="MZV23" s="1"/>
      <c r="MZW23" s="1"/>
      <c r="MZX23" s="1"/>
      <c r="MZY23" s="1"/>
      <c r="MZZ23" s="1"/>
      <c r="NAA23" s="1"/>
      <c r="NAB23" s="1"/>
      <c r="NAC23" s="1"/>
      <c r="NAD23" s="1"/>
      <c r="NAE23" s="1"/>
      <c r="NAF23" s="1"/>
      <c r="NAG23" s="1"/>
      <c r="NAH23" s="1"/>
      <c r="NAI23" s="1"/>
      <c r="NAJ23" s="1"/>
      <c r="NAK23" s="1"/>
      <c r="NAL23" s="1"/>
      <c r="NAM23" s="1"/>
      <c r="NAN23" s="1"/>
      <c r="NAO23" s="1"/>
      <c r="NAP23" s="1"/>
      <c r="NAQ23" s="1"/>
      <c r="NAR23" s="1"/>
      <c r="NAS23" s="1"/>
      <c r="NAT23" s="1"/>
      <c r="NAU23" s="1"/>
      <c r="NAV23" s="1"/>
      <c r="NAW23" s="1"/>
      <c r="NAX23" s="1"/>
      <c r="NAY23" s="1"/>
      <c r="NAZ23" s="1"/>
      <c r="NBA23" s="1"/>
      <c r="NBB23" s="1"/>
      <c r="NBC23" s="1"/>
      <c r="NBD23" s="1"/>
      <c r="NBE23" s="1"/>
      <c r="NBF23" s="1"/>
      <c r="NBG23" s="1"/>
      <c r="NBH23" s="1"/>
      <c r="NBI23" s="1"/>
      <c r="NBJ23" s="1"/>
      <c r="NBK23" s="1"/>
      <c r="NBL23" s="1"/>
      <c r="NBM23" s="1"/>
      <c r="NBN23" s="1"/>
      <c r="NBO23" s="1"/>
      <c r="NBP23" s="1"/>
      <c r="NBQ23" s="1"/>
      <c r="NBR23" s="1"/>
      <c r="NBS23" s="1"/>
      <c r="NBT23" s="1"/>
      <c r="NBU23" s="1"/>
      <c r="NBV23" s="1"/>
      <c r="NBW23" s="1"/>
      <c r="NBX23" s="1"/>
      <c r="NBY23" s="1"/>
      <c r="NBZ23" s="1"/>
      <c r="NCA23" s="1"/>
      <c r="NCB23" s="1"/>
      <c r="NCC23" s="1"/>
      <c r="NCD23" s="1"/>
      <c r="NCE23" s="1"/>
      <c r="NCF23" s="1"/>
      <c r="NCG23" s="1"/>
      <c r="NCH23" s="1"/>
      <c r="NCI23" s="1"/>
      <c r="NCJ23" s="1"/>
      <c r="NCK23" s="1"/>
      <c r="NCL23" s="1"/>
      <c r="NCM23" s="1"/>
      <c r="NCN23" s="1"/>
      <c r="NCO23" s="1"/>
      <c r="NCP23" s="1"/>
      <c r="NCQ23" s="1"/>
      <c r="NCR23" s="1"/>
      <c r="NCS23" s="1"/>
      <c r="NCT23" s="1"/>
      <c r="NCU23" s="1"/>
      <c r="NCV23" s="1"/>
      <c r="NCW23" s="1"/>
      <c r="NCX23" s="1"/>
      <c r="NCY23" s="1"/>
      <c r="NCZ23" s="1"/>
      <c r="NDA23" s="1"/>
      <c r="NDB23" s="1"/>
      <c r="NDC23" s="1"/>
      <c r="NDD23" s="1"/>
      <c r="NDE23" s="1"/>
      <c r="NDF23" s="1"/>
      <c r="NDG23" s="1"/>
      <c r="NDH23" s="1"/>
      <c r="NDI23" s="1"/>
      <c r="NDJ23" s="1"/>
      <c r="NDK23" s="1"/>
      <c r="NDL23" s="1"/>
      <c r="NDM23" s="1"/>
      <c r="NDN23" s="1"/>
      <c r="NDO23" s="1"/>
      <c r="NDP23" s="1"/>
      <c r="NDQ23" s="1"/>
      <c r="NDR23" s="1"/>
      <c r="NDS23" s="1"/>
      <c r="NDT23" s="1"/>
      <c r="NDU23" s="1"/>
      <c r="NDV23" s="1"/>
      <c r="NDW23" s="1"/>
      <c r="NDX23" s="1"/>
      <c r="NDY23" s="1"/>
      <c r="NDZ23" s="1"/>
      <c r="NEA23" s="1"/>
      <c r="NEB23" s="1"/>
      <c r="NEC23" s="1"/>
      <c r="NED23" s="1"/>
      <c r="NEE23" s="1"/>
      <c r="NEF23" s="1"/>
      <c r="NEG23" s="1"/>
      <c r="NEH23" s="1"/>
      <c r="NEI23" s="1"/>
      <c r="NEJ23" s="1"/>
      <c r="NEK23" s="1"/>
      <c r="NEL23" s="1"/>
      <c r="NEM23" s="1"/>
      <c r="NEN23" s="1"/>
      <c r="NEO23" s="1"/>
      <c r="NEP23" s="1"/>
      <c r="NEQ23" s="1"/>
      <c r="NER23" s="1"/>
      <c r="NES23" s="1"/>
      <c r="NET23" s="1"/>
      <c r="NEU23" s="1"/>
      <c r="NEV23" s="1"/>
      <c r="NEW23" s="1"/>
      <c r="NEX23" s="1"/>
      <c r="NEY23" s="1"/>
      <c r="NEZ23" s="1"/>
      <c r="NFA23" s="1"/>
      <c r="NFB23" s="1"/>
      <c r="NFC23" s="1"/>
      <c r="NFD23" s="1"/>
      <c r="NFE23" s="1"/>
      <c r="NFF23" s="1"/>
      <c r="NFG23" s="1"/>
      <c r="NFH23" s="1"/>
      <c r="NFI23" s="1"/>
      <c r="NFJ23" s="1"/>
      <c r="NFK23" s="1"/>
      <c r="NFL23" s="1"/>
      <c r="NFM23" s="1"/>
      <c r="NFN23" s="1"/>
      <c r="NFO23" s="1"/>
      <c r="NFP23" s="1"/>
      <c r="NFQ23" s="1"/>
      <c r="NFR23" s="1"/>
      <c r="NFS23" s="1"/>
      <c r="NFT23" s="1"/>
      <c r="NFU23" s="1"/>
      <c r="NFV23" s="1"/>
      <c r="NFW23" s="1"/>
      <c r="NFX23" s="1"/>
      <c r="NFY23" s="1"/>
      <c r="NFZ23" s="1"/>
      <c r="NGA23" s="1"/>
      <c r="NGB23" s="1"/>
      <c r="NGC23" s="1"/>
      <c r="NGD23" s="1"/>
      <c r="NGE23" s="1"/>
      <c r="NGF23" s="1"/>
      <c r="NGG23" s="1"/>
      <c r="NGH23" s="1"/>
      <c r="NGI23" s="1"/>
      <c r="NGJ23" s="1"/>
      <c r="NGK23" s="1"/>
      <c r="NGL23" s="1"/>
      <c r="NGM23" s="1"/>
      <c r="NGN23" s="1"/>
      <c r="NGO23" s="1"/>
      <c r="NGP23" s="1"/>
      <c r="NGQ23" s="1"/>
      <c r="NGR23" s="1"/>
      <c r="NGS23" s="1"/>
      <c r="NGT23" s="1"/>
      <c r="NGU23" s="1"/>
      <c r="NGV23" s="1"/>
      <c r="NGW23" s="1"/>
      <c r="NGX23" s="1"/>
      <c r="NGY23" s="1"/>
      <c r="NGZ23" s="1"/>
      <c r="NHA23" s="1"/>
      <c r="NHB23" s="1"/>
      <c r="NHC23" s="1"/>
      <c r="NHD23" s="1"/>
      <c r="NHE23" s="1"/>
      <c r="NHF23" s="1"/>
      <c r="NHG23" s="1"/>
      <c r="NHH23" s="1"/>
      <c r="NHI23" s="1"/>
      <c r="NHJ23" s="1"/>
      <c r="NHK23" s="1"/>
      <c r="NHL23" s="1"/>
      <c r="NHM23" s="1"/>
      <c r="NHN23" s="1"/>
      <c r="NHO23" s="1"/>
      <c r="NHP23" s="1"/>
      <c r="NHQ23" s="1"/>
      <c r="NHR23" s="1"/>
      <c r="NHS23" s="1"/>
      <c r="NHT23" s="1"/>
      <c r="NHU23" s="1"/>
      <c r="NHV23" s="1"/>
      <c r="NHW23" s="1"/>
      <c r="NHX23" s="1"/>
      <c r="NHY23" s="1"/>
      <c r="NHZ23" s="1"/>
      <c r="NIA23" s="1"/>
      <c r="NIB23" s="1"/>
      <c r="NIC23" s="1"/>
      <c r="NID23" s="1"/>
      <c r="NIE23" s="1"/>
      <c r="NIF23" s="1"/>
      <c r="NIG23" s="1"/>
      <c r="NIH23" s="1"/>
      <c r="NII23" s="1"/>
      <c r="NIJ23" s="1"/>
      <c r="NIK23" s="1"/>
      <c r="NIL23" s="1"/>
      <c r="NIM23" s="1"/>
      <c r="NIN23" s="1"/>
      <c r="NIO23" s="1"/>
      <c r="NIP23" s="1"/>
      <c r="NIQ23" s="1"/>
      <c r="NIR23" s="1"/>
      <c r="NIS23" s="1"/>
      <c r="NIT23" s="1"/>
      <c r="NIU23" s="1"/>
      <c r="NIV23" s="1"/>
      <c r="NIW23" s="1"/>
      <c r="NIX23" s="1"/>
      <c r="NIY23" s="1"/>
      <c r="NIZ23" s="1"/>
      <c r="NJA23" s="1"/>
      <c r="NJB23" s="1"/>
      <c r="NJC23" s="1"/>
      <c r="NJD23" s="1"/>
      <c r="NJE23" s="1"/>
      <c r="NJF23" s="1"/>
      <c r="NJG23" s="1"/>
      <c r="NJH23" s="1"/>
      <c r="NJI23" s="1"/>
      <c r="NJJ23" s="1"/>
      <c r="NJK23" s="1"/>
      <c r="NJL23" s="1"/>
      <c r="NJM23" s="1"/>
      <c r="NJN23" s="1"/>
      <c r="NJO23" s="1"/>
      <c r="NJP23" s="1"/>
      <c r="NJQ23" s="1"/>
      <c r="NJR23" s="1"/>
      <c r="NJS23" s="1"/>
      <c r="NJT23" s="1"/>
      <c r="NJU23" s="1"/>
      <c r="NJV23" s="1"/>
      <c r="NJW23" s="1"/>
      <c r="NJX23" s="1"/>
      <c r="NJY23" s="1"/>
      <c r="NJZ23" s="1"/>
      <c r="NKA23" s="1"/>
      <c r="NKB23" s="1"/>
      <c r="NKC23" s="1"/>
      <c r="NKD23" s="1"/>
      <c r="NKE23" s="1"/>
      <c r="NKF23" s="1"/>
      <c r="NKG23" s="1"/>
      <c r="NKH23" s="1"/>
      <c r="NKI23" s="1"/>
      <c r="NKJ23" s="1"/>
      <c r="NKK23" s="1"/>
      <c r="NKL23" s="1"/>
      <c r="NKM23" s="1"/>
      <c r="NKN23" s="1"/>
      <c r="NKO23" s="1"/>
      <c r="NKP23" s="1"/>
      <c r="NKQ23" s="1"/>
      <c r="NKR23" s="1"/>
      <c r="NKS23" s="1"/>
      <c r="NKT23" s="1"/>
      <c r="NKU23" s="1"/>
      <c r="NKV23" s="1"/>
      <c r="NKW23" s="1"/>
      <c r="NKX23" s="1"/>
      <c r="NKY23" s="1"/>
      <c r="NKZ23" s="1"/>
      <c r="NLA23" s="1"/>
      <c r="NLB23" s="1"/>
      <c r="NLC23" s="1"/>
      <c r="NLD23" s="1"/>
      <c r="NLE23" s="1"/>
      <c r="NLF23" s="1"/>
      <c r="NLG23" s="1"/>
      <c r="NLH23" s="1"/>
      <c r="NLI23" s="1"/>
      <c r="NLJ23" s="1"/>
      <c r="NLK23" s="1"/>
      <c r="NLL23" s="1"/>
      <c r="NLM23" s="1"/>
      <c r="NLN23" s="1"/>
      <c r="NLO23" s="1"/>
      <c r="NLP23" s="1"/>
      <c r="NLQ23" s="1"/>
      <c r="NLR23" s="1"/>
      <c r="NLS23" s="1"/>
      <c r="NLT23" s="1"/>
      <c r="NLU23" s="1"/>
      <c r="NLV23" s="1"/>
      <c r="NLW23" s="1"/>
      <c r="NLX23" s="1"/>
      <c r="NLY23" s="1"/>
      <c r="NLZ23" s="1"/>
      <c r="NMA23" s="1"/>
      <c r="NMB23" s="1"/>
      <c r="NMC23" s="1"/>
      <c r="NMD23" s="1"/>
      <c r="NME23" s="1"/>
      <c r="NMF23" s="1"/>
      <c r="NMG23" s="1"/>
      <c r="NMH23" s="1"/>
      <c r="NMI23" s="1"/>
      <c r="NMJ23" s="1"/>
      <c r="NMK23" s="1"/>
      <c r="NML23" s="1"/>
      <c r="NMM23" s="1"/>
      <c r="NMN23" s="1"/>
      <c r="NMO23" s="1"/>
      <c r="NMP23" s="1"/>
      <c r="NMQ23" s="1"/>
      <c r="NMR23" s="1"/>
      <c r="NMS23" s="1"/>
      <c r="NMT23" s="1"/>
      <c r="NMU23" s="1"/>
      <c r="NMV23" s="1"/>
      <c r="NMW23" s="1"/>
      <c r="NMX23" s="1"/>
      <c r="NMY23" s="1"/>
      <c r="NMZ23" s="1"/>
      <c r="NNA23" s="1"/>
      <c r="NNB23" s="1"/>
      <c r="NNC23" s="1"/>
      <c r="NND23" s="1"/>
      <c r="NNE23" s="1"/>
      <c r="NNF23" s="1"/>
      <c r="NNG23" s="1"/>
      <c r="NNH23" s="1"/>
      <c r="NNI23" s="1"/>
      <c r="NNJ23" s="1"/>
      <c r="NNK23" s="1"/>
      <c r="NNL23" s="1"/>
      <c r="NNM23" s="1"/>
      <c r="NNN23" s="1"/>
      <c r="NNO23" s="1"/>
      <c r="NNP23" s="1"/>
      <c r="NNQ23" s="1"/>
      <c r="NNR23" s="1"/>
      <c r="NNS23" s="1"/>
      <c r="NNT23" s="1"/>
      <c r="NNU23" s="1"/>
      <c r="NNV23" s="1"/>
      <c r="NNW23" s="1"/>
      <c r="NNX23" s="1"/>
      <c r="NNY23" s="1"/>
      <c r="NNZ23" s="1"/>
      <c r="NOA23" s="1"/>
      <c r="NOB23" s="1"/>
      <c r="NOC23" s="1"/>
      <c r="NOD23" s="1"/>
      <c r="NOE23" s="1"/>
      <c r="NOF23" s="1"/>
      <c r="NOG23" s="1"/>
      <c r="NOH23" s="1"/>
      <c r="NOI23" s="1"/>
      <c r="NOJ23" s="1"/>
      <c r="NOK23" s="1"/>
      <c r="NOL23" s="1"/>
      <c r="NOM23" s="1"/>
      <c r="NON23" s="1"/>
      <c r="NOO23" s="1"/>
      <c r="NOP23" s="1"/>
      <c r="NOQ23" s="1"/>
      <c r="NOR23" s="1"/>
      <c r="NOS23" s="1"/>
      <c r="NOT23" s="1"/>
      <c r="NOU23" s="1"/>
      <c r="NOV23" s="1"/>
      <c r="NOW23" s="1"/>
      <c r="NOX23" s="1"/>
      <c r="NOY23" s="1"/>
      <c r="NOZ23" s="1"/>
      <c r="NPA23" s="1"/>
      <c r="NPB23" s="1"/>
      <c r="NPC23" s="1"/>
      <c r="NPD23" s="1"/>
      <c r="NPE23" s="1"/>
      <c r="NPF23" s="1"/>
      <c r="NPG23" s="1"/>
      <c r="NPH23" s="1"/>
      <c r="NPI23" s="1"/>
      <c r="NPJ23" s="1"/>
      <c r="NPK23" s="1"/>
      <c r="NPL23" s="1"/>
      <c r="NPM23" s="1"/>
      <c r="NPN23" s="1"/>
      <c r="NPO23" s="1"/>
      <c r="NPP23" s="1"/>
      <c r="NPQ23" s="1"/>
      <c r="NPR23" s="1"/>
      <c r="NPS23" s="1"/>
      <c r="NPT23" s="1"/>
      <c r="NPU23" s="1"/>
      <c r="NPV23" s="1"/>
      <c r="NPW23" s="1"/>
      <c r="NPX23" s="1"/>
      <c r="NPY23" s="1"/>
      <c r="NPZ23" s="1"/>
      <c r="NQA23" s="1"/>
      <c r="NQB23" s="1"/>
      <c r="NQC23" s="1"/>
      <c r="NQD23" s="1"/>
      <c r="NQE23" s="1"/>
      <c r="NQF23" s="1"/>
      <c r="NQG23" s="1"/>
      <c r="NQH23" s="1"/>
      <c r="NQI23" s="1"/>
      <c r="NQJ23" s="1"/>
      <c r="NQK23" s="1"/>
      <c r="NQL23" s="1"/>
      <c r="NQM23" s="1"/>
      <c r="NQN23" s="1"/>
      <c r="NQO23" s="1"/>
      <c r="NQP23" s="1"/>
      <c r="NQQ23" s="1"/>
      <c r="NQR23" s="1"/>
      <c r="NQS23" s="1"/>
      <c r="NQT23" s="1"/>
      <c r="NQU23" s="1"/>
      <c r="NQV23" s="1"/>
      <c r="NQW23" s="1"/>
      <c r="NQX23" s="1"/>
      <c r="NQY23" s="1"/>
      <c r="NQZ23" s="1"/>
      <c r="NRA23" s="1"/>
      <c r="NRB23" s="1"/>
      <c r="NRC23" s="1"/>
      <c r="NRD23" s="1"/>
      <c r="NRE23" s="1"/>
      <c r="NRF23" s="1"/>
      <c r="NRG23" s="1"/>
      <c r="NRH23" s="1"/>
      <c r="NRI23" s="1"/>
      <c r="NRJ23" s="1"/>
      <c r="NRK23" s="1"/>
      <c r="NRL23" s="1"/>
      <c r="NRM23" s="1"/>
      <c r="NRN23" s="1"/>
      <c r="NRO23" s="1"/>
      <c r="NRP23" s="1"/>
      <c r="NRQ23" s="1"/>
      <c r="NRR23" s="1"/>
      <c r="NRS23" s="1"/>
      <c r="NRT23" s="1"/>
      <c r="NRU23" s="1"/>
      <c r="NRV23" s="1"/>
      <c r="NRW23" s="1"/>
      <c r="NRX23" s="1"/>
      <c r="NRY23" s="1"/>
      <c r="NRZ23" s="1"/>
      <c r="NSA23" s="1"/>
      <c r="NSB23" s="1"/>
      <c r="NSC23" s="1"/>
      <c r="NSD23" s="1"/>
      <c r="NSE23" s="1"/>
      <c r="NSF23" s="1"/>
      <c r="NSG23" s="1"/>
      <c r="NSH23" s="1"/>
      <c r="NSI23" s="1"/>
      <c r="NSJ23" s="1"/>
      <c r="NSK23" s="1"/>
      <c r="NSL23" s="1"/>
      <c r="NSM23" s="1"/>
      <c r="NSN23" s="1"/>
      <c r="NSO23" s="1"/>
      <c r="NSP23" s="1"/>
      <c r="NSQ23" s="1"/>
      <c r="NSR23" s="1"/>
      <c r="NSS23" s="1"/>
      <c r="NST23" s="1"/>
      <c r="NSU23" s="1"/>
      <c r="NSV23" s="1"/>
      <c r="NSW23" s="1"/>
      <c r="NSX23" s="1"/>
      <c r="NSY23" s="1"/>
      <c r="NSZ23" s="1"/>
      <c r="NTA23" s="1"/>
      <c r="NTB23" s="1"/>
      <c r="NTC23" s="1"/>
      <c r="NTD23" s="1"/>
      <c r="NTE23" s="1"/>
      <c r="NTF23" s="1"/>
      <c r="NTG23" s="1"/>
      <c r="NTH23" s="1"/>
      <c r="NTI23" s="1"/>
      <c r="NTJ23" s="1"/>
      <c r="NTK23" s="1"/>
      <c r="NTL23" s="1"/>
      <c r="NTM23" s="1"/>
      <c r="NTN23" s="1"/>
      <c r="NTO23" s="1"/>
      <c r="NTP23" s="1"/>
      <c r="NTQ23" s="1"/>
      <c r="NTR23" s="1"/>
      <c r="NTS23" s="1"/>
      <c r="NTT23" s="1"/>
      <c r="NTU23" s="1"/>
      <c r="NTV23" s="1"/>
      <c r="NTW23" s="1"/>
      <c r="NTX23" s="1"/>
      <c r="NTY23" s="1"/>
      <c r="NTZ23" s="1"/>
      <c r="NUA23" s="1"/>
      <c r="NUB23" s="1"/>
      <c r="NUC23" s="1"/>
      <c r="NUD23" s="1"/>
      <c r="NUE23" s="1"/>
      <c r="NUF23" s="1"/>
      <c r="NUG23" s="1"/>
      <c r="NUH23" s="1"/>
      <c r="NUI23" s="1"/>
      <c r="NUJ23" s="1"/>
      <c r="NUK23" s="1"/>
      <c r="NUL23" s="1"/>
      <c r="NUM23" s="1"/>
      <c r="NUN23" s="1"/>
      <c r="NUO23" s="1"/>
      <c r="NUP23" s="1"/>
      <c r="NUQ23" s="1"/>
      <c r="NUR23" s="1"/>
      <c r="NUS23" s="1"/>
      <c r="NUT23" s="1"/>
      <c r="NUU23" s="1"/>
      <c r="NUV23" s="1"/>
      <c r="NUW23" s="1"/>
      <c r="NUX23" s="1"/>
      <c r="NUY23" s="1"/>
      <c r="NUZ23" s="1"/>
      <c r="NVA23" s="1"/>
      <c r="NVB23" s="1"/>
      <c r="NVC23" s="1"/>
      <c r="NVD23" s="1"/>
      <c r="NVE23" s="1"/>
      <c r="NVF23" s="1"/>
      <c r="NVG23" s="1"/>
      <c r="NVH23" s="1"/>
      <c r="NVI23" s="1"/>
      <c r="NVJ23" s="1"/>
      <c r="NVK23" s="1"/>
      <c r="NVL23" s="1"/>
      <c r="NVM23" s="1"/>
      <c r="NVN23" s="1"/>
      <c r="NVO23" s="1"/>
      <c r="NVP23" s="1"/>
      <c r="NVQ23" s="1"/>
      <c r="NVR23" s="1"/>
      <c r="NVS23" s="1"/>
      <c r="NVT23" s="1"/>
      <c r="NVU23" s="1"/>
      <c r="NVV23" s="1"/>
      <c r="NVW23" s="1"/>
      <c r="NVX23" s="1"/>
      <c r="NVY23" s="1"/>
      <c r="NVZ23" s="1"/>
      <c r="NWA23" s="1"/>
      <c r="NWB23" s="1"/>
      <c r="NWC23" s="1"/>
      <c r="NWD23" s="1"/>
      <c r="NWE23" s="1"/>
      <c r="NWF23" s="1"/>
      <c r="NWG23" s="1"/>
      <c r="NWH23" s="1"/>
      <c r="NWI23" s="1"/>
      <c r="NWJ23" s="1"/>
      <c r="NWK23" s="1"/>
      <c r="NWL23" s="1"/>
      <c r="NWM23" s="1"/>
      <c r="NWN23" s="1"/>
      <c r="NWO23" s="1"/>
      <c r="NWP23" s="1"/>
      <c r="NWQ23" s="1"/>
      <c r="NWR23" s="1"/>
      <c r="NWS23" s="1"/>
      <c r="NWT23" s="1"/>
      <c r="NWU23" s="1"/>
      <c r="NWV23" s="1"/>
      <c r="NWW23" s="1"/>
      <c r="NWX23" s="1"/>
      <c r="NWY23" s="1"/>
      <c r="NWZ23" s="1"/>
      <c r="NXA23" s="1"/>
      <c r="NXB23" s="1"/>
      <c r="NXC23" s="1"/>
      <c r="NXD23" s="1"/>
      <c r="NXE23" s="1"/>
      <c r="NXF23" s="1"/>
      <c r="NXG23" s="1"/>
      <c r="NXH23" s="1"/>
      <c r="NXI23" s="1"/>
      <c r="NXJ23" s="1"/>
      <c r="NXK23" s="1"/>
      <c r="NXL23" s="1"/>
      <c r="NXM23" s="1"/>
      <c r="NXN23" s="1"/>
      <c r="NXO23" s="1"/>
      <c r="NXP23" s="1"/>
      <c r="NXQ23" s="1"/>
      <c r="NXR23" s="1"/>
      <c r="NXS23" s="1"/>
      <c r="NXT23" s="1"/>
      <c r="NXU23" s="1"/>
      <c r="NXV23" s="1"/>
      <c r="NXW23" s="1"/>
      <c r="NXX23" s="1"/>
      <c r="NXY23" s="1"/>
      <c r="NXZ23" s="1"/>
      <c r="NYA23" s="1"/>
      <c r="NYB23" s="1"/>
      <c r="NYC23" s="1"/>
      <c r="NYD23" s="1"/>
      <c r="NYE23" s="1"/>
      <c r="NYF23" s="1"/>
      <c r="NYG23" s="1"/>
      <c r="NYH23" s="1"/>
      <c r="NYI23" s="1"/>
      <c r="NYJ23" s="1"/>
      <c r="NYK23" s="1"/>
      <c r="NYL23" s="1"/>
      <c r="NYM23" s="1"/>
      <c r="NYN23" s="1"/>
      <c r="NYO23" s="1"/>
      <c r="NYP23" s="1"/>
      <c r="NYQ23" s="1"/>
      <c r="NYR23" s="1"/>
      <c r="NYS23" s="1"/>
      <c r="NYT23" s="1"/>
      <c r="NYU23" s="1"/>
      <c r="NYV23" s="1"/>
      <c r="NYW23" s="1"/>
      <c r="NYX23" s="1"/>
      <c r="NYY23" s="1"/>
      <c r="NYZ23" s="1"/>
      <c r="NZA23" s="1"/>
      <c r="NZB23" s="1"/>
      <c r="NZC23" s="1"/>
      <c r="NZD23" s="1"/>
      <c r="NZE23" s="1"/>
      <c r="NZF23" s="1"/>
      <c r="NZG23" s="1"/>
      <c r="NZH23" s="1"/>
      <c r="NZI23" s="1"/>
      <c r="NZJ23" s="1"/>
      <c r="NZK23" s="1"/>
      <c r="NZL23" s="1"/>
      <c r="NZM23" s="1"/>
      <c r="NZN23" s="1"/>
      <c r="NZO23" s="1"/>
      <c r="NZP23" s="1"/>
      <c r="NZQ23" s="1"/>
      <c r="NZR23" s="1"/>
      <c r="NZS23" s="1"/>
      <c r="NZT23" s="1"/>
      <c r="NZU23" s="1"/>
      <c r="NZV23" s="1"/>
      <c r="NZW23" s="1"/>
      <c r="NZX23" s="1"/>
      <c r="NZY23" s="1"/>
      <c r="NZZ23" s="1"/>
      <c r="OAA23" s="1"/>
      <c r="OAB23" s="1"/>
      <c r="OAC23" s="1"/>
      <c r="OAD23" s="1"/>
      <c r="OAE23" s="1"/>
      <c r="OAF23" s="1"/>
      <c r="OAG23" s="1"/>
      <c r="OAH23" s="1"/>
      <c r="OAI23" s="1"/>
      <c r="OAJ23" s="1"/>
      <c r="OAK23" s="1"/>
      <c r="OAL23" s="1"/>
      <c r="OAM23" s="1"/>
      <c r="OAN23" s="1"/>
      <c r="OAO23" s="1"/>
      <c r="OAP23" s="1"/>
      <c r="OAQ23" s="1"/>
      <c r="OAR23" s="1"/>
      <c r="OAS23" s="1"/>
      <c r="OAT23" s="1"/>
      <c r="OAU23" s="1"/>
      <c r="OAV23" s="1"/>
      <c r="OAW23" s="1"/>
      <c r="OAX23" s="1"/>
      <c r="OAY23" s="1"/>
      <c r="OAZ23" s="1"/>
      <c r="OBA23" s="1"/>
      <c r="OBB23" s="1"/>
      <c r="OBC23" s="1"/>
      <c r="OBD23" s="1"/>
      <c r="OBE23" s="1"/>
      <c r="OBF23" s="1"/>
      <c r="OBG23" s="1"/>
      <c r="OBH23" s="1"/>
      <c r="OBI23" s="1"/>
      <c r="OBJ23" s="1"/>
      <c r="OBK23" s="1"/>
      <c r="OBL23" s="1"/>
      <c r="OBM23" s="1"/>
      <c r="OBN23" s="1"/>
      <c r="OBO23" s="1"/>
      <c r="OBP23" s="1"/>
      <c r="OBQ23" s="1"/>
      <c r="OBR23" s="1"/>
      <c r="OBS23" s="1"/>
      <c r="OBT23" s="1"/>
      <c r="OBU23" s="1"/>
      <c r="OBV23" s="1"/>
      <c r="OBW23" s="1"/>
      <c r="OBX23" s="1"/>
      <c r="OBY23" s="1"/>
      <c r="OBZ23" s="1"/>
      <c r="OCA23" s="1"/>
      <c r="OCB23" s="1"/>
      <c r="OCC23" s="1"/>
      <c r="OCD23" s="1"/>
      <c r="OCE23" s="1"/>
      <c r="OCF23" s="1"/>
      <c r="OCG23" s="1"/>
      <c r="OCH23" s="1"/>
      <c r="OCI23" s="1"/>
      <c r="OCJ23" s="1"/>
      <c r="OCK23" s="1"/>
      <c r="OCL23" s="1"/>
      <c r="OCM23" s="1"/>
      <c r="OCN23" s="1"/>
      <c r="OCO23" s="1"/>
      <c r="OCP23" s="1"/>
      <c r="OCQ23" s="1"/>
      <c r="OCR23" s="1"/>
      <c r="OCS23" s="1"/>
      <c r="OCT23" s="1"/>
      <c r="OCU23" s="1"/>
      <c r="OCV23" s="1"/>
      <c r="OCW23" s="1"/>
      <c r="OCX23" s="1"/>
      <c r="OCY23" s="1"/>
      <c r="OCZ23" s="1"/>
      <c r="ODA23" s="1"/>
      <c r="ODB23" s="1"/>
      <c r="ODC23" s="1"/>
      <c r="ODD23" s="1"/>
      <c r="ODE23" s="1"/>
      <c r="ODF23" s="1"/>
      <c r="ODG23" s="1"/>
      <c r="ODH23" s="1"/>
      <c r="ODI23" s="1"/>
      <c r="ODJ23" s="1"/>
      <c r="ODK23" s="1"/>
      <c r="ODL23" s="1"/>
      <c r="ODM23" s="1"/>
      <c r="ODN23" s="1"/>
      <c r="ODO23" s="1"/>
      <c r="ODP23" s="1"/>
      <c r="ODQ23" s="1"/>
      <c r="ODR23" s="1"/>
      <c r="ODS23" s="1"/>
      <c r="ODT23" s="1"/>
      <c r="ODU23" s="1"/>
      <c r="ODV23" s="1"/>
      <c r="ODW23" s="1"/>
      <c r="ODX23" s="1"/>
      <c r="ODY23" s="1"/>
      <c r="ODZ23" s="1"/>
      <c r="OEA23" s="1"/>
      <c r="OEB23" s="1"/>
      <c r="OEC23" s="1"/>
      <c r="OED23" s="1"/>
      <c r="OEE23" s="1"/>
      <c r="OEF23" s="1"/>
      <c r="OEG23" s="1"/>
      <c r="OEH23" s="1"/>
      <c r="OEI23" s="1"/>
      <c r="OEJ23" s="1"/>
      <c r="OEK23" s="1"/>
      <c r="OEL23" s="1"/>
      <c r="OEM23" s="1"/>
      <c r="OEN23" s="1"/>
      <c r="OEO23" s="1"/>
      <c r="OEP23" s="1"/>
      <c r="OEQ23" s="1"/>
      <c r="OER23" s="1"/>
      <c r="OES23" s="1"/>
      <c r="OET23" s="1"/>
      <c r="OEU23" s="1"/>
      <c r="OEV23" s="1"/>
      <c r="OEW23" s="1"/>
      <c r="OEX23" s="1"/>
      <c r="OEY23" s="1"/>
      <c r="OEZ23" s="1"/>
      <c r="OFA23" s="1"/>
      <c r="OFB23" s="1"/>
      <c r="OFC23" s="1"/>
      <c r="OFD23" s="1"/>
      <c r="OFE23" s="1"/>
      <c r="OFF23" s="1"/>
      <c r="OFG23" s="1"/>
      <c r="OFH23" s="1"/>
      <c r="OFI23" s="1"/>
      <c r="OFJ23" s="1"/>
      <c r="OFK23" s="1"/>
      <c r="OFL23" s="1"/>
      <c r="OFM23" s="1"/>
      <c r="OFN23" s="1"/>
      <c r="OFO23" s="1"/>
      <c r="OFP23" s="1"/>
      <c r="OFQ23" s="1"/>
      <c r="OFR23" s="1"/>
      <c r="OFS23" s="1"/>
      <c r="OFT23" s="1"/>
      <c r="OFU23" s="1"/>
      <c r="OFV23" s="1"/>
      <c r="OFW23" s="1"/>
      <c r="OFX23" s="1"/>
      <c r="OFY23" s="1"/>
      <c r="OFZ23" s="1"/>
      <c r="OGA23" s="1"/>
      <c r="OGB23" s="1"/>
      <c r="OGC23" s="1"/>
      <c r="OGD23" s="1"/>
      <c r="OGE23" s="1"/>
      <c r="OGF23" s="1"/>
      <c r="OGG23" s="1"/>
      <c r="OGH23" s="1"/>
      <c r="OGI23" s="1"/>
      <c r="OGJ23" s="1"/>
      <c r="OGK23" s="1"/>
      <c r="OGL23" s="1"/>
      <c r="OGM23" s="1"/>
      <c r="OGN23" s="1"/>
      <c r="OGO23" s="1"/>
      <c r="OGP23" s="1"/>
      <c r="OGQ23" s="1"/>
      <c r="OGR23" s="1"/>
      <c r="OGS23" s="1"/>
      <c r="OGT23" s="1"/>
      <c r="OGU23" s="1"/>
      <c r="OGV23" s="1"/>
      <c r="OGW23" s="1"/>
      <c r="OGX23" s="1"/>
      <c r="OGY23" s="1"/>
      <c r="OGZ23" s="1"/>
      <c r="OHA23" s="1"/>
      <c r="OHB23" s="1"/>
      <c r="OHC23" s="1"/>
      <c r="OHD23" s="1"/>
      <c r="OHE23" s="1"/>
      <c r="OHF23" s="1"/>
      <c r="OHG23" s="1"/>
      <c r="OHH23" s="1"/>
      <c r="OHI23" s="1"/>
      <c r="OHJ23" s="1"/>
      <c r="OHK23" s="1"/>
      <c r="OHL23" s="1"/>
      <c r="OHM23" s="1"/>
      <c r="OHN23" s="1"/>
      <c r="OHO23" s="1"/>
      <c r="OHP23" s="1"/>
      <c r="OHQ23" s="1"/>
      <c r="OHR23" s="1"/>
      <c r="OHS23" s="1"/>
      <c r="OHT23" s="1"/>
      <c r="OHU23" s="1"/>
      <c r="OHV23" s="1"/>
      <c r="OHW23" s="1"/>
      <c r="OHX23" s="1"/>
      <c r="OHY23" s="1"/>
      <c r="OHZ23" s="1"/>
      <c r="OIA23" s="1"/>
      <c r="OIB23" s="1"/>
      <c r="OIC23" s="1"/>
      <c r="OID23" s="1"/>
      <c r="OIE23" s="1"/>
      <c r="OIF23" s="1"/>
      <c r="OIG23" s="1"/>
      <c r="OIH23" s="1"/>
      <c r="OII23" s="1"/>
      <c r="OIJ23" s="1"/>
      <c r="OIK23" s="1"/>
      <c r="OIL23" s="1"/>
      <c r="OIM23" s="1"/>
      <c r="OIN23" s="1"/>
      <c r="OIO23" s="1"/>
      <c r="OIP23" s="1"/>
      <c r="OIQ23" s="1"/>
      <c r="OIR23" s="1"/>
      <c r="OIS23" s="1"/>
      <c r="OIT23" s="1"/>
      <c r="OIU23" s="1"/>
      <c r="OIV23" s="1"/>
      <c r="OIW23" s="1"/>
      <c r="OIX23" s="1"/>
      <c r="OIY23" s="1"/>
      <c r="OIZ23" s="1"/>
      <c r="OJA23" s="1"/>
      <c r="OJB23" s="1"/>
      <c r="OJC23" s="1"/>
      <c r="OJD23" s="1"/>
      <c r="OJE23" s="1"/>
      <c r="OJF23" s="1"/>
      <c r="OJG23" s="1"/>
      <c r="OJH23" s="1"/>
      <c r="OJI23" s="1"/>
      <c r="OJJ23" s="1"/>
      <c r="OJK23" s="1"/>
      <c r="OJL23" s="1"/>
      <c r="OJM23" s="1"/>
      <c r="OJN23" s="1"/>
      <c r="OJO23" s="1"/>
      <c r="OJP23" s="1"/>
      <c r="OJQ23" s="1"/>
      <c r="OJR23" s="1"/>
      <c r="OJS23" s="1"/>
      <c r="OJT23" s="1"/>
      <c r="OJU23" s="1"/>
      <c r="OJV23" s="1"/>
      <c r="OJW23" s="1"/>
      <c r="OJX23" s="1"/>
      <c r="OJY23" s="1"/>
      <c r="OJZ23" s="1"/>
      <c r="OKA23" s="1"/>
      <c r="OKB23" s="1"/>
      <c r="OKC23" s="1"/>
      <c r="OKD23" s="1"/>
      <c r="OKE23" s="1"/>
      <c r="OKF23" s="1"/>
      <c r="OKG23" s="1"/>
      <c r="OKH23" s="1"/>
      <c r="OKI23" s="1"/>
      <c r="OKJ23" s="1"/>
      <c r="OKK23" s="1"/>
      <c r="OKL23" s="1"/>
      <c r="OKM23" s="1"/>
      <c r="OKN23" s="1"/>
      <c r="OKO23" s="1"/>
      <c r="OKP23" s="1"/>
      <c r="OKQ23" s="1"/>
      <c r="OKR23" s="1"/>
      <c r="OKS23" s="1"/>
      <c r="OKT23" s="1"/>
      <c r="OKU23" s="1"/>
      <c r="OKV23" s="1"/>
      <c r="OKW23" s="1"/>
      <c r="OKX23" s="1"/>
      <c r="OKY23" s="1"/>
      <c r="OKZ23" s="1"/>
      <c r="OLA23" s="1"/>
      <c r="OLB23" s="1"/>
      <c r="OLC23" s="1"/>
      <c r="OLD23" s="1"/>
      <c r="OLE23" s="1"/>
      <c r="OLF23" s="1"/>
      <c r="OLG23" s="1"/>
      <c r="OLH23" s="1"/>
      <c r="OLI23" s="1"/>
      <c r="OLJ23" s="1"/>
      <c r="OLK23" s="1"/>
      <c r="OLL23" s="1"/>
      <c r="OLM23" s="1"/>
      <c r="OLN23" s="1"/>
      <c r="OLO23" s="1"/>
      <c r="OLP23" s="1"/>
      <c r="OLQ23" s="1"/>
      <c r="OLR23" s="1"/>
      <c r="OLS23" s="1"/>
      <c r="OLT23" s="1"/>
      <c r="OLU23" s="1"/>
      <c r="OLV23" s="1"/>
      <c r="OLW23" s="1"/>
      <c r="OLX23" s="1"/>
      <c r="OLY23" s="1"/>
      <c r="OLZ23" s="1"/>
      <c r="OMA23" s="1"/>
      <c r="OMB23" s="1"/>
      <c r="OMC23" s="1"/>
      <c r="OMD23" s="1"/>
      <c r="OME23" s="1"/>
      <c r="OMF23" s="1"/>
      <c r="OMG23" s="1"/>
      <c r="OMH23" s="1"/>
      <c r="OMI23" s="1"/>
      <c r="OMJ23" s="1"/>
      <c r="OMK23" s="1"/>
      <c r="OML23" s="1"/>
      <c r="OMM23" s="1"/>
      <c r="OMN23" s="1"/>
      <c r="OMO23" s="1"/>
      <c r="OMP23" s="1"/>
      <c r="OMQ23" s="1"/>
      <c r="OMR23" s="1"/>
      <c r="OMS23" s="1"/>
      <c r="OMT23" s="1"/>
      <c r="OMU23" s="1"/>
      <c r="OMV23" s="1"/>
      <c r="OMW23" s="1"/>
      <c r="OMX23" s="1"/>
      <c r="OMY23" s="1"/>
      <c r="OMZ23" s="1"/>
      <c r="ONA23" s="1"/>
      <c r="ONB23" s="1"/>
      <c r="ONC23" s="1"/>
      <c r="OND23" s="1"/>
      <c r="ONE23" s="1"/>
      <c r="ONF23" s="1"/>
      <c r="ONG23" s="1"/>
      <c r="ONH23" s="1"/>
      <c r="ONI23" s="1"/>
      <c r="ONJ23" s="1"/>
      <c r="ONK23" s="1"/>
      <c r="ONL23" s="1"/>
      <c r="ONM23" s="1"/>
      <c r="ONN23" s="1"/>
      <c r="ONO23" s="1"/>
      <c r="ONP23" s="1"/>
      <c r="ONQ23" s="1"/>
      <c r="ONR23" s="1"/>
      <c r="ONS23" s="1"/>
      <c r="ONT23" s="1"/>
      <c r="ONU23" s="1"/>
      <c r="ONV23" s="1"/>
      <c r="ONW23" s="1"/>
      <c r="ONX23" s="1"/>
      <c r="ONY23" s="1"/>
      <c r="ONZ23" s="1"/>
      <c r="OOA23" s="1"/>
      <c r="OOB23" s="1"/>
      <c r="OOC23" s="1"/>
      <c r="OOD23" s="1"/>
      <c r="OOE23" s="1"/>
      <c r="OOF23" s="1"/>
      <c r="OOG23" s="1"/>
      <c r="OOH23" s="1"/>
      <c r="OOI23" s="1"/>
      <c r="OOJ23" s="1"/>
      <c r="OOK23" s="1"/>
      <c r="OOL23" s="1"/>
      <c r="OOM23" s="1"/>
      <c r="OON23" s="1"/>
      <c r="OOO23" s="1"/>
      <c r="OOP23" s="1"/>
      <c r="OOQ23" s="1"/>
      <c r="OOR23" s="1"/>
      <c r="OOS23" s="1"/>
      <c r="OOT23" s="1"/>
      <c r="OOU23" s="1"/>
      <c r="OOV23" s="1"/>
      <c r="OOW23" s="1"/>
      <c r="OOX23" s="1"/>
      <c r="OOY23" s="1"/>
      <c r="OOZ23" s="1"/>
      <c r="OPA23" s="1"/>
      <c r="OPB23" s="1"/>
      <c r="OPC23" s="1"/>
      <c r="OPD23" s="1"/>
      <c r="OPE23" s="1"/>
      <c r="OPF23" s="1"/>
      <c r="OPG23" s="1"/>
      <c r="OPH23" s="1"/>
      <c r="OPI23" s="1"/>
      <c r="OPJ23" s="1"/>
      <c r="OPK23" s="1"/>
      <c r="OPL23" s="1"/>
      <c r="OPM23" s="1"/>
      <c r="OPN23" s="1"/>
      <c r="OPO23" s="1"/>
      <c r="OPP23" s="1"/>
      <c r="OPQ23" s="1"/>
      <c r="OPR23" s="1"/>
      <c r="OPS23" s="1"/>
      <c r="OPT23" s="1"/>
      <c r="OPU23" s="1"/>
      <c r="OPV23" s="1"/>
      <c r="OPW23" s="1"/>
      <c r="OPX23" s="1"/>
      <c r="OPY23" s="1"/>
      <c r="OPZ23" s="1"/>
      <c r="OQA23" s="1"/>
      <c r="OQB23" s="1"/>
      <c r="OQC23" s="1"/>
      <c r="OQD23" s="1"/>
      <c r="OQE23" s="1"/>
      <c r="OQF23" s="1"/>
      <c r="OQG23" s="1"/>
      <c r="OQH23" s="1"/>
      <c r="OQI23" s="1"/>
      <c r="OQJ23" s="1"/>
      <c r="OQK23" s="1"/>
      <c r="OQL23" s="1"/>
      <c r="OQM23" s="1"/>
      <c r="OQN23" s="1"/>
      <c r="OQO23" s="1"/>
      <c r="OQP23" s="1"/>
      <c r="OQQ23" s="1"/>
      <c r="OQR23" s="1"/>
      <c r="OQS23" s="1"/>
      <c r="OQT23" s="1"/>
      <c r="OQU23" s="1"/>
      <c r="OQV23" s="1"/>
      <c r="OQW23" s="1"/>
      <c r="OQX23" s="1"/>
      <c r="OQY23" s="1"/>
      <c r="OQZ23" s="1"/>
      <c r="ORA23" s="1"/>
      <c r="ORB23" s="1"/>
      <c r="ORC23" s="1"/>
      <c r="ORD23" s="1"/>
      <c r="ORE23" s="1"/>
      <c r="ORF23" s="1"/>
      <c r="ORG23" s="1"/>
      <c r="ORH23" s="1"/>
      <c r="ORI23" s="1"/>
      <c r="ORJ23" s="1"/>
      <c r="ORK23" s="1"/>
      <c r="ORL23" s="1"/>
      <c r="ORM23" s="1"/>
      <c r="ORN23" s="1"/>
      <c r="ORO23" s="1"/>
      <c r="ORP23" s="1"/>
      <c r="ORQ23" s="1"/>
      <c r="ORR23" s="1"/>
      <c r="ORS23" s="1"/>
      <c r="ORT23" s="1"/>
      <c r="ORU23" s="1"/>
      <c r="ORV23" s="1"/>
      <c r="ORW23" s="1"/>
      <c r="ORX23" s="1"/>
      <c r="ORY23" s="1"/>
      <c r="ORZ23" s="1"/>
      <c r="OSA23" s="1"/>
      <c r="OSB23" s="1"/>
      <c r="OSC23" s="1"/>
      <c r="OSD23" s="1"/>
      <c r="OSE23" s="1"/>
      <c r="OSF23" s="1"/>
      <c r="OSG23" s="1"/>
      <c r="OSH23" s="1"/>
      <c r="OSI23" s="1"/>
      <c r="OSJ23" s="1"/>
      <c r="OSK23" s="1"/>
      <c r="OSL23" s="1"/>
      <c r="OSM23" s="1"/>
      <c r="OSN23" s="1"/>
      <c r="OSO23" s="1"/>
      <c r="OSP23" s="1"/>
      <c r="OSQ23" s="1"/>
      <c r="OSR23" s="1"/>
      <c r="OSS23" s="1"/>
      <c r="OST23" s="1"/>
      <c r="OSU23" s="1"/>
      <c r="OSV23" s="1"/>
      <c r="OSW23" s="1"/>
      <c r="OSX23" s="1"/>
      <c r="OSY23" s="1"/>
      <c r="OSZ23" s="1"/>
      <c r="OTA23" s="1"/>
      <c r="OTB23" s="1"/>
      <c r="OTC23" s="1"/>
      <c r="OTD23" s="1"/>
      <c r="OTE23" s="1"/>
      <c r="OTF23" s="1"/>
      <c r="OTG23" s="1"/>
      <c r="OTH23" s="1"/>
      <c r="OTI23" s="1"/>
      <c r="OTJ23" s="1"/>
      <c r="OTK23" s="1"/>
      <c r="OTL23" s="1"/>
      <c r="OTM23" s="1"/>
      <c r="OTN23" s="1"/>
      <c r="OTO23" s="1"/>
      <c r="OTP23" s="1"/>
      <c r="OTQ23" s="1"/>
      <c r="OTR23" s="1"/>
      <c r="OTS23" s="1"/>
      <c r="OTT23" s="1"/>
      <c r="OTU23" s="1"/>
      <c r="OTV23" s="1"/>
      <c r="OTW23" s="1"/>
      <c r="OTX23" s="1"/>
      <c r="OTY23" s="1"/>
      <c r="OTZ23" s="1"/>
      <c r="OUA23" s="1"/>
      <c r="OUB23" s="1"/>
      <c r="OUC23" s="1"/>
      <c r="OUD23" s="1"/>
      <c r="OUE23" s="1"/>
      <c r="OUF23" s="1"/>
      <c r="OUG23" s="1"/>
      <c r="OUH23" s="1"/>
      <c r="OUI23" s="1"/>
      <c r="OUJ23" s="1"/>
      <c r="OUK23" s="1"/>
      <c r="OUL23" s="1"/>
      <c r="OUM23" s="1"/>
      <c r="OUN23" s="1"/>
      <c r="OUO23" s="1"/>
      <c r="OUP23" s="1"/>
      <c r="OUQ23" s="1"/>
      <c r="OUR23" s="1"/>
      <c r="OUS23" s="1"/>
      <c r="OUT23" s="1"/>
      <c r="OUU23" s="1"/>
      <c r="OUV23" s="1"/>
      <c r="OUW23" s="1"/>
      <c r="OUX23" s="1"/>
      <c r="OUY23" s="1"/>
      <c r="OUZ23" s="1"/>
      <c r="OVA23" s="1"/>
      <c r="OVB23" s="1"/>
      <c r="OVC23" s="1"/>
      <c r="OVD23" s="1"/>
      <c r="OVE23" s="1"/>
      <c r="OVF23" s="1"/>
      <c r="OVG23" s="1"/>
      <c r="OVH23" s="1"/>
      <c r="OVI23" s="1"/>
      <c r="OVJ23" s="1"/>
      <c r="OVK23" s="1"/>
      <c r="OVL23" s="1"/>
      <c r="OVM23" s="1"/>
      <c r="OVN23" s="1"/>
      <c r="OVO23" s="1"/>
      <c r="OVP23" s="1"/>
      <c r="OVQ23" s="1"/>
      <c r="OVR23" s="1"/>
      <c r="OVS23" s="1"/>
      <c r="OVT23" s="1"/>
      <c r="OVU23" s="1"/>
      <c r="OVV23" s="1"/>
      <c r="OVW23" s="1"/>
      <c r="OVX23" s="1"/>
      <c r="OVY23" s="1"/>
      <c r="OVZ23" s="1"/>
      <c r="OWA23" s="1"/>
      <c r="OWB23" s="1"/>
      <c r="OWC23" s="1"/>
      <c r="OWD23" s="1"/>
      <c r="OWE23" s="1"/>
      <c r="OWF23" s="1"/>
      <c r="OWG23" s="1"/>
      <c r="OWH23" s="1"/>
      <c r="OWI23" s="1"/>
      <c r="OWJ23" s="1"/>
      <c r="OWK23" s="1"/>
      <c r="OWL23" s="1"/>
      <c r="OWM23" s="1"/>
      <c r="OWN23" s="1"/>
      <c r="OWO23" s="1"/>
      <c r="OWP23" s="1"/>
      <c r="OWQ23" s="1"/>
      <c r="OWR23" s="1"/>
      <c r="OWS23" s="1"/>
      <c r="OWT23" s="1"/>
      <c r="OWU23" s="1"/>
      <c r="OWV23" s="1"/>
      <c r="OWW23" s="1"/>
      <c r="OWX23" s="1"/>
      <c r="OWY23" s="1"/>
      <c r="OWZ23" s="1"/>
      <c r="OXA23" s="1"/>
      <c r="OXB23" s="1"/>
      <c r="OXC23" s="1"/>
      <c r="OXD23" s="1"/>
      <c r="OXE23" s="1"/>
      <c r="OXF23" s="1"/>
      <c r="OXG23" s="1"/>
      <c r="OXH23" s="1"/>
      <c r="OXI23" s="1"/>
      <c r="OXJ23" s="1"/>
      <c r="OXK23" s="1"/>
      <c r="OXL23" s="1"/>
      <c r="OXM23" s="1"/>
      <c r="OXN23" s="1"/>
      <c r="OXO23" s="1"/>
      <c r="OXP23" s="1"/>
      <c r="OXQ23" s="1"/>
      <c r="OXR23" s="1"/>
      <c r="OXS23" s="1"/>
      <c r="OXT23" s="1"/>
      <c r="OXU23" s="1"/>
      <c r="OXV23" s="1"/>
      <c r="OXW23" s="1"/>
      <c r="OXX23" s="1"/>
      <c r="OXY23" s="1"/>
      <c r="OXZ23" s="1"/>
      <c r="OYA23" s="1"/>
      <c r="OYB23" s="1"/>
      <c r="OYC23" s="1"/>
      <c r="OYD23" s="1"/>
      <c r="OYE23" s="1"/>
      <c r="OYF23" s="1"/>
      <c r="OYG23" s="1"/>
      <c r="OYH23" s="1"/>
      <c r="OYI23" s="1"/>
      <c r="OYJ23" s="1"/>
      <c r="OYK23" s="1"/>
      <c r="OYL23" s="1"/>
      <c r="OYM23" s="1"/>
      <c r="OYN23" s="1"/>
      <c r="OYO23" s="1"/>
      <c r="OYP23" s="1"/>
      <c r="OYQ23" s="1"/>
      <c r="OYR23" s="1"/>
      <c r="OYS23" s="1"/>
      <c r="OYT23" s="1"/>
      <c r="OYU23" s="1"/>
      <c r="OYV23" s="1"/>
      <c r="OYW23" s="1"/>
      <c r="OYX23" s="1"/>
      <c r="OYY23" s="1"/>
      <c r="OYZ23" s="1"/>
      <c r="OZA23" s="1"/>
      <c r="OZB23" s="1"/>
      <c r="OZC23" s="1"/>
      <c r="OZD23" s="1"/>
      <c r="OZE23" s="1"/>
      <c r="OZF23" s="1"/>
      <c r="OZG23" s="1"/>
      <c r="OZH23" s="1"/>
      <c r="OZI23" s="1"/>
      <c r="OZJ23" s="1"/>
      <c r="OZK23" s="1"/>
      <c r="OZL23" s="1"/>
      <c r="OZM23" s="1"/>
      <c r="OZN23" s="1"/>
      <c r="OZO23" s="1"/>
      <c r="OZP23" s="1"/>
      <c r="OZQ23" s="1"/>
      <c r="OZR23" s="1"/>
      <c r="OZS23" s="1"/>
      <c r="OZT23" s="1"/>
      <c r="OZU23" s="1"/>
      <c r="OZV23" s="1"/>
      <c r="OZW23" s="1"/>
      <c r="OZX23" s="1"/>
      <c r="OZY23" s="1"/>
      <c r="OZZ23" s="1"/>
      <c r="PAA23" s="1"/>
      <c r="PAB23" s="1"/>
      <c r="PAC23" s="1"/>
      <c r="PAD23" s="1"/>
      <c r="PAE23" s="1"/>
      <c r="PAF23" s="1"/>
      <c r="PAG23" s="1"/>
      <c r="PAH23" s="1"/>
      <c r="PAI23" s="1"/>
      <c r="PAJ23" s="1"/>
      <c r="PAK23" s="1"/>
      <c r="PAL23" s="1"/>
      <c r="PAM23" s="1"/>
      <c r="PAN23" s="1"/>
      <c r="PAO23" s="1"/>
      <c r="PAP23" s="1"/>
      <c r="PAQ23" s="1"/>
      <c r="PAR23" s="1"/>
      <c r="PAS23" s="1"/>
      <c r="PAT23" s="1"/>
      <c r="PAU23" s="1"/>
      <c r="PAV23" s="1"/>
      <c r="PAW23" s="1"/>
      <c r="PAX23" s="1"/>
      <c r="PAY23" s="1"/>
      <c r="PAZ23" s="1"/>
      <c r="PBA23" s="1"/>
      <c r="PBB23" s="1"/>
      <c r="PBC23" s="1"/>
      <c r="PBD23" s="1"/>
      <c r="PBE23" s="1"/>
      <c r="PBF23" s="1"/>
      <c r="PBG23" s="1"/>
      <c r="PBH23" s="1"/>
      <c r="PBI23" s="1"/>
      <c r="PBJ23" s="1"/>
      <c r="PBK23" s="1"/>
      <c r="PBL23" s="1"/>
      <c r="PBM23" s="1"/>
      <c r="PBN23" s="1"/>
      <c r="PBO23" s="1"/>
      <c r="PBP23" s="1"/>
      <c r="PBQ23" s="1"/>
      <c r="PBR23" s="1"/>
      <c r="PBS23" s="1"/>
      <c r="PBT23" s="1"/>
      <c r="PBU23" s="1"/>
      <c r="PBV23" s="1"/>
      <c r="PBW23" s="1"/>
      <c r="PBX23" s="1"/>
      <c r="PBY23" s="1"/>
      <c r="PBZ23" s="1"/>
      <c r="PCA23" s="1"/>
      <c r="PCB23" s="1"/>
      <c r="PCC23" s="1"/>
      <c r="PCD23" s="1"/>
      <c r="PCE23" s="1"/>
      <c r="PCF23" s="1"/>
      <c r="PCG23" s="1"/>
      <c r="PCH23" s="1"/>
      <c r="PCI23" s="1"/>
      <c r="PCJ23" s="1"/>
      <c r="PCK23" s="1"/>
      <c r="PCL23" s="1"/>
      <c r="PCM23" s="1"/>
      <c r="PCN23" s="1"/>
      <c r="PCO23" s="1"/>
      <c r="PCP23" s="1"/>
      <c r="PCQ23" s="1"/>
      <c r="PCR23" s="1"/>
      <c r="PCS23" s="1"/>
      <c r="PCT23" s="1"/>
      <c r="PCU23" s="1"/>
      <c r="PCV23" s="1"/>
      <c r="PCW23" s="1"/>
      <c r="PCX23" s="1"/>
      <c r="PCY23" s="1"/>
      <c r="PCZ23" s="1"/>
      <c r="PDA23" s="1"/>
      <c r="PDB23" s="1"/>
      <c r="PDC23" s="1"/>
      <c r="PDD23" s="1"/>
      <c r="PDE23" s="1"/>
      <c r="PDF23" s="1"/>
      <c r="PDG23" s="1"/>
      <c r="PDH23" s="1"/>
      <c r="PDI23" s="1"/>
      <c r="PDJ23" s="1"/>
      <c r="PDK23" s="1"/>
      <c r="PDL23" s="1"/>
      <c r="PDM23" s="1"/>
      <c r="PDN23" s="1"/>
      <c r="PDO23" s="1"/>
      <c r="PDP23" s="1"/>
      <c r="PDQ23" s="1"/>
      <c r="PDR23" s="1"/>
      <c r="PDS23" s="1"/>
      <c r="PDT23" s="1"/>
      <c r="PDU23" s="1"/>
      <c r="PDV23" s="1"/>
      <c r="PDW23" s="1"/>
      <c r="PDX23" s="1"/>
      <c r="PDY23" s="1"/>
      <c r="PDZ23" s="1"/>
      <c r="PEA23" s="1"/>
      <c r="PEB23" s="1"/>
      <c r="PEC23" s="1"/>
      <c r="PED23" s="1"/>
      <c r="PEE23" s="1"/>
      <c r="PEF23" s="1"/>
      <c r="PEG23" s="1"/>
      <c r="PEH23" s="1"/>
      <c r="PEI23" s="1"/>
      <c r="PEJ23" s="1"/>
      <c r="PEK23" s="1"/>
      <c r="PEL23" s="1"/>
      <c r="PEM23" s="1"/>
      <c r="PEN23" s="1"/>
      <c r="PEO23" s="1"/>
      <c r="PEP23" s="1"/>
      <c r="PEQ23" s="1"/>
      <c r="PER23" s="1"/>
      <c r="PES23" s="1"/>
      <c r="PET23" s="1"/>
      <c r="PEU23" s="1"/>
      <c r="PEV23" s="1"/>
      <c r="PEW23" s="1"/>
      <c r="PEX23" s="1"/>
      <c r="PEY23" s="1"/>
      <c r="PEZ23" s="1"/>
      <c r="PFA23" s="1"/>
      <c r="PFB23" s="1"/>
      <c r="PFC23" s="1"/>
      <c r="PFD23" s="1"/>
      <c r="PFE23" s="1"/>
      <c r="PFF23" s="1"/>
      <c r="PFG23" s="1"/>
      <c r="PFH23" s="1"/>
      <c r="PFI23" s="1"/>
      <c r="PFJ23" s="1"/>
      <c r="PFK23" s="1"/>
      <c r="PFL23" s="1"/>
      <c r="PFM23" s="1"/>
      <c r="PFN23" s="1"/>
      <c r="PFO23" s="1"/>
      <c r="PFP23" s="1"/>
      <c r="PFQ23" s="1"/>
      <c r="PFR23" s="1"/>
      <c r="PFS23" s="1"/>
      <c r="PFT23" s="1"/>
      <c r="PFU23" s="1"/>
      <c r="PFV23" s="1"/>
      <c r="PFW23" s="1"/>
      <c r="PFX23" s="1"/>
      <c r="PFY23" s="1"/>
      <c r="PFZ23" s="1"/>
      <c r="PGA23" s="1"/>
      <c r="PGB23" s="1"/>
      <c r="PGC23" s="1"/>
      <c r="PGD23" s="1"/>
      <c r="PGE23" s="1"/>
      <c r="PGF23" s="1"/>
      <c r="PGG23" s="1"/>
      <c r="PGH23" s="1"/>
      <c r="PGI23" s="1"/>
      <c r="PGJ23" s="1"/>
      <c r="PGK23" s="1"/>
      <c r="PGL23" s="1"/>
      <c r="PGM23" s="1"/>
      <c r="PGN23" s="1"/>
      <c r="PGO23" s="1"/>
      <c r="PGP23" s="1"/>
      <c r="PGQ23" s="1"/>
      <c r="PGR23" s="1"/>
      <c r="PGS23" s="1"/>
      <c r="PGT23" s="1"/>
      <c r="PGU23" s="1"/>
      <c r="PGV23" s="1"/>
      <c r="PGW23" s="1"/>
      <c r="PGX23" s="1"/>
      <c r="PGY23" s="1"/>
      <c r="PGZ23" s="1"/>
      <c r="PHA23" s="1"/>
      <c r="PHB23" s="1"/>
      <c r="PHC23" s="1"/>
      <c r="PHD23" s="1"/>
      <c r="PHE23" s="1"/>
      <c r="PHF23" s="1"/>
      <c r="PHG23" s="1"/>
      <c r="PHH23" s="1"/>
      <c r="PHI23" s="1"/>
      <c r="PHJ23" s="1"/>
      <c r="PHK23" s="1"/>
      <c r="PHL23" s="1"/>
      <c r="PHM23" s="1"/>
      <c r="PHN23" s="1"/>
      <c r="PHO23" s="1"/>
      <c r="PHP23" s="1"/>
      <c r="PHQ23" s="1"/>
      <c r="PHR23" s="1"/>
      <c r="PHS23" s="1"/>
      <c r="PHT23" s="1"/>
      <c r="PHU23" s="1"/>
      <c r="PHV23" s="1"/>
      <c r="PHW23" s="1"/>
      <c r="PHX23" s="1"/>
      <c r="PHY23" s="1"/>
      <c r="PHZ23" s="1"/>
      <c r="PIA23" s="1"/>
      <c r="PIB23" s="1"/>
      <c r="PIC23" s="1"/>
      <c r="PID23" s="1"/>
      <c r="PIE23" s="1"/>
      <c r="PIF23" s="1"/>
      <c r="PIG23" s="1"/>
      <c r="PIH23" s="1"/>
      <c r="PII23" s="1"/>
      <c r="PIJ23" s="1"/>
      <c r="PIK23" s="1"/>
      <c r="PIL23" s="1"/>
      <c r="PIM23" s="1"/>
      <c r="PIN23" s="1"/>
      <c r="PIO23" s="1"/>
      <c r="PIP23" s="1"/>
      <c r="PIQ23" s="1"/>
      <c r="PIR23" s="1"/>
      <c r="PIS23" s="1"/>
      <c r="PIT23" s="1"/>
      <c r="PIU23" s="1"/>
      <c r="PIV23" s="1"/>
      <c r="PIW23" s="1"/>
      <c r="PIX23" s="1"/>
      <c r="PIY23" s="1"/>
      <c r="PIZ23" s="1"/>
      <c r="PJA23" s="1"/>
      <c r="PJB23" s="1"/>
      <c r="PJC23" s="1"/>
      <c r="PJD23" s="1"/>
      <c r="PJE23" s="1"/>
      <c r="PJF23" s="1"/>
      <c r="PJG23" s="1"/>
      <c r="PJH23" s="1"/>
      <c r="PJI23" s="1"/>
      <c r="PJJ23" s="1"/>
      <c r="PJK23" s="1"/>
      <c r="PJL23" s="1"/>
      <c r="PJM23" s="1"/>
      <c r="PJN23" s="1"/>
      <c r="PJO23" s="1"/>
      <c r="PJP23" s="1"/>
      <c r="PJQ23" s="1"/>
      <c r="PJR23" s="1"/>
      <c r="PJS23" s="1"/>
      <c r="PJT23" s="1"/>
      <c r="PJU23" s="1"/>
      <c r="PJV23" s="1"/>
      <c r="PJW23" s="1"/>
      <c r="PJX23" s="1"/>
      <c r="PJY23" s="1"/>
      <c r="PJZ23" s="1"/>
      <c r="PKA23" s="1"/>
      <c r="PKB23" s="1"/>
      <c r="PKC23" s="1"/>
      <c r="PKD23" s="1"/>
      <c r="PKE23" s="1"/>
      <c r="PKF23" s="1"/>
      <c r="PKG23" s="1"/>
      <c r="PKH23" s="1"/>
      <c r="PKI23" s="1"/>
      <c r="PKJ23" s="1"/>
      <c r="PKK23" s="1"/>
      <c r="PKL23" s="1"/>
      <c r="PKM23" s="1"/>
      <c r="PKN23" s="1"/>
      <c r="PKO23" s="1"/>
      <c r="PKP23" s="1"/>
      <c r="PKQ23" s="1"/>
      <c r="PKR23" s="1"/>
      <c r="PKS23" s="1"/>
      <c r="PKT23" s="1"/>
      <c r="PKU23" s="1"/>
      <c r="PKV23" s="1"/>
      <c r="PKW23" s="1"/>
      <c r="PKX23" s="1"/>
      <c r="PKY23" s="1"/>
      <c r="PKZ23" s="1"/>
      <c r="PLA23" s="1"/>
      <c r="PLB23" s="1"/>
      <c r="PLC23" s="1"/>
      <c r="PLD23" s="1"/>
      <c r="PLE23" s="1"/>
      <c r="PLF23" s="1"/>
      <c r="PLG23" s="1"/>
      <c r="PLH23" s="1"/>
      <c r="PLI23" s="1"/>
      <c r="PLJ23" s="1"/>
      <c r="PLK23" s="1"/>
      <c r="PLL23" s="1"/>
      <c r="PLM23" s="1"/>
      <c r="PLN23" s="1"/>
      <c r="PLO23" s="1"/>
      <c r="PLP23" s="1"/>
      <c r="PLQ23" s="1"/>
      <c r="PLR23" s="1"/>
      <c r="PLS23" s="1"/>
      <c r="PLT23" s="1"/>
      <c r="PLU23" s="1"/>
      <c r="PLV23" s="1"/>
      <c r="PLW23" s="1"/>
      <c r="PLX23" s="1"/>
      <c r="PLY23" s="1"/>
      <c r="PLZ23" s="1"/>
      <c r="PMA23" s="1"/>
      <c r="PMB23" s="1"/>
      <c r="PMC23" s="1"/>
      <c r="PMD23" s="1"/>
      <c r="PME23" s="1"/>
      <c r="PMF23" s="1"/>
      <c r="PMG23" s="1"/>
      <c r="PMH23" s="1"/>
      <c r="PMI23" s="1"/>
      <c r="PMJ23" s="1"/>
      <c r="PMK23" s="1"/>
      <c r="PML23" s="1"/>
      <c r="PMM23" s="1"/>
      <c r="PMN23" s="1"/>
      <c r="PMO23" s="1"/>
      <c r="PMP23" s="1"/>
      <c r="PMQ23" s="1"/>
      <c r="PMR23" s="1"/>
      <c r="PMS23" s="1"/>
      <c r="PMT23" s="1"/>
      <c r="PMU23" s="1"/>
      <c r="PMV23" s="1"/>
      <c r="PMW23" s="1"/>
      <c r="PMX23" s="1"/>
      <c r="PMY23" s="1"/>
      <c r="PMZ23" s="1"/>
      <c r="PNA23" s="1"/>
      <c r="PNB23" s="1"/>
      <c r="PNC23" s="1"/>
      <c r="PND23" s="1"/>
      <c r="PNE23" s="1"/>
      <c r="PNF23" s="1"/>
      <c r="PNG23" s="1"/>
      <c r="PNH23" s="1"/>
      <c r="PNI23" s="1"/>
      <c r="PNJ23" s="1"/>
      <c r="PNK23" s="1"/>
      <c r="PNL23" s="1"/>
      <c r="PNM23" s="1"/>
      <c r="PNN23" s="1"/>
      <c r="PNO23" s="1"/>
      <c r="PNP23" s="1"/>
      <c r="PNQ23" s="1"/>
      <c r="PNR23" s="1"/>
      <c r="PNS23" s="1"/>
      <c r="PNT23" s="1"/>
      <c r="PNU23" s="1"/>
      <c r="PNV23" s="1"/>
      <c r="PNW23" s="1"/>
      <c r="PNX23" s="1"/>
      <c r="PNY23" s="1"/>
      <c r="PNZ23" s="1"/>
      <c r="POA23" s="1"/>
      <c r="POB23" s="1"/>
      <c r="POC23" s="1"/>
      <c r="POD23" s="1"/>
      <c r="POE23" s="1"/>
      <c r="POF23" s="1"/>
      <c r="POG23" s="1"/>
      <c r="POH23" s="1"/>
      <c r="POI23" s="1"/>
      <c r="POJ23" s="1"/>
      <c r="POK23" s="1"/>
      <c r="POL23" s="1"/>
      <c r="POM23" s="1"/>
      <c r="PON23" s="1"/>
      <c r="POO23" s="1"/>
      <c r="POP23" s="1"/>
      <c r="POQ23" s="1"/>
      <c r="POR23" s="1"/>
      <c r="POS23" s="1"/>
      <c r="POT23" s="1"/>
      <c r="POU23" s="1"/>
      <c r="POV23" s="1"/>
      <c r="POW23" s="1"/>
      <c r="POX23" s="1"/>
      <c r="POY23" s="1"/>
      <c r="POZ23" s="1"/>
      <c r="PPA23" s="1"/>
      <c r="PPB23" s="1"/>
      <c r="PPC23" s="1"/>
      <c r="PPD23" s="1"/>
      <c r="PPE23" s="1"/>
      <c r="PPF23" s="1"/>
      <c r="PPG23" s="1"/>
      <c r="PPH23" s="1"/>
      <c r="PPI23" s="1"/>
      <c r="PPJ23" s="1"/>
      <c r="PPK23" s="1"/>
      <c r="PPL23" s="1"/>
      <c r="PPM23" s="1"/>
      <c r="PPN23" s="1"/>
      <c r="PPO23" s="1"/>
      <c r="PPP23" s="1"/>
      <c r="PPQ23" s="1"/>
      <c r="PPR23" s="1"/>
      <c r="PPS23" s="1"/>
      <c r="PPT23" s="1"/>
      <c r="PPU23" s="1"/>
      <c r="PPV23" s="1"/>
      <c r="PPW23" s="1"/>
      <c r="PPX23" s="1"/>
      <c r="PPY23" s="1"/>
      <c r="PPZ23" s="1"/>
      <c r="PQA23" s="1"/>
      <c r="PQB23" s="1"/>
      <c r="PQC23" s="1"/>
      <c r="PQD23" s="1"/>
      <c r="PQE23" s="1"/>
      <c r="PQF23" s="1"/>
      <c r="PQG23" s="1"/>
      <c r="PQH23" s="1"/>
      <c r="PQI23" s="1"/>
      <c r="PQJ23" s="1"/>
      <c r="PQK23" s="1"/>
      <c r="PQL23" s="1"/>
      <c r="PQM23" s="1"/>
      <c r="PQN23" s="1"/>
      <c r="PQO23" s="1"/>
      <c r="PQP23" s="1"/>
      <c r="PQQ23" s="1"/>
      <c r="PQR23" s="1"/>
      <c r="PQS23" s="1"/>
      <c r="PQT23" s="1"/>
      <c r="PQU23" s="1"/>
      <c r="PQV23" s="1"/>
      <c r="PQW23" s="1"/>
      <c r="PQX23" s="1"/>
      <c r="PQY23" s="1"/>
      <c r="PQZ23" s="1"/>
      <c r="PRA23" s="1"/>
      <c r="PRB23" s="1"/>
      <c r="PRC23" s="1"/>
      <c r="PRD23" s="1"/>
      <c r="PRE23" s="1"/>
      <c r="PRF23" s="1"/>
      <c r="PRG23" s="1"/>
      <c r="PRH23" s="1"/>
      <c r="PRI23" s="1"/>
      <c r="PRJ23" s="1"/>
      <c r="PRK23" s="1"/>
      <c r="PRL23" s="1"/>
      <c r="PRM23" s="1"/>
      <c r="PRN23" s="1"/>
      <c r="PRO23" s="1"/>
      <c r="PRP23" s="1"/>
      <c r="PRQ23" s="1"/>
      <c r="PRR23" s="1"/>
      <c r="PRS23" s="1"/>
      <c r="PRT23" s="1"/>
      <c r="PRU23" s="1"/>
      <c r="PRV23" s="1"/>
      <c r="PRW23" s="1"/>
      <c r="PRX23" s="1"/>
      <c r="PRY23" s="1"/>
      <c r="PRZ23" s="1"/>
      <c r="PSA23" s="1"/>
      <c r="PSB23" s="1"/>
      <c r="PSC23" s="1"/>
      <c r="PSD23" s="1"/>
      <c r="PSE23" s="1"/>
      <c r="PSF23" s="1"/>
      <c r="PSG23" s="1"/>
      <c r="PSH23" s="1"/>
      <c r="PSI23" s="1"/>
      <c r="PSJ23" s="1"/>
      <c r="PSK23" s="1"/>
      <c r="PSL23" s="1"/>
      <c r="PSM23" s="1"/>
      <c r="PSN23" s="1"/>
      <c r="PSO23" s="1"/>
      <c r="PSP23" s="1"/>
      <c r="PSQ23" s="1"/>
      <c r="PSR23" s="1"/>
      <c r="PSS23" s="1"/>
      <c r="PST23" s="1"/>
      <c r="PSU23" s="1"/>
      <c r="PSV23" s="1"/>
      <c r="PSW23" s="1"/>
      <c r="PSX23" s="1"/>
      <c r="PSY23" s="1"/>
      <c r="PSZ23" s="1"/>
      <c r="PTA23" s="1"/>
      <c r="PTB23" s="1"/>
      <c r="PTC23" s="1"/>
      <c r="PTD23" s="1"/>
      <c r="PTE23" s="1"/>
      <c r="PTF23" s="1"/>
      <c r="PTG23" s="1"/>
      <c r="PTH23" s="1"/>
      <c r="PTI23" s="1"/>
      <c r="PTJ23" s="1"/>
      <c r="PTK23" s="1"/>
      <c r="PTL23" s="1"/>
      <c r="PTM23" s="1"/>
      <c r="PTN23" s="1"/>
      <c r="PTO23" s="1"/>
      <c r="PTP23" s="1"/>
      <c r="PTQ23" s="1"/>
      <c r="PTR23" s="1"/>
      <c r="PTS23" s="1"/>
      <c r="PTT23" s="1"/>
      <c r="PTU23" s="1"/>
      <c r="PTV23" s="1"/>
      <c r="PTW23" s="1"/>
      <c r="PTX23" s="1"/>
      <c r="PTY23" s="1"/>
      <c r="PTZ23" s="1"/>
      <c r="PUA23" s="1"/>
      <c r="PUB23" s="1"/>
      <c r="PUC23" s="1"/>
      <c r="PUD23" s="1"/>
      <c r="PUE23" s="1"/>
      <c r="PUF23" s="1"/>
      <c r="PUG23" s="1"/>
      <c r="PUH23" s="1"/>
      <c r="PUI23" s="1"/>
      <c r="PUJ23" s="1"/>
      <c r="PUK23" s="1"/>
      <c r="PUL23" s="1"/>
      <c r="PUM23" s="1"/>
      <c r="PUN23" s="1"/>
      <c r="PUO23" s="1"/>
      <c r="PUP23" s="1"/>
      <c r="PUQ23" s="1"/>
      <c r="PUR23" s="1"/>
      <c r="PUS23" s="1"/>
      <c r="PUT23" s="1"/>
      <c r="PUU23" s="1"/>
      <c r="PUV23" s="1"/>
      <c r="PUW23" s="1"/>
      <c r="PUX23" s="1"/>
      <c r="PUY23" s="1"/>
      <c r="PUZ23" s="1"/>
      <c r="PVA23" s="1"/>
      <c r="PVB23" s="1"/>
      <c r="PVC23" s="1"/>
      <c r="PVD23" s="1"/>
      <c r="PVE23" s="1"/>
      <c r="PVF23" s="1"/>
      <c r="PVG23" s="1"/>
      <c r="PVH23" s="1"/>
      <c r="PVI23" s="1"/>
      <c r="PVJ23" s="1"/>
      <c r="PVK23" s="1"/>
      <c r="PVL23" s="1"/>
      <c r="PVM23" s="1"/>
      <c r="PVN23" s="1"/>
      <c r="PVO23" s="1"/>
      <c r="PVP23" s="1"/>
      <c r="PVQ23" s="1"/>
      <c r="PVR23" s="1"/>
      <c r="PVS23" s="1"/>
      <c r="PVT23" s="1"/>
      <c r="PVU23" s="1"/>
      <c r="PVV23" s="1"/>
      <c r="PVW23" s="1"/>
      <c r="PVX23" s="1"/>
      <c r="PVY23" s="1"/>
      <c r="PVZ23" s="1"/>
      <c r="PWA23" s="1"/>
      <c r="PWB23" s="1"/>
      <c r="PWC23" s="1"/>
      <c r="PWD23" s="1"/>
      <c r="PWE23" s="1"/>
      <c r="PWF23" s="1"/>
      <c r="PWG23" s="1"/>
      <c r="PWH23" s="1"/>
      <c r="PWI23" s="1"/>
      <c r="PWJ23" s="1"/>
      <c r="PWK23" s="1"/>
      <c r="PWL23" s="1"/>
      <c r="PWM23" s="1"/>
      <c r="PWN23" s="1"/>
      <c r="PWO23" s="1"/>
      <c r="PWP23" s="1"/>
      <c r="PWQ23" s="1"/>
      <c r="PWR23" s="1"/>
      <c r="PWS23" s="1"/>
      <c r="PWT23" s="1"/>
      <c r="PWU23" s="1"/>
      <c r="PWV23" s="1"/>
      <c r="PWW23" s="1"/>
      <c r="PWX23" s="1"/>
      <c r="PWY23" s="1"/>
      <c r="PWZ23" s="1"/>
      <c r="PXA23" s="1"/>
      <c r="PXB23" s="1"/>
      <c r="PXC23" s="1"/>
      <c r="PXD23" s="1"/>
      <c r="PXE23" s="1"/>
      <c r="PXF23" s="1"/>
      <c r="PXG23" s="1"/>
      <c r="PXH23" s="1"/>
      <c r="PXI23" s="1"/>
      <c r="PXJ23" s="1"/>
      <c r="PXK23" s="1"/>
      <c r="PXL23" s="1"/>
      <c r="PXM23" s="1"/>
      <c r="PXN23" s="1"/>
      <c r="PXO23" s="1"/>
      <c r="PXP23" s="1"/>
      <c r="PXQ23" s="1"/>
      <c r="PXR23" s="1"/>
      <c r="PXS23" s="1"/>
      <c r="PXT23" s="1"/>
      <c r="PXU23" s="1"/>
      <c r="PXV23" s="1"/>
      <c r="PXW23" s="1"/>
      <c r="PXX23" s="1"/>
      <c r="PXY23" s="1"/>
      <c r="PXZ23" s="1"/>
      <c r="PYA23" s="1"/>
      <c r="PYB23" s="1"/>
      <c r="PYC23" s="1"/>
      <c r="PYD23" s="1"/>
      <c r="PYE23" s="1"/>
      <c r="PYF23" s="1"/>
      <c r="PYG23" s="1"/>
      <c r="PYH23" s="1"/>
      <c r="PYI23" s="1"/>
      <c r="PYJ23" s="1"/>
      <c r="PYK23" s="1"/>
      <c r="PYL23" s="1"/>
      <c r="PYM23" s="1"/>
      <c r="PYN23" s="1"/>
      <c r="PYO23" s="1"/>
      <c r="PYP23" s="1"/>
      <c r="PYQ23" s="1"/>
      <c r="PYR23" s="1"/>
      <c r="PYS23" s="1"/>
      <c r="PYT23" s="1"/>
      <c r="PYU23" s="1"/>
      <c r="PYV23" s="1"/>
      <c r="PYW23" s="1"/>
      <c r="PYX23" s="1"/>
      <c r="PYY23" s="1"/>
      <c r="PYZ23" s="1"/>
      <c r="PZA23" s="1"/>
      <c r="PZB23" s="1"/>
      <c r="PZC23" s="1"/>
      <c r="PZD23" s="1"/>
      <c r="PZE23" s="1"/>
      <c r="PZF23" s="1"/>
      <c r="PZG23" s="1"/>
      <c r="PZH23" s="1"/>
      <c r="PZI23" s="1"/>
      <c r="PZJ23" s="1"/>
      <c r="PZK23" s="1"/>
      <c r="PZL23" s="1"/>
      <c r="PZM23" s="1"/>
      <c r="PZN23" s="1"/>
      <c r="PZO23" s="1"/>
      <c r="PZP23" s="1"/>
      <c r="PZQ23" s="1"/>
      <c r="PZR23" s="1"/>
      <c r="PZS23" s="1"/>
      <c r="PZT23" s="1"/>
      <c r="PZU23" s="1"/>
      <c r="PZV23" s="1"/>
      <c r="PZW23" s="1"/>
      <c r="PZX23" s="1"/>
      <c r="PZY23" s="1"/>
      <c r="PZZ23" s="1"/>
      <c r="QAA23" s="1"/>
      <c r="QAB23" s="1"/>
      <c r="QAC23" s="1"/>
      <c r="QAD23" s="1"/>
      <c r="QAE23" s="1"/>
      <c r="QAF23" s="1"/>
      <c r="QAG23" s="1"/>
      <c r="QAH23" s="1"/>
      <c r="QAI23" s="1"/>
      <c r="QAJ23" s="1"/>
      <c r="QAK23" s="1"/>
      <c r="QAL23" s="1"/>
      <c r="QAM23" s="1"/>
      <c r="QAN23" s="1"/>
      <c r="QAO23" s="1"/>
      <c r="QAP23" s="1"/>
      <c r="QAQ23" s="1"/>
      <c r="QAR23" s="1"/>
      <c r="QAS23" s="1"/>
      <c r="QAT23" s="1"/>
      <c r="QAU23" s="1"/>
      <c r="QAV23" s="1"/>
      <c r="QAW23" s="1"/>
      <c r="QAX23" s="1"/>
      <c r="QAY23" s="1"/>
      <c r="QAZ23" s="1"/>
      <c r="QBA23" s="1"/>
      <c r="QBB23" s="1"/>
      <c r="QBC23" s="1"/>
      <c r="QBD23" s="1"/>
      <c r="QBE23" s="1"/>
      <c r="QBF23" s="1"/>
      <c r="QBG23" s="1"/>
      <c r="QBH23" s="1"/>
      <c r="QBI23" s="1"/>
      <c r="QBJ23" s="1"/>
      <c r="QBK23" s="1"/>
      <c r="QBL23" s="1"/>
      <c r="QBM23" s="1"/>
      <c r="QBN23" s="1"/>
      <c r="QBO23" s="1"/>
      <c r="QBP23" s="1"/>
      <c r="QBQ23" s="1"/>
      <c r="QBR23" s="1"/>
      <c r="QBS23" s="1"/>
      <c r="QBT23" s="1"/>
      <c r="QBU23" s="1"/>
      <c r="QBV23" s="1"/>
      <c r="QBW23" s="1"/>
      <c r="QBX23" s="1"/>
      <c r="QBY23" s="1"/>
      <c r="QBZ23" s="1"/>
      <c r="QCA23" s="1"/>
      <c r="QCB23" s="1"/>
      <c r="QCC23" s="1"/>
      <c r="QCD23" s="1"/>
      <c r="QCE23" s="1"/>
      <c r="QCF23" s="1"/>
      <c r="QCG23" s="1"/>
      <c r="QCH23" s="1"/>
      <c r="QCI23" s="1"/>
      <c r="QCJ23" s="1"/>
      <c r="QCK23" s="1"/>
      <c r="QCL23" s="1"/>
      <c r="QCM23" s="1"/>
      <c r="QCN23" s="1"/>
      <c r="QCO23" s="1"/>
      <c r="QCP23" s="1"/>
      <c r="QCQ23" s="1"/>
      <c r="QCR23" s="1"/>
      <c r="QCS23" s="1"/>
      <c r="QCT23" s="1"/>
      <c r="QCU23" s="1"/>
      <c r="QCV23" s="1"/>
      <c r="QCW23" s="1"/>
      <c r="QCX23" s="1"/>
      <c r="QCY23" s="1"/>
      <c r="QCZ23" s="1"/>
      <c r="QDA23" s="1"/>
      <c r="QDB23" s="1"/>
      <c r="QDC23" s="1"/>
      <c r="QDD23" s="1"/>
      <c r="QDE23" s="1"/>
      <c r="QDF23" s="1"/>
      <c r="QDG23" s="1"/>
      <c r="QDH23" s="1"/>
      <c r="QDI23" s="1"/>
      <c r="QDJ23" s="1"/>
      <c r="QDK23" s="1"/>
      <c r="QDL23" s="1"/>
      <c r="QDM23" s="1"/>
      <c r="QDN23" s="1"/>
      <c r="QDO23" s="1"/>
      <c r="QDP23" s="1"/>
      <c r="QDQ23" s="1"/>
      <c r="QDR23" s="1"/>
      <c r="QDS23" s="1"/>
      <c r="QDT23" s="1"/>
      <c r="QDU23" s="1"/>
      <c r="QDV23" s="1"/>
      <c r="QDW23" s="1"/>
      <c r="QDX23" s="1"/>
      <c r="QDY23" s="1"/>
      <c r="QDZ23" s="1"/>
      <c r="QEA23" s="1"/>
      <c r="QEB23" s="1"/>
      <c r="QEC23" s="1"/>
      <c r="QED23" s="1"/>
      <c r="QEE23" s="1"/>
      <c r="QEF23" s="1"/>
      <c r="QEG23" s="1"/>
      <c r="QEH23" s="1"/>
      <c r="QEI23" s="1"/>
      <c r="QEJ23" s="1"/>
      <c r="QEK23" s="1"/>
      <c r="QEL23" s="1"/>
      <c r="QEM23" s="1"/>
      <c r="QEN23" s="1"/>
      <c r="QEO23" s="1"/>
      <c r="QEP23" s="1"/>
      <c r="QEQ23" s="1"/>
      <c r="QER23" s="1"/>
      <c r="QES23" s="1"/>
      <c r="QET23" s="1"/>
      <c r="QEU23" s="1"/>
      <c r="QEV23" s="1"/>
      <c r="QEW23" s="1"/>
      <c r="QEX23" s="1"/>
      <c r="QEY23" s="1"/>
      <c r="QEZ23" s="1"/>
      <c r="QFA23" s="1"/>
      <c r="QFB23" s="1"/>
      <c r="QFC23" s="1"/>
      <c r="QFD23" s="1"/>
      <c r="QFE23" s="1"/>
      <c r="QFF23" s="1"/>
      <c r="QFG23" s="1"/>
      <c r="QFH23" s="1"/>
      <c r="QFI23" s="1"/>
      <c r="QFJ23" s="1"/>
      <c r="QFK23" s="1"/>
      <c r="QFL23" s="1"/>
      <c r="QFM23" s="1"/>
      <c r="QFN23" s="1"/>
      <c r="QFO23" s="1"/>
      <c r="QFP23" s="1"/>
      <c r="QFQ23" s="1"/>
      <c r="QFR23" s="1"/>
      <c r="QFS23" s="1"/>
      <c r="QFT23" s="1"/>
      <c r="QFU23" s="1"/>
      <c r="QFV23" s="1"/>
      <c r="QFW23" s="1"/>
      <c r="QFX23" s="1"/>
      <c r="QFY23" s="1"/>
      <c r="QFZ23" s="1"/>
      <c r="QGA23" s="1"/>
      <c r="QGB23" s="1"/>
      <c r="QGC23" s="1"/>
      <c r="QGD23" s="1"/>
      <c r="QGE23" s="1"/>
      <c r="QGF23" s="1"/>
      <c r="QGG23" s="1"/>
      <c r="QGH23" s="1"/>
      <c r="QGI23" s="1"/>
      <c r="QGJ23" s="1"/>
      <c r="QGK23" s="1"/>
      <c r="QGL23" s="1"/>
      <c r="QGM23" s="1"/>
      <c r="QGN23" s="1"/>
      <c r="QGO23" s="1"/>
      <c r="QGP23" s="1"/>
      <c r="QGQ23" s="1"/>
      <c r="QGR23" s="1"/>
      <c r="QGS23" s="1"/>
      <c r="QGT23" s="1"/>
      <c r="QGU23" s="1"/>
      <c r="QGV23" s="1"/>
      <c r="QGW23" s="1"/>
      <c r="QGX23" s="1"/>
      <c r="QGY23" s="1"/>
      <c r="QGZ23" s="1"/>
      <c r="QHA23" s="1"/>
      <c r="QHB23" s="1"/>
      <c r="QHC23" s="1"/>
      <c r="QHD23" s="1"/>
      <c r="QHE23" s="1"/>
      <c r="QHF23" s="1"/>
      <c r="QHG23" s="1"/>
      <c r="QHH23" s="1"/>
      <c r="QHI23" s="1"/>
      <c r="QHJ23" s="1"/>
      <c r="QHK23" s="1"/>
      <c r="QHL23" s="1"/>
      <c r="QHM23" s="1"/>
      <c r="QHN23" s="1"/>
      <c r="QHO23" s="1"/>
      <c r="QHP23" s="1"/>
      <c r="QHQ23" s="1"/>
      <c r="QHR23" s="1"/>
      <c r="QHS23" s="1"/>
      <c r="QHT23" s="1"/>
      <c r="QHU23" s="1"/>
      <c r="QHV23" s="1"/>
      <c r="QHW23" s="1"/>
      <c r="QHX23" s="1"/>
      <c r="QHY23" s="1"/>
      <c r="QHZ23" s="1"/>
      <c r="QIA23" s="1"/>
      <c r="QIB23" s="1"/>
      <c r="QIC23" s="1"/>
      <c r="QID23" s="1"/>
      <c r="QIE23" s="1"/>
      <c r="QIF23" s="1"/>
      <c r="QIG23" s="1"/>
      <c r="QIH23" s="1"/>
      <c r="QII23" s="1"/>
      <c r="QIJ23" s="1"/>
      <c r="QIK23" s="1"/>
      <c r="QIL23" s="1"/>
      <c r="QIM23" s="1"/>
      <c r="QIN23" s="1"/>
      <c r="QIO23" s="1"/>
      <c r="QIP23" s="1"/>
      <c r="QIQ23" s="1"/>
      <c r="QIR23" s="1"/>
      <c r="QIS23" s="1"/>
      <c r="QIT23" s="1"/>
      <c r="QIU23" s="1"/>
      <c r="QIV23" s="1"/>
      <c r="QIW23" s="1"/>
      <c r="QIX23" s="1"/>
      <c r="QIY23" s="1"/>
      <c r="QIZ23" s="1"/>
      <c r="QJA23" s="1"/>
      <c r="QJB23" s="1"/>
      <c r="QJC23" s="1"/>
      <c r="QJD23" s="1"/>
      <c r="QJE23" s="1"/>
      <c r="QJF23" s="1"/>
      <c r="QJG23" s="1"/>
      <c r="QJH23" s="1"/>
      <c r="QJI23" s="1"/>
      <c r="QJJ23" s="1"/>
      <c r="QJK23" s="1"/>
      <c r="QJL23" s="1"/>
      <c r="QJM23" s="1"/>
      <c r="QJN23" s="1"/>
      <c r="QJO23" s="1"/>
      <c r="QJP23" s="1"/>
      <c r="QJQ23" s="1"/>
      <c r="QJR23" s="1"/>
      <c r="QJS23" s="1"/>
      <c r="QJT23" s="1"/>
      <c r="QJU23" s="1"/>
      <c r="QJV23" s="1"/>
      <c r="QJW23" s="1"/>
      <c r="QJX23" s="1"/>
      <c r="QJY23" s="1"/>
      <c r="QJZ23" s="1"/>
      <c r="QKA23" s="1"/>
      <c r="QKB23" s="1"/>
      <c r="QKC23" s="1"/>
      <c r="QKD23" s="1"/>
      <c r="QKE23" s="1"/>
      <c r="QKF23" s="1"/>
      <c r="QKG23" s="1"/>
      <c r="QKH23" s="1"/>
      <c r="QKI23" s="1"/>
      <c r="QKJ23" s="1"/>
      <c r="QKK23" s="1"/>
      <c r="QKL23" s="1"/>
      <c r="QKM23" s="1"/>
      <c r="QKN23" s="1"/>
      <c r="QKO23" s="1"/>
      <c r="QKP23" s="1"/>
      <c r="QKQ23" s="1"/>
      <c r="QKR23" s="1"/>
      <c r="QKS23" s="1"/>
      <c r="QKT23" s="1"/>
      <c r="QKU23" s="1"/>
      <c r="QKV23" s="1"/>
      <c r="QKW23" s="1"/>
      <c r="QKX23" s="1"/>
      <c r="QKY23" s="1"/>
      <c r="QKZ23" s="1"/>
      <c r="QLA23" s="1"/>
      <c r="QLB23" s="1"/>
      <c r="QLC23" s="1"/>
      <c r="QLD23" s="1"/>
      <c r="QLE23" s="1"/>
      <c r="QLF23" s="1"/>
      <c r="QLG23" s="1"/>
      <c r="QLH23" s="1"/>
      <c r="QLI23" s="1"/>
      <c r="QLJ23" s="1"/>
      <c r="QLK23" s="1"/>
      <c r="QLL23" s="1"/>
      <c r="QLM23" s="1"/>
      <c r="QLN23" s="1"/>
      <c r="QLO23" s="1"/>
      <c r="QLP23" s="1"/>
      <c r="QLQ23" s="1"/>
      <c r="QLR23" s="1"/>
      <c r="QLS23" s="1"/>
      <c r="QLT23" s="1"/>
      <c r="QLU23" s="1"/>
      <c r="QLV23" s="1"/>
      <c r="QLW23" s="1"/>
      <c r="QLX23" s="1"/>
      <c r="QLY23" s="1"/>
      <c r="QLZ23" s="1"/>
      <c r="QMA23" s="1"/>
      <c r="QMB23" s="1"/>
      <c r="QMC23" s="1"/>
      <c r="QMD23" s="1"/>
      <c r="QME23" s="1"/>
      <c r="QMF23" s="1"/>
      <c r="QMG23" s="1"/>
      <c r="QMH23" s="1"/>
      <c r="QMI23" s="1"/>
      <c r="QMJ23" s="1"/>
      <c r="QMK23" s="1"/>
      <c r="QML23" s="1"/>
      <c r="QMM23" s="1"/>
      <c r="QMN23" s="1"/>
      <c r="QMO23" s="1"/>
      <c r="QMP23" s="1"/>
      <c r="QMQ23" s="1"/>
      <c r="QMR23" s="1"/>
      <c r="QMS23" s="1"/>
      <c r="QMT23" s="1"/>
      <c r="QMU23" s="1"/>
      <c r="QMV23" s="1"/>
      <c r="QMW23" s="1"/>
      <c r="QMX23" s="1"/>
      <c r="QMY23" s="1"/>
      <c r="QMZ23" s="1"/>
      <c r="QNA23" s="1"/>
      <c r="QNB23" s="1"/>
      <c r="QNC23" s="1"/>
      <c r="QND23" s="1"/>
      <c r="QNE23" s="1"/>
      <c r="QNF23" s="1"/>
      <c r="QNG23" s="1"/>
      <c r="QNH23" s="1"/>
      <c r="QNI23" s="1"/>
      <c r="QNJ23" s="1"/>
      <c r="QNK23" s="1"/>
      <c r="QNL23" s="1"/>
      <c r="QNM23" s="1"/>
      <c r="QNN23" s="1"/>
      <c r="QNO23" s="1"/>
      <c r="QNP23" s="1"/>
      <c r="QNQ23" s="1"/>
      <c r="QNR23" s="1"/>
      <c r="QNS23" s="1"/>
      <c r="QNT23" s="1"/>
      <c r="QNU23" s="1"/>
      <c r="QNV23" s="1"/>
      <c r="QNW23" s="1"/>
      <c r="QNX23" s="1"/>
      <c r="QNY23" s="1"/>
      <c r="QNZ23" s="1"/>
      <c r="QOA23" s="1"/>
      <c r="QOB23" s="1"/>
      <c r="QOC23" s="1"/>
      <c r="QOD23" s="1"/>
      <c r="QOE23" s="1"/>
      <c r="QOF23" s="1"/>
      <c r="QOG23" s="1"/>
      <c r="QOH23" s="1"/>
      <c r="QOI23" s="1"/>
      <c r="QOJ23" s="1"/>
      <c r="QOK23" s="1"/>
      <c r="QOL23" s="1"/>
      <c r="QOM23" s="1"/>
      <c r="QON23" s="1"/>
      <c r="QOO23" s="1"/>
      <c r="QOP23" s="1"/>
      <c r="QOQ23" s="1"/>
      <c r="QOR23" s="1"/>
      <c r="QOS23" s="1"/>
      <c r="QOT23" s="1"/>
      <c r="QOU23" s="1"/>
      <c r="QOV23" s="1"/>
      <c r="QOW23" s="1"/>
      <c r="QOX23" s="1"/>
      <c r="QOY23" s="1"/>
      <c r="QOZ23" s="1"/>
      <c r="QPA23" s="1"/>
      <c r="QPB23" s="1"/>
      <c r="QPC23" s="1"/>
      <c r="QPD23" s="1"/>
      <c r="QPE23" s="1"/>
      <c r="QPF23" s="1"/>
      <c r="QPG23" s="1"/>
      <c r="QPH23" s="1"/>
      <c r="QPI23" s="1"/>
      <c r="QPJ23" s="1"/>
      <c r="QPK23" s="1"/>
      <c r="QPL23" s="1"/>
      <c r="QPM23" s="1"/>
      <c r="QPN23" s="1"/>
      <c r="QPO23" s="1"/>
      <c r="QPP23" s="1"/>
      <c r="QPQ23" s="1"/>
      <c r="QPR23" s="1"/>
      <c r="QPS23" s="1"/>
      <c r="QPT23" s="1"/>
      <c r="QPU23" s="1"/>
      <c r="QPV23" s="1"/>
      <c r="QPW23" s="1"/>
      <c r="QPX23" s="1"/>
      <c r="QPY23" s="1"/>
      <c r="QPZ23" s="1"/>
      <c r="QQA23" s="1"/>
      <c r="QQB23" s="1"/>
      <c r="QQC23" s="1"/>
      <c r="QQD23" s="1"/>
      <c r="QQE23" s="1"/>
      <c r="QQF23" s="1"/>
      <c r="QQG23" s="1"/>
      <c r="QQH23" s="1"/>
      <c r="QQI23" s="1"/>
      <c r="QQJ23" s="1"/>
      <c r="QQK23" s="1"/>
      <c r="QQL23" s="1"/>
      <c r="QQM23" s="1"/>
      <c r="QQN23" s="1"/>
      <c r="QQO23" s="1"/>
      <c r="QQP23" s="1"/>
      <c r="QQQ23" s="1"/>
      <c r="QQR23" s="1"/>
      <c r="QQS23" s="1"/>
      <c r="QQT23" s="1"/>
      <c r="QQU23" s="1"/>
      <c r="QQV23" s="1"/>
      <c r="QQW23" s="1"/>
      <c r="QQX23" s="1"/>
      <c r="QQY23" s="1"/>
      <c r="QQZ23" s="1"/>
      <c r="QRA23" s="1"/>
      <c r="QRB23" s="1"/>
      <c r="QRC23" s="1"/>
      <c r="QRD23" s="1"/>
      <c r="QRE23" s="1"/>
      <c r="QRF23" s="1"/>
      <c r="QRG23" s="1"/>
      <c r="QRH23" s="1"/>
      <c r="QRI23" s="1"/>
      <c r="QRJ23" s="1"/>
      <c r="QRK23" s="1"/>
      <c r="QRL23" s="1"/>
      <c r="QRM23" s="1"/>
      <c r="QRN23" s="1"/>
      <c r="QRO23" s="1"/>
      <c r="QRP23" s="1"/>
      <c r="QRQ23" s="1"/>
      <c r="QRR23" s="1"/>
      <c r="QRS23" s="1"/>
      <c r="QRT23" s="1"/>
      <c r="QRU23" s="1"/>
      <c r="QRV23" s="1"/>
      <c r="QRW23" s="1"/>
      <c r="QRX23" s="1"/>
      <c r="QRY23" s="1"/>
      <c r="QRZ23" s="1"/>
      <c r="QSA23" s="1"/>
      <c r="QSB23" s="1"/>
      <c r="QSC23" s="1"/>
      <c r="QSD23" s="1"/>
      <c r="QSE23" s="1"/>
      <c r="QSF23" s="1"/>
      <c r="QSG23" s="1"/>
      <c r="QSH23" s="1"/>
      <c r="QSI23" s="1"/>
      <c r="QSJ23" s="1"/>
      <c r="QSK23" s="1"/>
      <c r="QSL23" s="1"/>
      <c r="QSM23" s="1"/>
      <c r="QSN23" s="1"/>
      <c r="QSO23" s="1"/>
      <c r="QSP23" s="1"/>
      <c r="QSQ23" s="1"/>
      <c r="QSR23" s="1"/>
      <c r="QSS23" s="1"/>
      <c r="QST23" s="1"/>
      <c r="QSU23" s="1"/>
      <c r="QSV23" s="1"/>
      <c r="QSW23" s="1"/>
      <c r="QSX23" s="1"/>
      <c r="QSY23" s="1"/>
      <c r="QSZ23" s="1"/>
      <c r="QTA23" s="1"/>
      <c r="QTB23" s="1"/>
      <c r="QTC23" s="1"/>
      <c r="QTD23" s="1"/>
      <c r="QTE23" s="1"/>
      <c r="QTF23" s="1"/>
      <c r="QTG23" s="1"/>
      <c r="QTH23" s="1"/>
      <c r="QTI23" s="1"/>
      <c r="QTJ23" s="1"/>
      <c r="QTK23" s="1"/>
      <c r="QTL23" s="1"/>
      <c r="QTM23" s="1"/>
      <c r="QTN23" s="1"/>
      <c r="QTO23" s="1"/>
      <c r="QTP23" s="1"/>
      <c r="QTQ23" s="1"/>
      <c r="QTR23" s="1"/>
      <c r="QTS23" s="1"/>
      <c r="QTT23" s="1"/>
      <c r="QTU23" s="1"/>
      <c r="QTV23" s="1"/>
      <c r="QTW23" s="1"/>
      <c r="QTX23" s="1"/>
      <c r="QTY23" s="1"/>
      <c r="QTZ23" s="1"/>
      <c r="QUA23" s="1"/>
      <c r="QUB23" s="1"/>
      <c r="QUC23" s="1"/>
      <c r="QUD23" s="1"/>
      <c r="QUE23" s="1"/>
      <c r="QUF23" s="1"/>
      <c r="QUG23" s="1"/>
      <c r="QUH23" s="1"/>
      <c r="QUI23" s="1"/>
      <c r="QUJ23" s="1"/>
      <c r="QUK23" s="1"/>
      <c r="QUL23" s="1"/>
      <c r="QUM23" s="1"/>
      <c r="QUN23" s="1"/>
      <c r="QUO23" s="1"/>
      <c r="QUP23" s="1"/>
      <c r="QUQ23" s="1"/>
      <c r="QUR23" s="1"/>
      <c r="QUS23" s="1"/>
      <c r="QUT23" s="1"/>
      <c r="QUU23" s="1"/>
      <c r="QUV23" s="1"/>
      <c r="QUW23" s="1"/>
      <c r="QUX23" s="1"/>
      <c r="QUY23" s="1"/>
      <c r="QUZ23" s="1"/>
      <c r="QVA23" s="1"/>
      <c r="QVB23" s="1"/>
      <c r="QVC23" s="1"/>
      <c r="QVD23" s="1"/>
      <c r="QVE23" s="1"/>
      <c r="QVF23" s="1"/>
      <c r="QVG23" s="1"/>
      <c r="QVH23" s="1"/>
      <c r="QVI23" s="1"/>
      <c r="QVJ23" s="1"/>
      <c r="QVK23" s="1"/>
      <c r="QVL23" s="1"/>
      <c r="QVM23" s="1"/>
      <c r="QVN23" s="1"/>
      <c r="QVO23" s="1"/>
      <c r="QVP23" s="1"/>
      <c r="QVQ23" s="1"/>
      <c r="QVR23" s="1"/>
      <c r="QVS23" s="1"/>
      <c r="QVT23" s="1"/>
      <c r="QVU23" s="1"/>
      <c r="QVV23" s="1"/>
      <c r="QVW23" s="1"/>
      <c r="QVX23" s="1"/>
      <c r="QVY23" s="1"/>
      <c r="QVZ23" s="1"/>
      <c r="QWA23" s="1"/>
      <c r="QWB23" s="1"/>
      <c r="QWC23" s="1"/>
      <c r="QWD23" s="1"/>
      <c r="QWE23" s="1"/>
      <c r="QWF23" s="1"/>
      <c r="QWG23" s="1"/>
      <c r="QWH23" s="1"/>
      <c r="QWI23" s="1"/>
      <c r="QWJ23" s="1"/>
      <c r="QWK23" s="1"/>
      <c r="QWL23" s="1"/>
      <c r="QWM23" s="1"/>
      <c r="QWN23" s="1"/>
      <c r="QWO23" s="1"/>
      <c r="QWP23" s="1"/>
      <c r="QWQ23" s="1"/>
      <c r="QWR23" s="1"/>
      <c r="QWS23" s="1"/>
      <c r="QWT23" s="1"/>
      <c r="QWU23" s="1"/>
      <c r="QWV23" s="1"/>
      <c r="QWW23" s="1"/>
      <c r="QWX23" s="1"/>
      <c r="QWY23" s="1"/>
      <c r="QWZ23" s="1"/>
      <c r="QXA23" s="1"/>
      <c r="QXB23" s="1"/>
      <c r="QXC23" s="1"/>
      <c r="QXD23" s="1"/>
      <c r="QXE23" s="1"/>
      <c r="QXF23" s="1"/>
      <c r="QXG23" s="1"/>
      <c r="QXH23" s="1"/>
      <c r="QXI23" s="1"/>
      <c r="QXJ23" s="1"/>
      <c r="QXK23" s="1"/>
      <c r="QXL23" s="1"/>
      <c r="QXM23" s="1"/>
      <c r="QXN23" s="1"/>
      <c r="QXO23" s="1"/>
      <c r="QXP23" s="1"/>
      <c r="QXQ23" s="1"/>
      <c r="QXR23" s="1"/>
      <c r="QXS23" s="1"/>
      <c r="QXT23" s="1"/>
      <c r="QXU23" s="1"/>
      <c r="QXV23" s="1"/>
      <c r="QXW23" s="1"/>
      <c r="QXX23" s="1"/>
      <c r="QXY23" s="1"/>
      <c r="QXZ23" s="1"/>
      <c r="QYA23" s="1"/>
      <c r="QYB23" s="1"/>
      <c r="QYC23" s="1"/>
      <c r="QYD23" s="1"/>
      <c r="QYE23" s="1"/>
      <c r="QYF23" s="1"/>
      <c r="QYG23" s="1"/>
      <c r="QYH23" s="1"/>
      <c r="QYI23" s="1"/>
      <c r="QYJ23" s="1"/>
      <c r="QYK23" s="1"/>
      <c r="QYL23" s="1"/>
      <c r="QYM23" s="1"/>
      <c r="QYN23" s="1"/>
      <c r="QYO23" s="1"/>
      <c r="QYP23" s="1"/>
      <c r="QYQ23" s="1"/>
      <c r="QYR23" s="1"/>
      <c r="QYS23" s="1"/>
      <c r="QYT23" s="1"/>
      <c r="QYU23" s="1"/>
      <c r="QYV23" s="1"/>
      <c r="QYW23" s="1"/>
      <c r="QYX23" s="1"/>
      <c r="QYY23" s="1"/>
      <c r="QYZ23" s="1"/>
      <c r="QZA23" s="1"/>
      <c r="QZB23" s="1"/>
      <c r="QZC23" s="1"/>
      <c r="QZD23" s="1"/>
      <c r="QZE23" s="1"/>
      <c r="QZF23" s="1"/>
      <c r="QZG23" s="1"/>
      <c r="QZH23" s="1"/>
      <c r="QZI23" s="1"/>
      <c r="QZJ23" s="1"/>
      <c r="QZK23" s="1"/>
      <c r="QZL23" s="1"/>
      <c r="QZM23" s="1"/>
      <c r="QZN23" s="1"/>
      <c r="QZO23" s="1"/>
      <c r="QZP23" s="1"/>
      <c r="QZQ23" s="1"/>
      <c r="QZR23" s="1"/>
      <c r="QZS23" s="1"/>
      <c r="QZT23" s="1"/>
      <c r="QZU23" s="1"/>
      <c r="QZV23" s="1"/>
      <c r="QZW23" s="1"/>
      <c r="QZX23" s="1"/>
      <c r="QZY23" s="1"/>
      <c r="QZZ23" s="1"/>
      <c r="RAA23" s="1"/>
      <c r="RAB23" s="1"/>
      <c r="RAC23" s="1"/>
      <c r="RAD23" s="1"/>
      <c r="RAE23" s="1"/>
      <c r="RAF23" s="1"/>
      <c r="RAG23" s="1"/>
      <c r="RAH23" s="1"/>
      <c r="RAI23" s="1"/>
      <c r="RAJ23" s="1"/>
      <c r="RAK23" s="1"/>
      <c r="RAL23" s="1"/>
      <c r="RAM23" s="1"/>
      <c r="RAN23" s="1"/>
      <c r="RAO23" s="1"/>
      <c r="RAP23" s="1"/>
      <c r="RAQ23" s="1"/>
      <c r="RAR23" s="1"/>
      <c r="RAS23" s="1"/>
      <c r="RAT23" s="1"/>
      <c r="RAU23" s="1"/>
      <c r="RAV23" s="1"/>
      <c r="RAW23" s="1"/>
      <c r="RAX23" s="1"/>
      <c r="RAY23" s="1"/>
      <c r="RAZ23" s="1"/>
      <c r="RBA23" s="1"/>
      <c r="RBB23" s="1"/>
      <c r="RBC23" s="1"/>
      <c r="RBD23" s="1"/>
      <c r="RBE23" s="1"/>
      <c r="RBF23" s="1"/>
      <c r="RBG23" s="1"/>
      <c r="RBH23" s="1"/>
      <c r="RBI23" s="1"/>
      <c r="RBJ23" s="1"/>
      <c r="RBK23" s="1"/>
      <c r="RBL23" s="1"/>
      <c r="RBM23" s="1"/>
      <c r="RBN23" s="1"/>
      <c r="RBO23" s="1"/>
      <c r="RBP23" s="1"/>
      <c r="RBQ23" s="1"/>
      <c r="RBR23" s="1"/>
      <c r="RBS23" s="1"/>
      <c r="RBT23" s="1"/>
      <c r="RBU23" s="1"/>
      <c r="RBV23" s="1"/>
      <c r="RBW23" s="1"/>
      <c r="RBX23" s="1"/>
      <c r="RBY23" s="1"/>
      <c r="RBZ23" s="1"/>
      <c r="RCA23" s="1"/>
      <c r="RCB23" s="1"/>
      <c r="RCC23" s="1"/>
      <c r="RCD23" s="1"/>
      <c r="RCE23" s="1"/>
      <c r="RCF23" s="1"/>
      <c r="RCG23" s="1"/>
      <c r="RCH23" s="1"/>
      <c r="RCI23" s="1"/>
      <c r="RCJ23" s="1"/>
      <c r="RCK23" s="1"/>
      <c r="RCL23" s="1"/>
      <c r="RCM23" s="1"/>
      <c r="RCN23" s="1"/>
      <c r="RCO23" s="1"/>
      <c r="RCP23" s="1"/>
      <c r="RCQ23" s="1"/>
      <c r="RCR23" s="1"/>
      <c r="RCS23" s="1"/>
      <c r="RCT23" s="1"/>
      <c r="RCU23" s="1"/>
      <c r="RCV23" s="1"/>
      <c r="RCW23" s="1"/>
      <c r="RCX23" s="1"/>
      <c r="RCY23" s="1"/>
      <c r="RCZ23" s="1"/>
      <c r="RDA23" s="1"/>
      <c r="RDB23" s="1"/>
      <c r="RDC23" s="1"/>
      <c r="RDD23" s="1"/>
      <c r="RDE23" s="1"/>
      <c r="RDF23" s="1"/>
      <c r="RDG23" s="1"/>
      <c r="RDH23" s="1"/>
      <c r="RDI23" s="1"/>
      <c r="RDJ23" s="1"/>
      <c r="RDK23" s="1"/>
      <c r="RDL23" s="1"/>
      <c r="RDM23" s="1"/>
      <c r="RDN23" s="1"/>
      <c r="RDO23" s="1"/>
      <c r="RDP23" s="1"/>
      <c r="RDQ23" s="1"/>
      <c r="RDR23" s="1"/>
      <c r="RDS23" s="1"/>
      <c r="RDT23" s="1"/>
      <c r="RDU23" s="1"/>
      <c r="RDV23" s="1"/>
      <c r="RDW23" s="1"/>
      <c r="RDX23" s="1"/>
      <c r="RDY23" s="1"/>
      <c r="RDZ23" s="1"/>
      <c r="REA23" s="1"/>
      <c r="REB23" s="1"/>
      <c r="REC23" s="1"/>
      <c r="RED23" s="1"/>
      <c r="REE23" s="1"/>
      <c r="REF23" s="1"/>
      <c r="REG23" s="1"/>
      <c r="REH23" s="1"/>
      <c r="REI23" s="1"/>
      <c r="REJ23" s="1"/>
      <c r="REK23" s="1"/>
      <c r="REL23" s="1"/>
      <c r="REM23" s="1"/>
      <c r="REN23" s="1"/>
      <c r="REO23" s="1"/>
      <c r="REP23" s="1"/>
      <c r="REQ23" s="1"/>
      <c r="RER23" s="1"/>
      <c r="RES23" s="1"/>
      <c r="RET23" s="1"/>
      <c r="REU23" s="1"/>
      <c r="REV23" s="1"/>
      <c r="REW23" s="1"/>
      <c r="REX23" s="1"/>
      <c r="REY23" s="1"/>
      <c r="REZ23" s="1"/>
      <c r="RFA23" s="1"/>
      <c r="RFB23" s="1"/>
      <c r="RFC23" s="1"/>
      <c r="RFD23" s="1"/>
      <c r="RFE23" s="1"/>
      <c r="RFF23" s="1"/>
      <c r="RFG23" s="1"/>
      <c r="RFH23" s="1"/>
      <c r="RFI23" s="1"/>
      <c r="RFJ23" s="1"/>
      <c r="RFK23" s="1"/>
      <c r="RFL23" s="1"/>
      <c r="RFM23" s="1"/>
      <c r="RFN23" s="1"/>
      <c r="RFO23" s="1"/>
      <c r="RFP23" s="1"/>
      <c r="RFQ23" s="1"/>
      <c r="RFR23" s="1"/>
      <c r="RFS23" s="1"/>
      <c r="RFT23" s="1"/>
      <c r="RFU23" s="1"/>
      <c r="RFV23" s="1"/>
      <c r="RFW23" s="1"/>
      <c r="RFX23" s="1"/>
      <c r="RFY23" s="1"/>
      <c r="RFZ23" s="1"/>
      <c r="RGA23" s="1"/>
      <c r="RGB23" s="1"/>
      <c r="RGC23" s="1"/>
      <c r="RGD23" s="1"/>
      <c r="RGE23" s="1"/>
      <c r="RGF23" s="1"/>
      <c r="RGG23" s="1"/>
      <c r="RGH23" s="1"/>
      <c r="RGI23" s="1"/>
      <c r="RGJ23" s="1"/>
      <c r="RGK23" s="1"/>
      <c r="RGL23" s="1"/>
      <c r="RGM23" s="1"/>
      <c r="RGN23" s="1"/>
      <c r="RGO23" s="1"/>
      <c r="RGP23" s="1"/>
      <c r="RGQ23" s="1"/>
      <c r="RGR23" s="1"/>
      <c r="RGS23" s="1"/>
      <c r="RGT23" s="1"/>
      <c r="RGU23" s="1"/>
      <c r="RGV23" s="1"/>
      <c r="RGW23" s="1"/>
      <c r="RGX23" s="1"/>
      <c r="RGY23" s="1"/>
      <c r="RGZ23" s="1"/>
      <c r="RHA23" s="1"/>
      <c r="RHB23" s="1"/>
      <c r="RHC23" s="1"/>
      <c r="RHD23" s="1"/>
      <c r="RHE23" s="1"/>
      <c r="RHF23" s="1"/>
      <c r="RHG23" s="1"/>
      <c r="RHH23" s="1"/>
      <c r="RHI23" s="1"/>
      <c r="RHJ23" s="1"/>
      <c r="RHK23" s="1"/>
      <c r="RHL23" s="1"/>
      <c r="RHM23" s="1"/>
      <c r="RHN23" s="1"/>
      <c r="RHO23" s="1"/>
      <c r="RHP23" s="1"/>
      <c r="RHQ23" s="1"/>
      <c r="RHR23" s="1"/>
      <c r="RHS23" s="1"/>
      <c r="RHT23" s="1"/>
      <c r="RHU23" s="1"/>
      <c r="RHV23" s="1"/>
      <c r="RHW23" s="1"/>
      <c r="RHX23" s="1"/>
      <c r="RHY23" s="1"/>
      <c r="RHZ23" s="1"/>
      <c r="RIA23" s="1"/>
      <c r="RIB23" s="1"/>
      <c r="RIC23" s="1"/>
      <c r="RID23" s="1"/>
      <c r="RIE23" s="1"/>
      <c r="RIF23" s="1"/>
      <c r="RIG23" s="1"/>
      <c r="RIH23" s="1"/>
      <c r="RII23" s="1"/>
      <c r="RIJ23" s="1"/>
      <c r="RIK23" s="1"/>
      <c r="RIL23" s="1"/>
      <c r="RIM23" s="1"/>
      <c r="RIN23" s="1"/>
      <c r="RIO23" s="1"/>
      <c r="RIP23" s="1"/>
      <c r="RIQ23" s="1"/>
      <c r="RIR23" s="1"/>
      <c r="RIS23" s="1"/>
      <c r="RIT23" s="1"/>
      <c r="RIU23" s="1"/>
      <c r="RIV23" s="1"/>
      <c r="RIW23" s="1"/>
      <c r="RIX23" s="1"/>
      <c r="RIY23" s="1"/>
      <c r="RIZ23" s="1"/>
      <c r="RJA23" s="1"/>
      <c r="RJB23" s="1"/>
      <c r="RJC23" s="1"/>
      <c r="RJD23" s="1"/>
      <c r="RJE23" s="1"/>
      <c r="RJF23" s="1"/>
      <c r="RJG23" s="1"/>
      <c r="RJH23" s="1"/>
      <c r="RJI23" s="1"/>
      <c r="RJJ23" s="1"/>
      <c r="RJK23" s="1"/>
      <c r="RJL23" s="1"/>
      <c r="RJM23" s="1"/>
      <c r="RJN23" s="1"/>
      <c r="RJO23" s="1"/>
      <c r="RJP23" s="1"/>
      <c r="RJQ23" s="1"/>
      <c r="RJR23" s="1"/>
      <c r="RJS23" s="1"/>
      <c r="RJT23" s="1"/>
      <c r="RJU23" s="1"/>
      <c r="RJV23" s="1"/>
      <c r="RJW23" s="1"/>
      <c r="RJX23" s="1"/>
      <c r="RJY23" s="1"/>
      <c r="RJZ23" s="1"/>
      <c r="RKA23" s="1"/>
      <c r="RKB23" s="1"/>
      <c r="RKC23" s="1"/>
      <c r="RKD23" s="1"/>
      <c r="RKE23" s="1"/>
      <c r="RKF23" s="1"/>
      <c r="RKG23" s="1"/>
      <c r="RKH23" s="1"/>
      <c r="RKI23" s="1"/>
      <c r="RKJ23" s="1"/>
      <c r="RKK23" s="1"/>
      <c r="RKL23" s="1"/>
      <c r="RKM23" s="1"/>
      <c r="RKN23" s="1"/>
      <c r="RKO23" s="1"/>
      <c r="RKP23" s="1"/>
      <c r="RKQ23" s="1"/>
      <c r="RKR23" s="1"/>
      <c r="RKS23" s="1"/>
      <c r="RKT23" s="1"/>
      <c r="RKU23" s="1"/>
      <c r="RKV23" s="1"/>
      <c r="RKW23" s="1"/>
      <c r="RKX23" s="1"/>
      <c r="RKY23" s="1"/>
      <c r="RKZ23" s="1"/>
      <c r="RLA23" s="1"/>
      <c r="RLB23" s="1"/>
      <c r="RLC23" s="1"/>
      <c r="RLD23" s="1"/>
      <c r="RLE23" s="1"/>
      <c r="RLF23" s="1"/>
      <c r="RLG23" s="1"/>
      <c r="RLH23" s="1"/>
      <c r="RLI23" s="1"/>
      <c r="RLJ23" s="1"/>
      <c r="RLK23" s="1"/>
      <c r="RLL23" s="1"/>
      <c r="RLM23" s="1"/>
      <c r="RLN23" s="1"/>
      <c r="RLO23" s="1"/>
      <c r="RLP23" s="1"/>
      <c r="RLQ23" s="1"/>
      <c r="RLR23" s="1"/>
      <c r="RLS23" s="1"/>
      <c r="RLT23" s="1"/>
      <c r="RLU23" s="1"/>
      <c r="RLV23" s="1"/>
      <c r="RLW23" s="1"/>
      <c r="RLX23" s="1"/>
      <c r="RLY23" s="1"/>
      <c r="RLZ23" s="1"/>
      <c r="RMA23" s="1"/>
      <c r="RMB23" s="1"/>
      <c r="RMC23" s="1"/>
      <c r="RMD23" s="1"/>
      <c r="RME23" s="1"/>
      <c r="RMF23" s="1"/>
      <c r="RMG23" s="1"/>
      <c r="RMH23" s="1"/>
      <c r="RMI23" s="1"/>
      <c r="RMJ23" s="1"/>
      <c r="RMK23" s="1"/>
      <c r="RML23" s="1"/>
      <c r="RMM23" s="1"/>
      <c r="RMN23" s="1"/>
      <c r="RMO23" s="1"/>
      <c r="RMP23" s="1"/>
      <c r="RMQ23" s="1"/>
      <c r="RMR23" s="1"/>
      <c r="RMS23" s="1"/>
      <c r="RMT23" s="1"/>
      <c r="RMU23" s="1"/>
      <c r="RMV23" s="1"/>
      <c r="RMW23" s="1"/>
      <c r="RMX23" s="1"/>
      <c r="RMY23" s="1"/>
      <c r="RMZ23" s="1"/>
      <c r="RNA23" s="1"/>
      <c r="RNB23" s="1"/>
      <c r="RNC23" s="1"/>
      <c r="RND23" s="1"/>
      <c r="RNE23" s="1"/>
      <c r="RNF23" s="1"/>
      <c r="RNG23" s="1"/>
      <c r="RNH23" s="1"/>
      <c r="RNI23" s="1"/>
      <c r="RNJ23" s="1"/>
      <c r="RNK23" s="1"/>
      <c r="RNL23" s="1"/>
      <c r="RNM23" s="1"/>
      <c r="RNN23" s="1"/>
      <c r="RNO23" s="1"/>
      <c r="RNP23" s="1"/>
      <c r="RNQ23" s="1"/>
      <c r="RNR23" s="1"/>
      <c r="RNS23" s="1"/>
      <c r="RNT23" s="1"/>
      <c r="RNU23" s="1"/>
      <c r="RNV23" s="1"/>
      <c r="RNW23" s="1"/>
      <c r="RNX23" s="1"/>
      <c r="RNY23" s="1"/>
      <c r="RNZ23" s="1"/>
      <c r="ROA23" s="1"/>
      <c r="ROB23" s="1"/>
      <c r="ROC23" s="1"/>
      <c r="ROD23" s="1"/>
      <c r="ROE23" s="1"/>
      <c r="ROF23" s="1"/>
      <c r="ROG23" s="1"/>
      <c r="ROH23" s="1"/>
      <c r="ROI23" s="1"/>
      <c r="ROJ23" s="1"/>
      <c r="ROK23" s="1"/>
      <c r="ROL23" s="1"/>
      <c r="ROM23" s="1"/>
      <c r="RON23" s="1"/>
      <c r="ROO23" s="1"/>
      <c r="ROP23" s="1"/>
      <c r="ROQ23" s="1"/>
      <c r="ROR23" s="1"/>
      <c r="ROS23" s="1"/>
      <c r="ROT23" s="1"/>
      <c r="ROU23" s="1"/>
      <c r="ROV23" s="1"/>
      <c r="ROW23" s="1"/>
      <c r="ROX23" s="1"/>
      <c r="ROY23" s="1"/>
      <c r="ROZ23" s="1"/>
      <c r="RPA23" s="1"/>
      <c r="RPB23" s="1"/>
      <c r="RPC23" s="1"/>
      <c r="RPD23" s="1"/>
      <c r="RPE23" s="1"/>
      <c r="RPF23" s="1"/>
      <c r="RPG23" s="1"/>
      <c r="RPH23" s="1"/>
      <c r="RPI23" s="1"/>
      <c r="RPJ23" s="1"/>
      <c r="RPK23" s="1"/>
      <c r="RPL23" s="1"/>
      <c r="RPM23" s="1"/>
      <c r="RPN23" s="1"/>
      <c r="RPO23" s="1"/>
      <c r="RPP23" s="1"/>
      <c r="RPQ23" s="1"/>
      <c r="RPR23" s="1"/>
      <c r="RPS23" s="1"/>
      <c r="RPT23" s="1"/>
      <c r="RPU23" s="1"/>
      <c r="RPV23" s="1"/>
      <c r="RPW23" s="1"/>
      <c r="RPX23" s="1"/>
      <c r="RPY23" s="1"/>
      <c r="RPZ23" s="1"/>
      <c r="RQA23" s="1"/>
      <c r="RQB23" s="1"/>
      <c r="RQC23" s="1"/>
      <c r="RQD23" s="1"/>
      <c r="RQE23" s="1"/>
      <c r="RQF23" s="1"/>
      <c r="RQG23" s="1"/>
      <c r="RQH23" s="1"/>
      <c r="RQI23" s="1"/>
      <c r="RQJ23" s="1"/>
      <c r="RQK23" s="1"/>
      <c r="RQL23" s="1"/>
      <c r="RQM23" s="1"/>
      <c r="RQN23" s="1"/>
      <c r="RQO23" s="1"/>
      <c r="RQP23" s="1"/>
      <c r="RQQ23" s="1"/>
      <c r="RQR23" s="1"/>
      <c r="RQS23" s="1"/>
      <c r="RQT23" s="1"/>
      <c r="RQU23" s="1"/>
      <c r="RQV23" s="1"/>
      <c r="RQW23" s="1"/>
      <c r="RQX23" s="1"/>
      <c r="RQY23" s="1"/>
      <c r="RQZ23" s="1"/>
      <c r="RRA23" s="1"/>
      <c r="RRB23" s="1"/>
      <c r="RRC23" s="1"/>
      <c r="RRD23" s="1"/>
      <c r="RRE23" s="1"/>
      <c r="RRF23" s="1"/>
      <c r="RRG23" s="1"/>
      <c r="RRH23" s="1"/>
      <c r="RRI23" s="1"/>
      <c r="RRJ23" s="1"/>
      <c r="RRK23" s="1"/>
      <c r="RRL23" s="1"/>
      <c r="RRM23" s="1"/>
      <c r="RRN23" s="1"/>
      <c r="RRO23" s="1"/>
      <c r="RRP23" s="1"/>
      <c r="RRQ23" s="1"/>
      <c r="RRR23" s="1"/>
      <c r="RRS23" s="1"/>
      <c r="RRT23" s="1"/>
      <c r="RRU23" s="1"/>
      <c r="RRV23" s="1"/>
      <c r="RRW23" s="1"/>
      <c r="RRX23" s="1"/>
      <c r="RRY23" s="1"/>
      <c r="RRZ23" s="1"/>
      <c r="RSA23" s="1"/>
      <c r="RSB23" s="1"/>
      <c r="RSC23" s="1"/>
      <c r="RSD23" s="1"/>
      <c r="RSE23" s="1"/>
      <c r="RSF23" s="1"/>
      <c r="RSG23" s="1"/>
      <c r="RSH23" s="1"/>
      <c r="RSI23" s="1"/>
      <c r="RSJ23" s="1"/>
      <c r="RSK23" s="1"/>
      <c r="RSL23" s="1"/>
      <c r="RSM23" s="1"/>
      <c r="RSN23" s="1"/>
      <c r="RSO23" s="1"/>
      <c r="RSP23" s="1"/>
      <c r="RSQ23" s="1"/>
      <c r="RSR23" s="1"/>
      <c r="RSS23" s="1"/>
      <c r="RST23" s="1"/>
      <c r="RSU23" s="1"/>
      <c r="RSV23" s="1"/>
      <c r="RSW23" s="1"/>
      <c r="RSX23" s="1"/>
      <c r="RSY23" s="1"/>
      <c r="RSZ23" s="1"/>
      <c r="RTA23" s="1"/>
      <c r="RTB23" s="1"/>
      <c r="RTC23" s="1"/>
      <c r="RTD23" s="1"/>
      <c r="RTE23" s="1"/>
      <c r="RTF23" s="1"/>
      <c r="RTG23" s="1"/>
      <c r="RTH23" s="1"/>
      <c r="RTI23" s="1"/>
      <c r="RTJ23" s="1"/>
      <c r="RTK23" s="1"/>
      <c r="RTL23" s="1"/>
      <c r="RTM23" s="1"/>
      <c r="RTN23" s="1"/>
      <c r="RTO23" s="1"/>
      <c r="RTP23" s="1"/>
      <c r="RTQ23" s="1"/>
      <c r="RTR23" s="1"/>
      <c r="RTS23" s="1"/>
      <c r="RTT23" s="1"/>
      <c r="RTU23" s="1"/>
      <c r="RTV23" s="1"/>
      <c r="RTW23" s="1"/>
      <c r="RTX23" s="1"/>
      <c r="RTY23" s="1"/>
      <c r="RTZ23" s="1"/>
      <c r="RUA23" s="1"/>
      <c r="RUB23" s="1"/>
      <c r="RUC23" s="1"/>
      <c r="RUD23" s="1"/>
      <c r="RUE23" s="1"/>
      <c r="RUF23" s="1"/>
      <c r="RUG23" s="1"/>
      <c r="RUH23" s="1"/>
      <c r="RUI23" s="1"/>
      <c r="RUJ23" s="1"/>
      <c r="RUK23" s="1"/>
      <c r="RUL23" s="1"/>
      <c r="RUM23" s="1"/>
      <c r="RUN23" s="1"/>
      <c r="RUO23" s="1"/>
      <c r="RUP23" s="1"/>
      <c r="RUQ23" s="1"/>
      <c r="RUR23" s="1"/>
      <c r="RUS23" s="1"/>
      <c r="RUT23" s="1"/>
      <c r="RUU23" s="1"/>
      <c r="RUV23" s="1"/>
      <c r="RUW23" s="1"/>
      <c r="RUX23" s="1"/>
      <c r="RUY23" s="1"/>
      <c r="RUZ23" s="1"/>
      <c r="RVA23" s="1"/>
      <c r="RVB23" s="1"/>
      <c r="RVC23" s="1"/>
      <c r="RVD23" s="1"/>
      <c r="RVE23" s="1"/>
      <c r="RVF23" s="1"/>
      <c r="RVG23" s="1"/>
      <c r="RVH23" s="1"/>
      <c r="RVI23" s="1"/>
      <c r="RVJ23" s="1"/>
      <c r="RVK23" s="1"/>
      <c r="RVL23" s="1"/>
      <c r="RVM23" s="1"/>
      <c r="RVN23" s="1"/>
      <c r="RVO23" s="1"/>
      <c r="RVP23" s="1"/>
      <c r="RVQ23" s="1"/>
      <c r="RVR23" s="1"/>
      <c r="RVS23" s="1"/>
      <c r="RVT23" s="1"/>
      <c r="RVU23" s="1"/>
      <c r="RVV23" s="1"/>
      <c r="RVW23" s="1"/>
      <c r="RVX23" s="1"/>
      <c r="RVY23" s="1"/>
      <c r="RVZ23" s="1"/>
      <c r="RWA23" s="1"/>
      <c r="RWB23" s="1"/>
      <c r="RWC23" s="1"/>
      <c r="RWD23" s="1"/>
      <c r="RWE23" s="1"/>
      <c r="RWF23" s="1"/>
      <c r="RWG23" s="1"/>
      <c r="RWH23" s="1"/>
      <c r="RWI23" s="1"/>
      <c r="RWJ23" s="1"/>
      <c r="RWK23" s="1"/>
      <c r="RWL23" s="1"/>
      <c r="RWM23" s="1"/>
      <c r="RWN23" s="1"/>
      <c r="RWO23" s="1"/>
      <c r="RWP23" s="1"/>
      <c r="RWQ23" s="1"/>
      <c r="RWR23" s="1"/>
      <c r="RWS23" s="1"/>
      <c r="RWT23" s="1"/>
      <c r="RWU23" s="1"/>
      <c r="RWV23" s="1"/>
      <c r="RWW23" s="1"/>
      <c r="RWX23" s="1"/>
      <c r="RWY23" s="1"/>
      <c r="RWZ23" s="1"/>
      <c r="RXA23" s="1"/>
      <c r="RXB23" s="1"/>
      <c r="RXC23" s="1"/>
      <c r="RXD23" s="1"/>
      <c r="RXE23" s="1"/>
      <c r="RXF23" s="1"/>
      <c r="RXG23" s="1"/>
      <c r="RXH23" s="1"/>
      <c r="RXI23" s="1"/>
      <c r="RXJ23" s="1"/>
      <c r="RXK23" s="1"/>
      <c r="RXL23" s="1"/>
      <c r="RXM23" s="1"/>
      <c r="RXN23" s="1"/>
      <c r="RXO23" s="1"/>
      <c r="RXP23" s="1"/>
      <c r="RXQ23" s="1"/>
      <c r="RXR23" s="1"/>
      <c r="RXS23" s="1"/>
      <c r="RXT23" s="1"/>
      <c r="RXU23" s="1"/>
      <c r="RXV23" s="1"/>
      <c r="RXW23" s="1"/>
      <c r="RXX23" s="1"/>
      <c r="RXY23" s="1"/>
      <c r="RXZ23" s="1"/>
      <c r="RYA23" s="1"/>
      <c r="RYB23" s="1"/>
      <c r="RYC23" s="1"/>
      <c r="RYD23" s="1"/>
      <c r="RYE23" s="1"/>
      <c r="RYF23" s="1"/>
      <c r="RYG23" s="1"/>
      <c r="RYH23" s="1"/>
      <c r="RYI23" s="1"/>
      <c r="RYJ23" s="1"/>
      <c r="RYK23" s="1"/>
      <c r="RYL23" s="1"/>
      <c r="RYM23" s="1"/>
      <c r="RYN23" s="1"/>
      <c r="RYO23" s="1"/>
      <c r="RYP23" s="1"/>
      <c r="RYQ23" s="1"/>
      <c r="RYR23" s="1"/>
      <c r="RYS23" s="1"/>
      <c r="RYT23" s="1"/>
      <c r="RYU23" s="1"/>
      <c r="RYV23" s="1"/>
      <c r="RYW23" s="1"/>
      <c r="RYX23" s="1"/>
      <c r="RYY23" s="1"/>
      <c r="RYZ23" s="1"/>
      <c r="RZA23" s="1"/>
      <c r="RZB23" s="1"/>
      <c r="RZC23" s="1"/>
      <c r="RZD23" s="1"/>
      <c r="RZE23" s="1"/>
      <c r="RZF23" s="1"/>
      <c r="RZG23" s="1"/>
      <c r="RZH23" s="1"/>
      <c r="RZI23" s="1"/>
      <c r="RZJ23" s="1"/>
      <c r="RZK23" s="1"/>
      <c r="RZL23" s="1"/>
      <c r="RZM23" s="1"/>
      <c r="RZN23" s="1"/>
      <c r="RZO23" s="1"/>
      <c r="RZP23" s="1"/>
      <c r="RZQ23" s="1"/>
      <c r="RZR23" s="1"/>
      <c r="RZS23" s="1"/>
      <c r="RZT23" s="1"/>
      <c r="RZU23" s="1"/>
      <c r="RZV23" s="1"/>
      <c r="RZW23" s="1"/>
      <c r="RZX23" s="1"/>
      <c r="RZY23" s="1"/>
      <c r="RZZ23" s="1"/>
      <c r="SAA23" s="1"/>
      <c r="SAB23" s="1"/>
      <c r="SAC23" s="1"/>
      <c r="SAD23" s="1"/>
      <c r="SAE23" s="1"/>
      <c r="SAF23" s="1"/>
      <c r="SAG23" s="1"/>
      <c r="SAH23" s="1"/>
      <c r="SAI23" s="1"/>
      <c r="SAJ23" s="1"/>
      <c r="SAK23" s="1"/>
      <c r="SAL23" s="1"/>
      <c r="SAM23" s="1"/>
      <c r="SAN23" s="1"/>
      <c r="SAO23" s="1"/>
      <c r="SAP23" s="1"/>
      <c r="SAQ23" s="1"/>
      <c r="SAR23" s="1"/>
      <c r="SAS23" s="1"/>
      <c r="SAT23" s="1"/>
      <c r="SAU23" s="1"/>
      <c r="SAV23" s="1"/>
      <c r="SAW23" s="1"/>
      <c r="SAX23" s="1"/>
      <c r="SAY23" s="1"/>
      <c r="SAZ23" s="1"/>
      <c r="SBA23" s="1"/>
      <c r="SBB23" s="1"/>
      <c r="SBC23" s="1"/>
      <c r="SBD23" s="1"/>
      <c r="SBE23" s="1"/>
      <c r="SBF23" s="1"/>
      <c r="SBG23" s="1"/>
      <c r="SBH23" s="1"/>
      <c r="SBI23" s="1"/>
      <c r="SBJ23" s="1"/>
      <c r="SBK23" s="1"/>
      <c r="SBL23" s="1"/>
      <c r="SBM23" s="1"/>
      <c r="SBN23" s="1"/>
      <c r="SBO23" s="1"/>
      <c r="SBP23" s="1"/>
      <c r="SBQ23" s="1"/>
      <c r="SBR23" s="1"/>
      <c r="SBS23" s="1"/>
      <c r="SBT23" s="1"/>
      <c r="SBU23" s="1"/>
      <c r="SBV23" s="1"/>
      <c r="SBW23" s="1"/>
      <c r="SBX23" s="1"/>
      <c r="SBY23" s="1"/>
      <c r="SBZ23" s="1"/>
      <c r="SCA23" s="1"/>
      <c r="SCB23" s="1"/>
      <c r="SCC23" s="1"/>
      <c r="SCD23" s="1"/>
      <c r="SCE23" s="1"/>
      <c r="SCF23" s="1"/>
      <c r="SCG23" s="1"/>
      <c r="SCH23" s="1"/>
      <c r="SCI23" s="1"/>
      <c r="SCJ23" s="1"/>
      <c r="SCK23" s="1"/>
      <c r="SCL23" s="1"/>
      <c r="SCM23" s="1"/>
      <c r="SCN23" s="1"/>
      <c r="SCO23" s="1"/>
      <c r="SCP23" s="1"/>
      <c r="SCQ23" s="1"/>
      <c r="SCR23" s="1"/>
      <c r="SCS23" s="1"/>
      <c r="SCT23" s="1"/>
      <c r="SCU23" s="1"/>
      <c r="SCV23" s="1"/>
      <c r="SCW23" s="1"/>
      <c r="SCX23" s="1"/>
      <c r="SCY23" s="1"/>
      <c r="SCZ23" s="1"/>
      <c r="SDA23" s="1"/>
      <c r="SDB23" s="1"/>
      <c r="SDC23" s="1"/>
      <c r="SDD23" s="1"/>
      <c r="SDE23" s="1"/>
      <c r="SDF23" s="1"/>
      <c r="SDG23" s="1"/>
      <c r="SDH23" s="1"/>
      <c r="SDI23" s="1"/>
      <c r="SDJ23" s="1"/>
      <c r="SDK23" s="1"/>
      <c r="SDL23" s="1"/>
      <c r="SDM23" s="1"/>
      <c r="SDN23" s="1"/>
      <c r="SDO23" s="1"/>
      <c r="SDP23" s="1"/>
      <c r="SDQ23" s="1"/>
      <c r="SDR23" s="1"/>
      <c r="SDS23" s="1"/>
      <c r="SDT23" s="1"/>
      <c r="SDU23" s="1"/>
      <c r="SDV23" s="1"/>
      <c r="SDW23" s="1"/>
      <c r="SDX23" s="1"/>
      <c r="SDY23" s="1"/>
      <c r="SDZ23" s="1"/>
      <c r="SEA23" s="1"/>
      <c r="SEB23" s="1"/>
      <c r="SEC23" s="1"/>
      <c r="SED23" s="1"/>
      <c r="SEE23" s="1"/>
      <c r="SEF23" s="1"/>
      <c r="SEG23" s="1"/>
      <c r="SEH23" s="1"/>
      <c r="SEI23" s="1"/>
      <c r="SEJ23" s="1"/>
      <c r="SEK23" s="1"/>
      <c r="SEL23" s="1"/>
      <c r="SEM23" s="1"/>
      <c r="SEN23" s="1"/>
      <c r="SEO23" s="1"/>
      <c r="SEP23" s="1"/>
      <c r="SEQ23" s="1"/>
      <c r="SER23" s="1"/>
      <c r="SES23" s="1"/>
      <c r="SET23" s="1"/>
      <c r="SEU23" s="1"/>
      <c r="SEV23" s="1"/>
      <c r="SEW23" s="1"/>
      <c r="SEX23" s="1"/>
      <c r="SEY23" s="1"/>
      <c r="SEZ23" s="1"/>
      <c r="SFA23" s="1"/>
      <c r="SFB23" s="1"/>
      <c r="SFC23" s="1"/>
      <c r="SFD23" s="1"/>
      <c r="SFE23" s="1"/>
      <c r="SFF23" s="1"/>
      <c r="SFG23" s="1"/>
      <c r="SFH23" s="1"/>
      <c r="SFI23" s="1"/>
      <c r="SFJ23" s="1"/>
      <c r="SFK23" s="1"/>
      <c r="SFL23" s="1"/>
      <c r="SFM23" s="1"/>
      <c r="SFN23" s="1"/>
      <c r="SFO23" s="1"/>
      <c r="SFP23" s="1"/>
      <c r="SFQ23" s="1"/>
      <c r="SFR23" s="1"/>
      <c r="SFS23" s="1"/>
      <c r="SFT23" s="1"/>
      <c r="SFU23" s="1"/>
      <c r="SFV23" s="1"/>
      <c r="SFW23" s="1"/>
      <c r="SFX23" s="1"/>
      <c r="SFY23" s="1"/>
      <c r="SFZ23" s="1"/>
      <c r="SGA23" s="1"/>
      <c r="SGB23" s="1"/>
      <c r="SGC23" s="1"/>
      <c r="SGD23" s="1"/>
      <c r="SGE23" s="1"/>
      <c r="SGF23" s="1"/>
      <c r="SGG23" s="1"/>
      <c r="SGH23" s="1"/>
      <c r="SGI23" s="1"/>
      <c r="SGJ23" s="1"/>
      <c r="SGK23" s="1"/>
      <c r="SGL23" s="1"/>
      <c r="SGM23" s="1"/>
      <c r="SGN23" s="1"/>
      <c r="SGO23" s="1"/>
      <c r="SGP23" s="1"/>
      <c r="SGQ23" s="1"/>
      <c r="SGR23" s="1"/>
      <c r="SGS23" s="1"/>
      <c r="SGT23" s="1"/>
      <c r="SGU23" s="1"/>
      <c r="SGV23" s="1"/>
      <c r="SGW23" s="1"/>
      <c r="SGX23" s="1"/>
      <c r="SGY23" s="1"/>
      <c r="SGZ23" s="1"/>
      <c r="SHA23" s="1"/>
      <c r="SHB23" s="1"/>
      <c r="SHC23" s="1"/>
      <c r="SHD23" s="1"/>
      <c r="SHE23" s="1"/>
      <c r="SHF23" s="1"/>
      <c r="SHG23" s="1"/>
      <c r="SHH23" s="1"/>
      <c r="SHI23" s="1"/>
      <c r="SHJ23" s="1"/>
      <c r="SHK23" s="1"/>
      <c r="SHL23" s="1"/>
      <c r="SHM23" s="1"/>
      <c r="SHN23" s="1"/>
      <c r="SHO23" s="1"/>
      <c r="SHP23" s="1"/>
      <c r="SHQ23" s="1"/>
      <c r="SHR23" s="1"/>
      <c r="SHS23" s="1"/>
      <c r="SHT23" s="1"/>
      <c r="SHU23" s="1"/>
      <c r="SHV23" s="1"/>
      <c r="SHW23" s="1"/>
      <c r="SHX23" s="1"/>
      <c r="SHY23" s="1"/>
      <c r="SHZ23" s="1"/>
      <c r="SIA23" s="1"/>
      <c r="SIB23" s="1"/>
      <c r="SIC23" s="1"/>
      <c r="SID23" s="1"/>
      <c r="SIE23" s="1"/>
      <c r="SIF23" s="1"/>
      <c r="SIG23" s="1"/>
      <c r="SIH23" s="1"/>
      <c r="SII23" s="1"/>
      <c r="SIJ23" s="1"/>
      <c r="SIK23" s="1"/>
      <c r="SIL23" s="1"/>
      <c r="SIM23" s="1"/>
      <c r="SIN23" s="1"/>
      <c r="SIO23" s="1"/>
      <c r="SIP23" s="1"/>
      <c r="SIQ23" s="1"/>
      <c r="SIR23" s="1"/>
      <c r="SIS23" s="1"/>
      <c r="SIT23" s="1"/>
      <c r="SIU23" s="1"/>
      <c r="SIV23" s="1"/>
      <c r="SIW23" s="1"/>
      <c r="SIX23" s="1"/>
      <c r="SIY23" s="1"/>
      <c r="SIZ23" s="1"/>
      <c r="SJA23" s="1"/>
      <c r="SJB23" s="1"/>
      <c r="SJC23" s="1"/>
      <c r="SJD23" s="1"/>
      <c r="SJE23" s="1"/>
      <c r="SJF23" s="1"/>
      <c r="SJG23" s="1"/>
      <c r="SJH23" s="1"/>
      <c r="SJI23" s="1"/>
      <c r="SJJ23" s="1"/>
      <c r="SJK23" s="1"/>
      <c r="SJL23" s="1"/>
      <c r="SJM23" s="1"/>
      <c r="SJN23" s="1"/>
      <c r="SJO23" s="1"/>
      <c r="SJP23" s="1"/>
      <c r="SJQ23" s="1"/>
      <c r="SJR23" s="1"/>
      <c r="SJS23" s="1"/>
      <c r="SJT23" s="1"/>
      <c r="SJU23" s="1"/>
      <c r="SJV23" s="1"/>
      <c r="SJW23" s="1"/>
      <c r="SJX23" s="1"/>
      <c r="SJY23" s="1"/>
      <c r="SJZ23" s="1"/>
      <c r="SKA23" s="1"/>
      <c r="SKB23" s="1"/>
      <c r="SKC23" s="1"/>
      <c r="SKD23" s="1"/>
      <c r="SKE23" s="1"/>
      <c r="SKF23" s="1"/>
      <c r="SKG23" s="1"/>
      <c r="SKH23" s="1"/>
      <c r="SKI23" s="1"/>
      <c r="SKJ23" s="1"/>
      <c r="SKK23" s="1"/>
      <c r="SKL23" s="1"/>
      <c r="SKM23" s="1"/>
      <c r="SKN23" s="1"/>
      <c r="SKO23" s="1"/>
      <c r="SKP23" s="1"/>
      <c r="SKQ23" s="1"/>
      <c r="SKR23" s="1"/>
      <c r="SKS23" s="1"/>
      <c r="SKT23" s="1"/>
      <c r="SKU23" s="1"/>
      <c r="SKV23" s="1"/>
      <c r="SKW23" s="1"/>
      <c r="SKX23" s="1"/>
      <c r="SKY23" s="1"/>
      <c r="SKZ23" s="1"/>
      <c r="SLA23" s="1"/>
      <c r="SLB23" s="1"/>
      <c r="SLC23" s="1"/>
      <c r="SLD23" s="1"/>
      <c r="SLE23" s="1"/>
      <c r="SLF23" s="1"/>
      <c r="SLG23" s="1"/>
      <c r="SLH23" s="1"/>
      <c r="SLI23" s="1"/>
      <c r="SLJ23" s="1"/>
      <c r="SLK23" s="1"/>
      <c r="SLL23" s="1"/>
      <c r="SLM23" s="1"/>
      <c r="SLN23" s="1"/>
      <c r="SLO23" s="1"/>
      <c r="SLP23" s="1"/>
      <c r="SLQ23" s="1"/>
      <c r="SLR23" s="1"/>
      <c r="SLS23" s="1"/>
      <c r="SLT23" s="1"/>
      <c r="SLU23" s="1"/>
      <c r="SLV23" s="1"/>
      <c r="SLW23" s="1"/>
      <c r="SLX23" s="1"/>
      <c r="SLY23" s="1"/>
      <c r="SLZ23" s="1"/>
      <c r="SMA23" s="1"/>
      <c r="SMB23" s="1"/>
      <c r="SMC23" s="1"/>
      <c r="SMD23" s="1"/>
      <c r="SME23" s="1"/>
      <c r="SMF23" s="1"/>
      <c r="SMG23" s="1"/>
      <c r="SMH23" s="1"/>
      <c r="SMI23" s="1"/>
      <c r="SMJ23" s="1"/>
      <c r="SMK23" s="1"/>
      <c r="SML23" s="1"/>
      <c r="SMM23" s="1"/>
      <c r="SMN23" s="1"/>
      <c r="SMO23" s="1"/>
      <c r="SMP23" s="1"/>
      <c r="SMQ23" s="1"/>
      <c r="SMR23" s="1"/>
      <c r="SMS23" s="1"/>
      <c r="SMT23" s="1"/>
      <c r="SMU23" s="1"/>
      <c r="SMV23" s="1"/>
      <c r="SMW23" s="1"/>
      <c r="SMX23" s="1"/>
      <c r="SMY23" s="1"/>
      <c r="SMZ23" s="1"/>
      <c r="SNA23" s="1"/>
      <c r="SNB23" s="1"/>
      <c r="SNC23" s="1"/>
      <c r="SND23" s="1"/>
      <c r="SNE23" s="1"/>
      <c r="SNF23" s="1"/>
      <c r="SNG23" s="1"/>
      <c r="SNH23" s="1"/>
      <c r="SNI23" s="1"/>
      <c r="SNJ23" s="1"/>
      <c r="SNK23" s="1"/>
      <c r="SNL23" s="1"/>
      <c r="SNM23" s="1"/>
      <c r="SNN23" s="1"/>
      <c r="SNO23" s="1"/>
      <c r="SNP23" s="1"/>
      <c r="SNQ23" s="1"/>
      <c r="SNR23" s="1"/>
      <c r="SNS23" s="1"/>
      <c r="SNT23" s="1"/>
      <c r="SNU23" s="1"/>
      <c r="SNV23" s="1"/>
      <c r="SNW23" s="1"/>
      <c r="SNX23" s="1"/>
      <c r="SNY23" s="1"/>
      <c r="SNZ23" s="1"/>
      <c r="SOA23" s="1"/>
      <c r="SOB23" s="1"/>
      <c r="SOC23" s="1"/>
      <c r="SOD23" s="1"/>
      <c r="SOE23" s="1"/>
      <c r="SOF23" s="1"/>
      <c r="SOG23" s="1"/>
      <c r="SOH23" s="1"/>
      <c r="SOI23" s="1"/>
      <c r="SOJ23" s="1"/>
      <c r="SOK23" s="1"/>
      <c r="SOL23" s="1"/>
      <c r="SOM23" s="1"/>
      <c r="SON23" s="1"/>
      <c r="SOO23" s="1"/>
      <c r="SOP23" s="1"/>
      <c r="SOQ23" s="1"/>
      <c r="SOR23" s="1"/>
      <c r="SOS23" s="1"/>
      <c r="SOT23" s="1"/>
      <c r="SOU23" s="1"/>
      <c r="SOV23" s="1"/>
      <c r="SOW23" s="1"/>
      <c r="SOX23" s="1"/>
      <c r="SOY23" s="1"/>
      <c r="SOZ23" s="1"/>
      <c r="SPA23" s="1"/>
      <c r="SPB23" s="1"/>
      <c r="SPC23" s="1"/>
      <c r="SPD23" s="1"/>
      <c r="SPE23" s="1"/>
      <c r="SPF23" s="1"/>
      <c r="SPG23" s="1"/>
      <c r="SPH23" s="1"/>
      <c r="SPI23" s="1"/>
      <c r="SPJ23" s="1"/>
      <c r="SPK23" s="1"/>
      <c r="SPL23" s="1"/>
      <c r="SPM23" s="1"/>
      <c r="SPN23" s="1"/>
      <c r="SPO23" s="1"/>
      <c r="SPP23" s="1"/>
      <c r="SPQ23" s="1"/>
      <c r="SPR23" s="1"/>
      <c r="SPS23" s="1"/>
      <c r="SPT23" s="1"/>
      <c r="SPU23" s="1"/>
      <c r="SPV23" s="1"/>
      <c r="SPW23" s="1"/>
      <c r="SPX23" s="1"/>
      <c r="SPY23" s="1"/>
      <c r="SPZ23" s="1"/>
      <c r="SQA23" s="1"/>
      <c r="SQB23" s="1"/>
      <c r="SQC23" s="1"/>
      <c r="SQD23" s="1"/>
      <c r="SQE23" s="1"/>
      <c r="SQF23" s="1"/>
      <c r="SQG23" s="1"/>
      <c r="SQH23" s="1"/>
      <c r="SQI23" s="1"/>
      <c r="SQJ23" s="1"/>
      <c r="SQK23" s="1"/>
      <c r="SQL23" s="1"/>
      <c r="SQM23" s="1"/>
      <c r="SQN23" s="1"/>
      <c r="SQO23" s="1"/>
      <c r="SQP23" s="1"/>
      <c r="SQQ23" s="1"/>
      <c r="SQR23" s="1"/>
      <c r="SQS23" s="1"/>
      <c r="SQT23" s="1"/>
      <c r="SQU23" s="1"/>
      <c r="SQV23" s="1"/>
      <c r="SQW23" s="1"/>
      <c r="SQX23" s="1"/>
      <c r="SQY23" s="1"/>
      <c r="SQZ23" s="1"/>
      <c r="SRA23" s="1"/>
      <c r="SRB23" s="1"/>
      <c r="SRC23" s="1"/>
      <c r="SRD23" s="1"/>
      <c r="SRE23" s="1"/>
      <c r="SRF23" s="1"/>
      <c r="SRG23" s="1"/>
      <c r="SRH23" s="1"/>
      <c r="SRI23" s="1"/>
      <c r="SRJ23" s="1"/>
      <c r="SRK23" s="1"/>
      <c r="SRL23" s="1"/>
      <c r="SRM23" s="1"/>
      <c r="SRN23" s="1"/>
      <c r="SRO23" s="1"/>
      <c r="SRP23" s="1"/>
      <c r="SRQ23" s="1"/>
      <c r="SRR23" s="1"/>
      <c r="SRS23" s="1"/>
      <c r="SRT23" s="1"/>
      <c r="SRU23" s="1"/>
      <c r="SRV23" s="1"/>
      <c r="SRW23" s="1"/>
      <c r="SRX23" s="1"/>
      <c r="SRY23" s="1"/>
      <c r="SRZ23" s="1"/>
      <c r="SSA23" s="1"/>
      <c r="SSB23" s="1"/>
      <c r="SSC23" s="1"/>
      <c r="SSD23" s="1"/>
      <c r="SSE23" s="1"/>
      <c r="SSF23" s="1"/>
      <c r="SSG23" s="1"/>
      <c r="SSH23" s="1"/>
      <c r="SSI23" s="1"/>
      <c r="SSJ23" s="1"/>
      <c r="SSK23" s="1"/>
      <c r="SSL23" s="1"/>
      <c r="SSM23" s="1"/>
      <c r="SSN23" s="1"/>
      <c r="SSO23" s="1"/>
      <c r="SSP23" s="1"/>
      <c r="SSQ23" s="1"/>
      <c r="SSR23" s="1"/>
      <c r="SSS23" s="1"/>
      <c r="SST23" s="1"/>
      <c r="SSU23" s="1"/>
      <c r="SSV23" s="1"/>
      <c r="SSW23" s="1"/>
      <c r="SSX23" s="1"/>
      <c r="SSY23" s="1"/>
      <c r="SSZ23" s="1"/>
      <c r="STA23" s="1"/>
      <c r="STB23" s="1"/>
      <c r="STC23" s="1"/>
      <c r="STD23" s="1"/>
      <c r="STE23" s="1"/>
      <c r="STF23" s="1"/>
      <c r="STG23" s="1"/>
      <c r="STH23" s="1"/>
      <c r="STI23" s="1"/>
      <c r="STJ23" s="1"/>
      <c r="STK23" s="1"/>
      <c r="STL23" s="1"/>
      <c r="STM23" s="1"/>
      <c r="STN23" s="1"/>
      <c r="STO23" s="1"/>
      <c r="STP23" s="1"/>
      <c r="STQ23" s="1"/>
      <c r="STR23" s="1"/>
      <c r="STS23" s="1"/>
      <c r="STT23" s="1"/>
      <c r="STU23" s="1"/>
      <c r="STV23" s="1"/>
      <c r="STW23" s="1"/>
      <c r="STX23" s="1"/>
      <c r="STY23" s="1"/>
      <c r="STZ23" s="1"/>
      <c r="SUA23" s="1"/>
      <c r="SUB23" s="1"/>
      <c r="SUC23" s="1"/>
      <c r="SUD23" s="1"/>
      <c r="SUE23" s="1"/>
      <c r="SUF23" s="1"/>
      <c r="SUG23" s="1"/>
      <c r="SUH23" s="1"/>
      <c r="SUI23" s="1"/>
      <c r="SUJ23" s="1"/>
      <c r="SUK23" s="1"/>
      <c r="SUL23" s="1"/>
      <c r="SUM23" s="1"/>
      <c r="SUN23" s="1"/>
      <c r="SUO23" s="1"/>
      <c r="SUP23" s="1"/>
      <c r="SUQ23" s="1"/>
      <c r="SUR23" s="1"/>
      <c r="SUS23" s="1"/>
      <c r="SUT23" s="1"/>
      <c r="SUU23" s="1"/>
      <c r="SUV23" s="1"/>
      <c r="SUW23" s="1"/>
      <c r="SUX23" s="1"/>
      <c r="SUY23" s="1"/>
      <c r="SUZ23" s="1"/>
      <c r="SVA23" s="1"/>
      <c r="SVB23" s="1"/>
      <c r="SVC23" s="1"/>
      <c r="SVD23" s="1"/>
      <c r="SVE23" s="1"/>
      <c r="SVF23" s="1"/>
      <c r="SVG23" s="1"/>
      <c r="SVH23" s="1"/>
      <c r="SVI23" s="1"/>
      <c r="SVJ23" s="1"/>
      <c r="SVK23" s="1"/>
      <c r="SVL23" s="1"/>
      <c r="SVM23" s="1"/>
      <c r="SVN23" s="1"/>
      <c r="SVO23" s="1"/>
      <c r="SVP23" s="1"/>
      <c r="SVQ23" s="1"/>
      <c r="SVR23" s="1"/>
      <c r="SVS23" s="1"/>
      <c r="SVT23" s="1"/>
      <c r="SVU23" s="1"/>
      <c r="SVV23" s="1"/>
      <c r="SVW23" s="1"/>
      <c r="SVX23" s="1"/>
      <c r="SVY23" s="1"/>
      <c r="SVZ23" s="1"/>
      <c r="SWA23" s="1"/>
      <c r="SWB23" s="1"/>
      <c r="SWC23" s="1"/>
      <c r="SWD23" s="1"/>
      <c r="SWE23" s="1"/>
      <c r="SWF23" s="1"/>
      <c r="SWG23" s="1"/>
      <c r="SWH23" s="1"/>
      <c r="SWI23" s="1"/>
      <c r="SWJ23" s="1"/>
      <c r="SWK23" s="1"/>
      <c r="SWL23" s="1"/>
      <c r="SWM23" s="1"/>
      <c r="SWN23" s="1"/>
      <c r="SWO23" s="1"/>
      <c r="SWP23" s="1"/>
      <c r="SWQ23" s="1"/>
      <c r="SWR23" s="1"/>
      <c r="SWS23" s="1"/>
      <c r="SWT23" s="1"/>
      <c r="SWU23" s="1"/>
      <c r="SWV23" s="1"/>
      <c r="SWW23" s="1"/>
      <c r="SWX23" s="1"/>
      <c r="SWY23" s="1"/>
      <c r="SWZ23" s="1"/>
      <c r="SXA23" s="1"/>
      <c r="SXB23" s="1"/>
      <c r="SXC23" s="1"/>
      <c r="SXD23" s="1"/>
      <c r="SXE23" s="1"/>
      <c r="SXF23" s="1"/>
      <c r="SXG23" s="1"/>
      <c r="SXH23" s="1"/>
      <c r="SXI23" s="1"/>
      <c r="SXJ23" s="1"/>
      <c r="SXK23" s="1"/>
      <c r="SXL23" s="1"/>
      <c r="SXM23" s="1"/>
      <c r="SXN23" s="1"/>
      <c r="SXO23" s="1"/>
      <c r="SXP23" s="1"/>
      <c r="SXQ23" s="1"/>
      <c r="SXR23" s="1"/>
      <c r="SXS23" s="1"/>
      <c r="SXT23" s="1"/>
      <c r="SXU23" s="1"/>
      <c r="SXV23" s="1"/>
      <c r="SXW23" s="1"/>
      <c r="SXX23" s="1"/>
      <c r="SXY23" s="1"/>
      <c r="SXZ23" s="1"/>
      <c r="SYA23" s="1"/>
      <c r="SYB23" s="1"/>
      <c r="SYC23" s="1"/>
      <c r="SYD23" s="1"/>
      <c r="SYE23" s="1"/>
      <c r="SYF23" s="1"/>
      <c r="SYG23" s="1"/>
      <c r="SYH23" s="1"/>
      <c r="SYI23" s="1"/>
      <c r="SYJ23" s="1"/>
      <c r="SYK23" s="1"/>
      <c r="SYL23" s="1"/>
      <c r="SYM23" s="1"/>
      <c r="SYN23" s="1"/>
      <c r="SYO23" s="1"/>
      <c r="SYP23" s="1"/>
      <c r="SYQ23" s="1"/>
      <c r="SYR23" s="1"/>
      <c r="SYS23" s="1"/>
      <c r="SYT23" s="1"/>
      <c r="SYU23" s="1"/>
      <c r="SYV23" s="1"/>
      <c r="SYW23" s="1"/>
      <c r="SYX23" s="1"/>
      <c r="SYY23" s="1"/>
      <c r="SYZ23" s="1"/>
      <c r="SZA23" s="1"/>
      <c r="SZB23" s="1"/>
      <c r="SZC23" s="1"/>
      <c r="SZD23" s="1"/>
      <c r="SZE23" s="1"/>
      <c r="SZF23" s="1"/>
      <c r="SZG23" s="1"/>
      <c r="SZH23" s="1"/>
      <c r="SZI23" s="1"/>
      <c r="SZJ23" s="1"/>
      <c r="SZK23" s="1"/>
      <c r="SZL23" s="1"/>
      <c r="SZM23" s="1"/>
      <c r="SZN23" s="1"/>
      <c r="SZO23" s="1"/>
      <c r="SZP23" s="1"/>
      <c r="SZQ23" s="1"/>
      <c r="SZR23" s="1"/>
      <c r="SZS23" s="1"/>
      <c r="SZT23" s="1"/>
      <c r="SZU23" s="1"/>
      <c r="SZV23" s="1"/>
      <c r="SZW23" s="1"/>
      <c r="SZX23" s="1"/>
      <c r="SZY23" s="1"/>
      <c r="SZZ23" s="1"/>
      <c r="TAA23" s="1"/>
      <c r="TAB23" s="1"/>
      <c r="TAC23" s="1"/>
      <c r="TAD23" s="1"/>
      <c r="TAE23" s="1"/>
      <c r="TAF23" s="1"/>
      <c r="TAG23" s="1"/>
      <c r="TAH23" s="1"/>
      <c r="TAI23" s="1"/>
      <c r="TAJ23" s="1"/>
      <c r="TAK23" s="1"/>
      <c r="TAL23" s="1"/>
      <c r="TAM23" s="1"/>
      <c r="TAN23" s="1"/>
      <c r="TAO23" s="1"/>
      <c r="TAP23" s="1"/>
      <c r="TAQ23" s="1"/>
      <c r="TAR23" s="1"/>
      <c r="TAS23" s="1"/>
      <c r="TAT23" s="1"/>
      <c r="TAU23" s="1"/>
      <c r="TAV23" s="1"/>
      <c r="TAW23" s="1"/>
      <c r="TAX23" s="1"/>
      <c r="TAY23" s="1"/>
      <c r="TAZ23" s="1"/>
      <c r="TBA23" s="1"/>
      <c r="TBB23" s="1"/>
      <c r="TBC23" s="1"/>
      <c r="TBD23" s="1"/>
      <c r="TBE23" s="1"/>
      <c r="TBF23" s="1"/>
      <c r="TBG23" s="1"/>
      <c r="TBH23" s="1"/>
      <c r="TBI23" s="1"/>
      <c r="TBJ23" s="1"/>
      <c r="TBK23" s="1"/>
      <c r="TBL23" s="1"/>
      <c r="TBM23" s="1"/>
      <c r="TBN23" s="1"/>
      <c r="TBO23" s="1"/>
      <c r="TBP23" s="1"/>
      <c r="TBQ23" s="1"/>
      <c r="TBR23" s="1"/>
      <c r="TBS23" s="1"/>
      <c r="TBT23" s="1"/>
      <c r="TBU23" s="1"/>
      <c r="TBV23" s="1"/>
      <c r="TBW23" s="1"/>
      <c r="TBX23" s="1"/>
      <c r="TBY23" s="1"/>
      <c r="TBZ23" s="1"/>
      <c r="TCA23" s="1"/>
      <c r="TCB23" s="1"/>
      <c r="TCC23" s="1"/>
      <c r="TCD23" s="1"/>
      <c r="TCE23" s="1"/>
      <c r="TCF23" s="1"/>
      <c r="TCG23" s="1"/>
      <c r="TCH23" s="1"/>
      <c r="TCI23" s="1"/>
      <c r="TCJ23" s="1"/>
      <c r="TCK23" s="1"/>
      <c r="TCL23" s="1"/>
      <c r="TCM23" s="1"/>
      <c r="TCN23" s="1"/>
      <c r="TCO23" s="1"/>
      <c r="TCP23" s="1"/>
      <c r="TCQ23" s="1"/>
      <c r="TCR23" s="1"/>
      <c r="TCS23" s="1"/>
      <c r="TCT23" s="1"/>
      <c r="TCU23" s="1"/>
      <c r="TCV23" s="1"/>
      <c r="TCW23" s="1"/>
      <c r="TCX23" s="1"/>
      <c r="TCY23" s="1"/>
      <c r="TCZ23" s="1"/>
      <c r="TDA23" s="1"/>
      <c r="TDB23" s="1"/>
      <c r="TDC23" s="1"/>
      <c r="TDD23" s="1"/>
      <c r="TDE23" s="1"/>
      <c r="TDF23" s="1"/>
      <c r="TDG23" s="1"/>
      <c r="TDH23" s="1"/>
      <c r="TDI23" s="1"/>
      <c r="TDJ23" s="1"/>
      <c r="TDK23" s="1"/>
      <c r="TDL23" s="1"/>
      <c r="TDM23" s="1"/>
      <c r="TDN23" s="1"/>
      <c r="TDO23" s="1"/>
      <c r="TDP23" s="1"/>
      <c r="TDQ23" s="1"/>
      <c r="TDR23" s="1"/>
      <c r="TDS23" s="1"/>
      <c r="TDT23" s="1"/>
      <c r="TDU23" s="1"/>
      <c r="TDV23" s="1"/>
      <c r="TDW23" s="1"/>
      <c r="TDX23" s="1"/>
      <c r="TDY23" s="1"/>
      <c r="TDZ23" s="1"/>
      <c r="TEA23" s="1"/>
      <c r="TEB23" s="1"/>
      <c r="TEC23" s="1"/>
      <c r="TED23" s="1"/>
      <c r="TEE23" s="1"/>
      <c r="TEF23" s="1"/>
      <c r="TEG23" s="1"/>
      <c r="TEH23" s="1"/>
      <c r="TEI23" s="1"/>
      <c r="TEJ23" s="1"/>
      <c r="TEK23" s="1"/>
      <c r="TEL23" s="1"/>
      <c r="TEM23" s="1"/>
      <c r="TEN23" s="1"/>
      <c r="TEO23" s="1"/>
      <c r="TEP23" s="1"/>
      <c r="TEQ23" s="1"/>
      <c r="TER23" s="1"/>
      <c r="TES23" s="1"/>
      <c r="TET23" s="1"/>
      <c r="TEU23" s="1"/>
      <c r="TEV23" s="1"/>
      <c r="TEW23" s="1"/>
      <c r="TEX23" s="1"/>
      <c r="TEY23" s="1"/>
      <c r="TEZ23" s="1"/>
      <c r="TFA23" s="1"/>
      <c r="TFB23" s="1"/>
      <c r="TFC23" s="1"/>
      <c r="TFD23" s="1"/>
      <c r="TFE23" s="1"/>
      <c r="TFF23" s="1"/>
      <c r="TFG23" s="1"/>
      <c r="TFH23" s="1"/>
      <c r="TFI23" s="1"/>
      <c r="TFJ23" s="1"/>
      <c r="TFK23" s="1"/>
      <c r="TFL23" s="1"/>
      <c r="TFM23" s="1"/>
      <c r="TFN23" s="1"/>
      <c r="TFO23" s="1"/>
      <c r="TFP23" s="1"/>
      <c r="TFQ23" s="1"/>
      <c r="TFR23" s="1"/>
      <c r="TFS23" s="1"/>
      <c r="TFT23" s="1"/>
      <c r="TFU23" s="1"/>
      <c r="TFV23" s="1"/>
      <c r="TFW23" s="1"/>
      <c r="TFX23" s="1"/>
      <c r="TFY23" s="1"/>
      <c r="TFZ23" s="1"/>
      <c r="TGA23" s="1"/>
      <c r="TGB23" s="1"/>
      <c r="TGC23" s="1"/>
      <c r="TGD23" s="1"/>
      <c r="TGE23" s="1"/>
      <c r="TGF23" s="1"/>
      <c r="TGG23" s="1"/>
      <c r="TGH23" s="1"/>
      <c r="TGI23" s="1"/>
      <c r="TGJ23" s="1"/>
      <c r="TGK23" s="1"/>
      <c r="TGL23" s="1"/>
      <c r="TGM23" s="1"/>
      <c r="TGN23" s="1"/>
      <c r="TGO23" s="1"/>
      <c r="TGP23" s="1"/>
      <c r="TGQ23" s="1"/>
      <c r="TGR23" s="1"/>
      <c r="TGS23" s="1"/>
      <c r="TGT23" s="1"/>
      <c r="TGU23" s="1"/>
      <c r="TGV23" s="1"/>
      <c r="TGW23" s="1"/>
      <c r="TGX23" s="1"/>
      <c r="TGY23" s="1"/>
      <c r="TGZ23" s="1"/>
      <c r="THA23" s="1"/>
      <c r="THB23" s="1"/>
      <c r="THC23" s="1"/>
      <c r="THD23" s="1"/>
      <c r="THE23" s="1"/>
      <c r="THF23" s="1"/>
      <c r="THG23" s="1"/>
      <c r="THH23" s="1"/>
      <c r="THI23" s="1"/>
      <c r="THJ23" s="1"/>
      <c r="THK23" s="1"/>
      <c r="THL23" s="1"/>
      <c r="THM23" s="1"/>
      <c r="THN23" s="1"/>
      <c r="THO23" s="1"/>
      <c r="THP23" s="1"/>
      <c r="THQ23" s="1"/>
      <c r="THR23" s="1"/>
      <c r="THS23" s="1"/>
      <c r="THT23" s="1"/>
      <c r="THU23" s="1"/>
      <c r="THV23" s="1"/>
      <c r="THW23" s="1"/>
      <c r="THX23" s="1"/>
      <c r="THY23" s="1"/>
      <c r="THZ23" s="1"/>
      <c r="TIA23" s="1"/>
      <c r="TIB23" s="1"/>
      <c r="TIC23" s="1"/>
      <c r="TID23" s="1"/>
      <c r="TIE23" s="1"/>
      <c r="TIF23" s="1"/>
      <c r="TIG23" s="1"/>
      <c r="TIH23" s="1"/>
      <c r="TII23" s="1"/>
      <c r="TIJ23" s="1"/>
      <c r="TIK23" s="1"/>
      <c r="TIL23" s="1"/>
      <c r="TIM23" s="1"/>
      <c r="TIN23" s="1"/>
      <c r="TIO23" s="1"/>
      <c r="TIP23" s="1"/>
      <c r="TIQ23" s="1"/>
      <c r="TIR23" s="1"/>
      <c r="TIS23" s="1"/>
      <c r="TIT23" s="1"/>
      <c r="TIU23" s="1"/>
      <c r="TIV23" s="1"/>
      <c r="TIW23" s="1"/>
      <c r="TIX23" s="1"/>
      <c r="TIY23" s="1"/>
      <c r="TIZ23" s="1"/>
      <c r="TJA23" s="1"/>
      <c r="TJB23" s="1"/>
      <c r="TJC23" s="1"/>
      <c r="TJD23" s="1"/>
      <c r="TJE23" s="1"/>
      <c r="TJF23" s="1"/>
      <c r="TJG23" s="1"/>
      <c r="TJH23" s="1"/>
      <c r="TJI23" s="1"/>
      <c r="TJJ23" s="1"/>
      <c r="TJK23" s="1"/>
      <c r="TJL23" s="1"/>
      <c r="TJM23" s="1"/>
      <c r="TJN23" s="1"/>
      <c r="TJO23" s="1"/>
      <c r="TJP23" s="1"/>
      <c r="TJQ23" s="1"/>
      <c r="TJR23" s="1"/>
      <c r="TJS23" s="1"/>
      <c r="TJT23" s="1"/>
      <c r="TJU23" s="1"/>
      <c r="TJV23" s="1"/>
      <c r="TJW23" s="1"/>
      <c r="TJX23" s="1"/>
      <c r="TJY23" s="1"/>
      <c r="TJZ23" s="1"/>
      <c r="TKA23" s="1"/>
      <c r="TKB23" s="1"/>
      <c r="TKC23" s="1"/>
      <c r="TKD23" s="1"/>
      <c r="TKE23" s="1"/>
      <c r="TKF23" s="1"/>
      <c r="TKG23" s="1"/>
      <c r="TKH23" s="1"/>
      <c r="TKI23" s="1"/>
      <c r="TKJ23" s="1"/>
      <c r="TKK23" s="1"/>
      <c r="TKL23" s="1"/>
      <c r="TKM23" s="1"/>
      <c r="TKN23" s="1"/>
      <c r="TKO23" s="1"/>
      <c r="TKP23" s="1"/>
      <c r="TKQ23" s="1"/>
      <c r="TKR23" s="1"/>
      <c r="TKS23" s="1"/>
      <c r="TKT23" s="1"/>
      <c r="TKU23" s="1"/>
      <c r="TKV23" s="1"/>
      <c r="TKW23" s="1"/>
      <c r="TKX23" s="1"/>
      <c r="TKY23" s="1"/>
      <c r="TKZ23" s="1"/>
      <c r="TLA23" s="1"/>
      <c r="TLB23" s="1"/>
      <c r="TLC23" s="1"/>
      <c r="TLD23" s="1"/>
      <c r="TLE23" s="1"/>
      <c r="TLF23" s="1"/>
      <c r="TLG23" s="1"/>
      <c r="TLH23" s="1"/>
      <c r="TLI23" s="1"/>
      <c r="TLJ23" s="1"/>
      <c r="TLK23" s="1"/>
      <c r="TLL23" s="1"/>
      <c r="TLM23" s="1"/>
      <c r="TLN23" s="1"/>
      <c r="TLO23" s="1"/>
      <c r="TLP23" s="1"/>
      <c r="TLQ23" s="1"/>
      <c r="TLR23" s="1"/>
      <c r="TLS23" s="1"/>
      <c r="TLT23" s="1"/>
      <c r="TLU23" s="1"/>
      <c r="TLV23" s="1"/>
      <c r="TLW23" s="1"/>
      <c r="TLX23" s="1"/>
      <c r="TLY23" s="1"/>
      <c r="TLZ23" s="1"/>
      <c r="TMA23" s="1"/>
      <c r="TMB23" s="1"/>
      <c r="TMC23" s="1"/>
      <c r="TMD23" s="1"/>
      <c r="TME23" s="1"/>
      <c r="TMF23" s="1"/>
      <c r="TMG23" s="1"/>
      <c r="TMH23" s="1"/>
      <c r="TMI23" s="1"/>
      <c r="TMJ23" s="1"/>
      <c r="TMK23" s="1"/>
      <c r="TML23" s="1"/>
      <c r="TMM23" s="1"/>
      <c r="TMN23" s="1"/>
      <c r="TMO23" s="1"/>
      <c r="TMP23" s="1"/>
      <c r="TMQ23" s="1"/>
      <c r="TMR23" s="1"/>
      <c r="TMS23" s="1"/>
      <c r="TMT23" s="1"/>
      <c r="TMU23" s="1"/>
      <c r="TMV23" s="1"/>
      <c r="TMW23" s="1"/>
      <c r="TMX23" s="1"/>
      <c r="TMY23" s="1"/>
      <c r="TMZ23" s="1"/>
      <c r="TNA23" s="1"/>
      <c r="TNB23" s="1"/>
      <c r="TNC23" s="1"/>
      <c r="TND23" s="1"/>
      <c r="TNE23" s="1"/>
      <c r="TNF23" s="1"/>
      <c r="TNG23" s="1"/>
      <c r="TNH23" s="1"/>
      <c r="TNI23" s="1"/>
      <c r="TNJ23" s="1"/>
      <c r="TNK23" s="1"/>
      <c r="TNL23" s="1"/>
      <c r="TNM23" s="1"/>
      <c r="TNN23" s="1"/>
      <c r="TNO23" s="1"/>
      <c r="TNP23" s="1"/>
      <c r="TNQ23" s="1"/>
      <c r="TNR23" s="1"/>
      <c r="TNS23" s="1"/>
      <c r="TNT23" s="1"/>
      <c r="TNU23" s="1"/>
      <c r="TNV23" s="1"/>
      <c r="TNW23" s="1"/>
      <c r="TNX23" s="1"/>
      <c r="TNY23" s="1"/>
      <c r="TNZ23" s="1"/>
      <c r="TOA23" s="1"/>
      <c r="TOB23" s="1"/>
      <c r="TOC23" s="1"/>
      <c r="TOD23" s="1"/>
      <c r="TOE23" s="1"/>
      <c r="TOF23" s="1"/>
      <c r="TOG23" s="1"/>
      <c r="TOH23" s="1"/>
      <c r="TOI23" s="1"/>
      <c r="TOJ23" s="1"/>
      <c r="TOK23" s="1"/>
      <c r="TOL23" s="1"/>
      <c r="TOM23" s="1"/>
      <c r="TON23" s="1"/>
      <c r="TOO23" s="1"/>
      <c r="TOP23" s="1"/>
      <c r="TOQ23" s="1"/>
      <c r="TOR23" s="1"/>
      <c r="TOS23" s="1"/>
      <c r="TOT23" s="1"/>
      <c r="TOU23" s="1"/>
      <c r="TOV23" s="1"/>
      <c r="TOW23" s="1"/>
      <c r="TOX23" s="1"/>
      <c r="TOY23" s="1"/>
      <c r="TOZ23" s="1"/>
      <c r="TPA23" s="1"/>
      <c r="TPB23" s="1"/>
      <c r="TPC23" s="1"/>
      <c r="TPD23" s="1"/>
      <c r="TPE23" s="1"/>
      <c r="TPF23" s="1"/>
      <c r="TPG23" s="1"/>
      <c r="TPH23" s="1"/>
      <c r="TPI23" s="1"/>
      <c r="TPJ23" s="1"/>
      <c r="TPK23" s="1"/>
      <c r="TPL23" s="1"/>
      <c r="TPM23" s="1"/>
      <c r="TPN23" s="1"/>
      <c r="TPO23" s="1"/>
      <c r="TPP23" s="1"/>
      <c r="TPQ23" s="1"/>
      <c r="TPR23" s="1"/>
      <c r="TPS23" s="1"/>
      <c r="TPT23" s="1"/>
      <c r="TPU23" s="1"/>
      <c r="TPV23" s="1"/>
      <c r="TPW23" s="1"/>
      <c r="TPX23" s="1"/>
      <c r="TPY23" s="1"/>
      <c r="TPZ23" s="1"/>
      <c r="TQA23" s="1"/>
      <c r="TQB23" s="1"/>
      <c r="TQC23" s="1"/>
      <c r="TQD23" s="1"/>
      <c r="TQE23" s="1"/>
      <c r="TQF23" s="1"/>
      <c r="TQG23" s="1"/>
      <c r="TQH23" s="1"/>
      <c r="TQI23" s="1"/>
      <c r="TQJ23" s="1"/>
      <c r="TQK23" s="1"/>
      <c r="TQL23" s="1"/>
      <c r="TQM23" s="1"/>
      <c r="TQN23" s="1"/>
      <c r="TQO23" s="1"/>
      <c r="TQP23" s="1"/>
      <c r="TQQ23" s="1"/>
      <c r="TQR23" s="1"/>
      <c r="TQS23" s="1"/>
      <c r="TQT23" s="1"/>
      <c r="TQU23" s="1"/>
      <c r="TQV23" s="1"/>
      <c r="TQW23" s="1"/>
      <c r="TQX23" s="1"/>
      <c r="TQY23" s="1"/>
      <c r="TQZ23" s="1"/>
      <c r="TRA23" s="1"/>
      <c r="TRB23" s="1"/>
      <c r="TRC23" s="1"/>
      <c r="TRD23" s="1"/>
      <c r="TRE23" s="1"/>
      <c r="TRF23" s="1"/>
      <c r="TRG23" s="1"/>
      <c r="TRH23" s="1"/>
      <c r="TRI23" s="1"/>
      <c r="TRJ23" s="1"/>
      <c r="TRK23" s="1"/>
      <c r="TRL23" s="1"/>
      <c r="TRM23" s="1"/>
      <c r="TRN23" s="1"/>
      <c r="TRO23" s="1"/>
      <c r="TRP23" s="1"/>
      <c r="TRQ23" s="1"/>
      <c r="TRR23" s="1"/>
      <c r="TRS23" s="1"/>
      <c r="TRT23" s="1"/>
      <c r="TRU23" s="1"/>
      <c r="TRV23" s="1"/>
      <c r="TRW23" s="1"/>
      <c r="TRX23" s="1"/>
      <c r="TRY23" s="1"/>
      <c r="TRZ23" s="1"/>
      <c r="TSA23" s="1"/>
      <c r="TSB23" s="1"/>
      <c r="TSC23" s="1"/>
      <c r="TSD23" s="1"/>
      <c r="TSE23" s="1"/>
      <c r="TSF23" s="1"/>
      <c r="TSG23" s="1"/>
      <c r="TSH23" s="1"/>
      <c r="TSI23" s="1"/>
      <c r="TSJ23" s="1"/>
      <c r="TSK23" s="1"/>
      <c r="TSL23" s="1"/>
      <c r="TSM23" s="1"/>
      <c r="TSN23" s="1"/>
      <c r="TSO23" s="1"/>
      <c r="TSP23" s="1"/>
      <c r="TSQ23" s="1"/>
      <c r="TSR23" s="1"/>
      <c r="TSS23" s="1"/>
      <c r="TST23" s="1"/>
      <c r="TSU23" s="1"/>
      <c r="TSV23" s="1"/>
      <c r="TSW23" s="1"/>
      <c r="TSX23" s="1"/>
      <c r="TSY23" s="1"/>
      <c r="TSZ23" s="1"/>
      <c r="TTA23" s="1"/>
      <c r="TTB23" s="1"/>
      <c r="TTC23" s="1"/>
      <c r="TTD23" s="1"/>
      <c r="TTE23" s="1"/>
      <c r="TTF23" s="1"/>
      <c r="TTG23" s="1"/>
      <c r="TTH23" s="1"/>
      <c r="TTI23" s="1"/>
      <c r="TTJ23" s="1"/>
      <c r="TTK23" s="1"/>
      <c r="TTL23" s="1"/>
      <c r="TTM23" s="1"/>
      <c r="TTN23" s="1"/>
      <c r="TTO23" s="1"/>
      <c r="TTP23" s="1"/>
      <c r="TTQ23" s="1"/>
      <c r="TTR23" s="1"/>
      <c r="TTS23" s="1"/>
      <c r="TTT23" s="1"/>
      <c r="TTU23" s="1"/>
      <c r="TTV23" s="1"/>
      <c r="TTW23" s="1"/>
      <c r="TTX23" s="1"/>
      <c r="TTY23" s="1"/>
      <c r="TTZ23" s="1"/>
      <c r="TUA23" s="1"/>
      <c r="TUB23" s="1"/>
      <c r="TUC23" s="1"/>
      <c r="TUD23" s="1"/>
      <c r="TUE23" s="1"/>
      <c r="TUF23" s="1"/>
      <c r="TUG23" s="1"/>
      <c r="TUH23" s="1"/>
      <c r="TUI23" s="1"/>
      <c r="TUJ23" s="1"/>
      <c r="TUK23" s="1"/>
      <c r="TUL23" s="1"/>
      <c r="TUM23" s="1"/>
      <c r="TUN23" s="1"/>
      <c r="TUO23" s="1"/>
      <c r="TUP23" s="1"/>
      <c r="TUQ23" s="1"/>
      <c r="TUR23" s="1"/>
      <c r="TUS23" s="1"/>
      <c r="TUT23" s="1"/>
      <c r="TUU23" s="1"/>
      <c r="TUV23" s="1"/>
      <c r="TUW23" s="1"/>
      <c r="TUX23" s="1"/>
      <c r="TUY23" s="1"/>
      <c r="TUZ23" s="1"/>
      <c r="TVA23" s="1"/>
      <c r="TVB23" s="1"/>
      <c r="TVC23" s="1"/>
      <c r="TVD23" s="1"/>
      <c r="TVE23" s="1"/>
      <c r="TVF23" s="1"/>
      <c r="TVG23" s="1"/>
      <c r="TVH23" s="1"/>
      <c r="TVI23" s="1"/>
      <c r="TVJ23" s="1"/>
      <c r="TVK23" s="1"/>
      <c r="TVL23" s="1"/>
      <c r="TVM23" s="1"/>
      <c r="TVN23" s="1"/>
      <c r="TVO23" s="1"/>
      <c r="TVP23" s="1"/>
      <c r="TVQ23" s="1"/>
      <c r="TVR23" s="1"/>
      <c r="TVS23" s="1"/>
      <c r="TVT23" s="1"/>
      <c r="TVU23" s="1"/>
      <c r="TVV23" s="1"/>
      <c r="TVW23" s="1"/>
      <c r="TVX23" s="1"/>
      <c r="TVY23" s="1"/>
      <c r="TVZ23" s="1"/>
      <c r="TWA23" s="1"/>
      <c r="TWB23" s="1"/>
      <c r="TWC23" s="1"/>
      <c r="TWD23" s="1"/>
      <c r="TWE23" s="1"/>
      <c r="TWF23" s="1"/>
      <c r="TWG23" s="1"/>
      <c r="TWH23" s="1"/>
      <c r="TWI23" s="1"/>
      <c r="TWJ23" s="1"/>
      <c r="TWK23" s="1"/>
      <c r="TWL23" s="1"/>
      <c r="TWM23" s="1"/>
      <c r="TWN23" s="1"/>
      <c r="TWO23" s="1"/>
      <c r="TWP23" s="1"/>
      <c r="TWQ23" s="1"/>
      <c r="TWR23" s="1"/>
      <c r="TWS23" s="1"/>
      <c r="TWT23" s="1"/>
      <c r="TWU23" s="1"/>
      <c r="TWV23" s="1"/>
      <c r="TWW23" s="1"/>
      <c r="TWX23" s="1"/>
      <c r="TWY23" s="1"/>
      <c r="TWZ23" s="1"/>
      <c r="TXA23" s="1"/>
      <c r="TXB23" s="1"/>
      <c r="TXC23" s="1"/>
      <c r="TXD23" s="1"/>
      <c r="TXE23" s="1"/>
      <c r="TXF23" s="1"/>
      <c r="TXG23" s="1"/>
      <c r="TXH23" s="1"/>
      <c r="TXI23" s="1"/>
      <c r="TXJ23" s="1"/>
      <c r="TXK23" s="1"/>
      <c r="TXL23" s="1"/>
      <c r="TXM23" s="1"/>
      <c r="TXN23" s="1"/>
      <c r="TXO23" s="1"/>
      <c r="TXP23" s="1"/>
      <c r="TXQ23" s="1"/>
      <c r="TXR23" s="1"/>
      <c r="TXS23" s="1"/>
      <c r="TXT23" s="1"/>
      <c r="TXU23" s="1"/>
      <c r="TXV23" s="1"/>
      <c r="TXW23" s="1"/>
      <c r="TXX23" s="1"/>
      <c r="TXY23" s="1"/>
      <c r="TXZ23" s="1"/>
      <c r="TYA23" s="1"/>
      <c r="TYB23" s="1"/>
      <c r="TYC23" s="1"/>
      <c r="TYD23" s="1"/>
      <c r="TYE23" s="1"/>
      <c r="TYF23" s="1"/>
      <c r="TYG23" s="1"/>
      <c r="TYH23" s="1"/>
      <c r="TYI23" s="1"/>
      <c r="TYJ23" s="1"/>
      <c r="TYK23" s="1"/>
      <c r="TYL23" s="1"/>
      <c r="TYM23" s="1"/>
      <c r="TYN23" s="1"/>
      <c r="TYO23" s="1"/>
      <c r="TYP23" s="1"/>
      <c r="TYQ23" s="1"/>
      <c r="TYR23" s="1"/>
      <c r="TYS23" s="1"/>
      <c r="TYT23" s="1"/>
      <c r="TYU23" s="1"/>
      <c r="TYV23" s="1"/>
      <c r="TYW23" s="1"/>
      <c r="TYX23" s="1"/>
      <c r="TYY23" s="1"/>
      <c r="TYZ23" s="1"/>
      <c r="TZA23" s="1"/>
      <c r="TZB23" s="1"/>
      <c r="TZC23" s="1"/>
      <c r="TZD23" s="1"/>
      <c r="TZE23" s="1"/>
      <c r="TZF23" s="1"/>
      <c r="TZG23" s="1"/>
      <c r="TZH23" s="1"/>
      <c r="TZI23" s="1"/>
      <c r="TZJ23" s="1"/>
      <c r="TZK23" s="1"/>
      <c r="TZL23" s="1"/>
      <c r="TZM23" s="1"/>
      <c r="TZN23" s="1"/>
      <c r="TZO23" s="1"/>
      <c r="TZP23" s="1"/>
      <c r="TZQ23" s="1"/>
      <c r="TZR23" s="1"/>
      <c r="TZS23" s="1"/>
      <c r="TZT23" s="1"/>
      <c r="TZU23" s="1"/>
      <c r="TZV23" s="1"/>
      <c r="TZW23" s="1"/>
      <c r="TZX23" s="1"/>
      <c r="TZY23" s="1"/>
      <c r="TZZ23" s="1"/>
      <c r="UAA23" s="1"/>
      <c r="UAB23" s="1"/>
      <c r="UAC23" s="1"/>
      <c r="UAD23" s="1"/>
      <c r="UAE23" s="1"/>
      <c r="UAF23" s="1"/>
      <c r="UAG23" s="1"/>
      <c r="UAH23" s="1"/>
      <c r="UAI23" s="1"/>
      <c r="UAJ23" s="1"/>
      <c r="UAK23" s="1"/>
      <c r="UAL23" s="1"/>
      <c r="UAM23" s="1"/>
      <c r="UAN23" s="1"/>
      <c r="UAO23" s="1"/>
      <c r="UAP23" s="1"/>
      <c r="UAQ23" s="1"/>
      <c r="UAR23" s="1"/>
      <c r="UAS23" s="1"/>
      <c r="UAT23" s="1"/>
      <c r="UAU23" s="1"/>
      <c r="UAV23" s="1"/>
      <c r="UAW23" s="1"/>
      <c r="UAX23" s="1"/>
      <c r="UAY23" s="1"/>
      <c r="UAZ23" s="1"/>
      <c r="UBA23" s="1"/>
      <c r="UBB23" s="1"/>
      <c r="UBC23" s="1"/>
      <c r="UBD23" s="1"/>
      <c r="UBE23" s="1"/>
      <c r="UBF23" s="1"/>
      <c r="UBG23" s="1"/>
      <c r="UBH23" s="1"/>
      <c r="UBI23" s="1"/>
      <c r="UBJ23" s="1"/>
      <c r="UBK23" s="1"/>
      <c r="UBL23" s="1"/>
      <c r="UBM23" s="1"/>
      <c r="UBN23" s="1"/>
      <c r="UBO23" s="1"/>
      <c r="UBP23" s="1"/>
      <c r="UBQ23" s="1"/>
      <c r="UBR23" s="1"/>
      <c r="UBS23" s="1"/>
      <c r="UBT23" s="1"/>
      <c r="UBU23" s="1"/>
      <c r="UBV23" s="1"/>
      <c r="UBW23" s="1"/>
      <c r="UBX23" s="1"/>
      <c r="UBY23" s="1"/>
      <c r="UBZ23" s="1"/>
      <c r="UCA23" s="1"/>
      <c r="UCB23" s="1"/>
      <c r="UCC23" s="1"/>
      <c r="UCD23" s="1"/>
      <c r="UCE23" s="1"/>
      <c r="UCF23" s="1"/>
      <c r="UCG23" s="1"/>
      <c r="UCH23" s="1"/>
      <c r="UCI23" s="1"/>
      <c r="UCJ23" s="1"/>
      <c r="UCK23" s="1"/>
      <c r="UCL23" s="1"/>
      <c r="UCM23" s="1"/>
      <c r="UCN23" s="1"/>
      <c r="UCO23" s="1"/>
      <c r="UCP23" s="1"/>
      <c r="UCQ23" s="1"/>
      <c r="UCR23" s="1"/>
      <c r="UCS23" s="1"/>
      <c r="UCT23" s="1"/>
      <c r="UCU23" s="1"/>
      <c r="UCV23" s="1"/>
      <c r="UCW23" s="1"/>
      <c r="UCX23" s="1"/>
      <c r="UCY23" s="1"/>
      <c r="UCZ23" s="1"/>
      <c r="UDA23" s="1"/>
      <c r="UDB23" s="1"/>
      <c r="UDC23" s="1"/>
      <c r="UDD23" s="1"/>
      <c r="UDE23" s="1"/>
      <c r="UDF23" s="1"/>
      <c r="UDG23" s="1"/>
      <c r="UDH23" s="1"/>
      <c r="UDI23" s="1"/>
      <c r="UDJ23" s="1"/>
      <c r="UDK23" s="1"/>
      <c r="UDL23" s="1"/>
      <c r="UDM23" s="1"/>
      <c r="UDN23" s="1"/>
      <c r="UDO23" s="1"/>
      <c r="UDP23" s="1"/>
      <c r="UDQ23" s="1"/>
      <c r="UDR23" s="1"/>
      <c r="UDS23" s="1"/>
      <c r="UDT23" s="1"/>
      <c r="UDU23" s="1"/>
      <c r="UDV23" s="1"/>
      <c r="UDW23" s="1"/>
      <c r="UDX23" s="1"/>
      <c r="UDY23" s="1"/>
      <c r="UDZ23" s="1"/>
      <c r="UEA23" s="1"/>
      <c r="UEB23" s="1"/>
      <c r="UEC23" s="1"/>
      <c r="UED23" s="1"/>
      <c r="UEE23" s="1"/>
      <c r="UEF23" s="1"/>
      <c r="UEG23" s="1"/>
      <c r="UEH23" s="1"/>
      <c r="UEI23" s="1"/>
      <c r="UEJ23" s="1"/>
      <c r="UEK23" s="1"/>
      <c r="UEL23" s="1"/>
      <c r="UEM23" s="1"/>
      <c r="UEN23" s="1"/>
      <c r="UEO23" s="1"/>
      <c r="UEP23" s="1"/>
      <c r="UEQ23" s="1"/>
      <c r="UER23" s="1"/>
      <c r="UES23" s="1"/>
      <c r="UET23" s="1"/>
      <c r="UEU23" s="1"/>
      <c r="UEV23" s="1"/>
      <c r="UEW23" s="1"/>
      <c r="UEX23" s="1"/>
      <c r="UEY23" s="1"/>
      <c r="UEZ23" s="1"/>
      <c r="UFA23" s="1"/>
      <c r="UFB23" s="1"/>
      <c r="UFC23" s="1"/>
      <c r="UFD23" s="1"/>
      <c r="UFE23" s="1"/>
      <c r="UFF23" s="1"/>
      <c r="UFG23" s="1"/>
      <c r="UFH23" s="1"/>
      <c r="UFI23" s="1"/>
      <c r="UFJ23" s="1"/>
      <c r="UFK23" s="1"/>
      <c r="UFL23" s="1"/>
      <c r="UFM23" s="1"/>
      <c r="UFN23" s="1"/>
      <c r="UFO23" s="1"/>
      <c r="UFP23" s="1"/>
      <c r="UFQ23" s="1"/>
      <c r="UFR23" s="1"/>
      <c r="UFS23" s="1"/>
      <c r="UFT23" s="1"/>
      <c r="UFU23" s="1"/>
      <c r="UFV23" s="1"/>
      <c r="UFW23" s="1"/>
      <c r="UFX23" s="1"/>
      <c r="UFY23" s="1"/>
      <c r="UFZ23" s="1"/>
      <c r="UGA23" s="1"/>
      <c r="UGB23" s="1"/>
      <c r="UGC23" s="1"/>
      <c r="UGD23" s="1"/>
      <c r="UGE23" s="1"/>
      <c r="UGF23" s="1"/>
      <c r="UGG23" s="1"/>
      <c r="UGH23" s="1"/>
      <c r="UGI23" s="1"/>
      <c r="UGJ23" s="1"/>
      <c r="UGK23" s="1"/>
      <c r="UGL23" s="1"/>
      <c r="UGM23" s="1"/>
      <c r="UGN23" s="1"/>
      <c r="UGO23" s="1"/>
      <c r="UGP23" s="1"/>
      <c r="UGQ23" s="1"/>
      <c r="UGR23" s="1"/>
      <c r="UGS23" s="1"/>
      <c r="UGT23" s="1"/>
      <c r="UGU23" s="1"/>
      <c r="UGV23" s="1"/>
      <c r="UGW23" s="1"/>
      <c r="UGX23" s="1"/>
      <c r="UGY23" s="1"/>
      <c r="UGZ23" s="1"/>
      <c r="UHA23" s="1"/>
      <c r="UHB23" s="1"/>
      <c r="UHC23" s="1"/>
      <c r="UHD23" s="1"/>
      <c r="UHE23" s="1"/>
      <c r="UHF23" s="1"/>
      <c r="UHG23" s="1"/>
      <c r="UHH23" s="1"/>
      <c r="UHI23" s="1"/>
      <c r="UHJ23" s="1"/>
      <c r="UHK23" s="1"/>
      <c r="UHL23" s="1"/>
      <c r="UHM23" s="1"/>
      <c r="UHN23" s="1"/>
      <c r="UHO23" s="1"/>
      <c r="UHP23" s="1"/>
      <c r="UHQ23" s="1"/>
      <c r="UHR23" s="1"/>
      <c r="UHS23" s="1"/>
      <c r="UHT23" s="1"/>
      <c r="UHU23" s="1"/>
      <c r="UHV23" s="1"/>
      <c r="UHW23" s="1"/>
      <c r="UHX23" s="1"/>
      <c r="UHY23" s="1"/>
      <c r="UHZ23" s="1"/>
      <c r="UIA23" s="1"/>
      <c r="UIB23" s="1"/>
      <c r="UIC23" s="1"/>
      <c r="UID23" s="1"/>
      <c r="UIE23" s="1"/>
      <c r="UIF23" s="1"/>
      <c r="UIG23" s="1"/>
      <c r="UIH23" s="1"/>
      <c r="UII23" s="1"/>
      <c r="UIJ23" s="1"/>
      <c r="UIK23" s="1"/>
      <c r="UIL23" s="1"/>
      <c r="UIM23" s="1"/>
      <c r="UIN23" s="1"/>
      <c r="UIO23" s="1"/>
      <c r="UIP23" s="1"/>
      <c r="UIQ23" s="1"/>
      <c r="UIR23" s="1"/>
      <c r="UIS23" s="1"/>
      <c r="UIT23" s="1"/>
      <c r="UIU23" s="1"/>
      <c r="UIV23" s="1"/>
      <c r="UIW23" s="1"/>
      <c r="UIX23" s="1"/>
      <c r="UIY23" s="1"/>
      <c r="UIZ23" s="1"/>
      <c r="UJA23" s="1"/>
      <c r="UJB23" s="1"/>
      <c r="UJC23" s="1"/>
      <c r="UJD23" s="1"/>
      <c r="UJE23" s="1"/>
      <c r="UJF23" s="1"/>
      <c r="UJG23" s="1"/>
      <c r="UJH23" s="1"/>
      <c r="UJI23" s="1"/>
      <c r="UJJ23" s="1"/>
      <c r="UJK23" s="1"/>
      <c r="UJL23" s="1"/>
      <c r="UJM23" s="1"/>
      <c r="UJN23" s="1"/>
      <c r="UJO23" s="1"/>
      <c r="UJP23" s="1"/>
      <c r="UJQ23" s="1"/>
      <c r="UJR23" s="1"/>
      <c r="UJS23" s="1"/>
      <c r="UJT23" s="1"/>
      <c r="UJU23" s="1"/>
      <c r="UJV23" s="1"/>
      <c r="UJW23" s="1"/>
      <c r="UJX23" s="1"/>
      <c r="UJY23" s="1"/>
      <c r="UJZ23" s="1"/>
      <c r="UKA23" s="1"/>
      <c r="UKB23" s="1"/>
      <c r="UKC23" s="1"/>
      <c r="UKD23" s="1"/>
      <c r="UKE23" s="1"/>
      <c r="UKF23" s="1"/>
      <c r="UKG23" s="1"/>
      <c r="UKH23" s="1"/>
      <c r="UKI23" s="1"/>
      <c r="UKJ23" s="1"/>
      <c r="UKK23" s="1"/>
      <c r="UKL23" s="1"/>
      <c r="UKM23" s="1"/>
      <c r="UKN23" s="1"/>
      <c r="UKO23" s="1"/>
      <c r="UKP23" s="1"/>
      <c r="UKQ23" s="1"/>
      <c r="UKR23" s="1"/>
      <c r="UKS23" s="1"/>
      <c r="UKT23" s="1"/>
      <c r="UKU23" s="1"/>
      <c r="UKV23" s="1"/>
      <c r="UKW23" s="1"/>
      <c r="UKX23" s="1"/>
      <c r="UKY23" s="1"/>
      <c r="UKZ23" s="1"/>
      <c r="ULA23" s="1"/>
      <c r="ULB23" s="1"/>
      <c r="ULC23" s="1"/>
      <c r="ULD23" s="1"/>
      <c r="ULE23" s="1"/>
      <c r="ULF23" s="1"/>
      <c r="ULG23" s="1"/>
      <c r="ULH23" s="1"/>
      <c r="ULI23" s="1"/>
      <c r="ULJ23" s="1"/>
      <c r="ULK23" s="1"/>
      <c r="ULL23" s="1"/>
      <c r="ULM23" s="1"/>
      <c r="ULN23" s="1"/>
      <c r="ULO23" s="1"/>
      <c r="ULP23" s="1"/>
      <c r="ULQ23" s="1"/>
      <c r="ULR23" s="1"/>
      <c r="ULS23" s="1"/>
      <c r="ULT23" s="1"/>
      <c r="ULU23" s="1"/>
      <c r="ULV23" s="1"/>
      <c r="ULW23" s="1"/>
      <c r="ULX23" s="1"/>
      <c r="ULY23" s="1"/>
      <c r="ULZ23" s="1"/>
      <c r="UMA23" s="1"/>
      <c r="UMB23" s="1"/>
      <c r="UMC23" s="1"/>
      <c r="UMD23" s="1"/>
      <c r="UME23" s="1"/>
      <c r="UMF23" s="1"/>
      <c r="UMG23" s="1"/>
      <c r="UMH23" s="1"/>
      <c r="UMI23" s="1"/>
      <c r="UMJ23" s="1"/>
      <c r="UMK23" s="1"/>
      <c r="UML23" s="1"/>
      <c r="UMM23" s="1"/>
      <c r="UMN23" s="1"/>
      <c r="UMO23" s="1"/>
      <c r="UMP23" s="1"/>
      <c r="UMQ23" s="1"/>
      <c r="UMR23" s="1"/>
      <c r="UMS23" s="1"/>
      <c r="UMT23" s="1"/>
      <c r="UMU23" s="1"/>
      <c r="UMV23" s="1"/>
      <c r="UMW23" s="1"/>
      <c r="UMX23" s="1"/>
      <c r="UMY23" s="1"/>
      <c r="UMZ23" s="1"/>
      <c r="UNA23" s="1"/>
      <c r="UNB23" s="1"/>
      <c r="UNC23" s="1"/>
      <c r="UND23" s="1"/>
      <c r="UNE23" s="1"/>
      <c r="UNF23" s="1"/>
      <c r="UNG23" s="1"/>
      <c r="UNH23" s="1"/>
      <c r="UNI23" s="1"/>
      <c r="UNJ23" s="1"/>
      <c r="UNK23" s="1"/>
      <c r="UNL23" s="1"/>
      <c r="UNM23" s="1"/>
      <c r="UNN23" s="1"/>
      <c r="UNO23" s="1"/>
      <c r="UNP23" s="1"/>
      <c r="UNQ23" s="1"/>
      <c r="UNR23" s="1"/>
      <c r="UNS23" s="1"/>
      <c r="UNT23" s="1"/>
      <c r="UNU23" s="1"/>
      <c r="UNV23" s="1"/>
      <c r="UNW23" s="1"/>
      <c r="UNX23" s="1"/>
      <c r="UNY23" s="1"/>
      <c r="UNZ23" s="1"/>
      <c r="UOA23" s="1"/>
      <c r="UOB23" s="1"/>
      <c r="UOC23" s="1"/>
      <c r="UOD23" s="1"/>
      <c r="UOE23" s="1"/>
      <c r="UOF23" s="1"/>
      <c r="UOG23" s="1"/>
      <c r="UOH23" s="1"/>
      <c r="UOI23" s="1"/>
      <c r="UOJ23" s="1"/>
      <c r="UOK23" s="1"/>
      <c r="UOL23" s="1"/>
      <c r="UOM23" s="1"/>
      <c r="UON23" s="1"/>
      <c r="UOO23" s="1"/>
      <c r="UOP23" s="1"/>
      <c r="UOQ23" s="1"/>
      <c r="UOR23" s="1"/>
      <c r="UOS23" s="1"/>
      <c r="UOT23" s="1"/>
      <c r="UOU23" s="1"/>
      <c r="UOV23" s="1"/>
      <c r="UOW23" s="1"/>
      <c r="UOX23" s="1"/>
      <c r="UOY23" s="1"/>
      <c r="UOZ23" s="1"/>
      <c r="UPA23" s="1"/>
      <c r="UPB23" s="1"/>
      <c r="UPC23" s="1"/>
      <c r="UPD23" s="1"/>
      <c r="UPE23" s="1"/>
      <c r="UPF23" s="1"/>
      <c r="UPG23" s="1"/>
      <c r="UPH23" s="1"/>
      <c r="UPI23" s="1"/>
      <c r="UPJ23" s="1"/>
      <c r="UPK23" s="1"/>
      <c r="UPL23" s="1"/>
      <c r="UPM23" s="1"/>
      <c r="UPN23" s="1"/>
      <c r="UPO23" s="1"/>
      <c r="UPP23" s="1"/>
      <c r="UPQ23" s="1"/>
      <c r="UPR23" s="1"/>
      <c r="UPS23" s="1"/>
      <c r="UPT23" s="1"/>
      <c r="UPU23" s="1"/>
      <c r="UPV23" s="1"/>
      <c r="UPW23" s="1"/>
      <c r="UPX23" s="1"/>
      <c r="UPY23" s="1"/>
      <c r="UPZ23" s="1"/>
      <c r="UQA23" s="1"/>
      <c r="UQB23" s="1"/>
      <c r="UQC23" s="1"/>
      <c r="UQD23" s="1"/>
      <c r="UQE23" s="1"/>
      <c r="UQF23" s="1"/>
      <c r="UQG23" s="1"/>
      <c r="UQH23" s="1"/>
      <c r="UQI23" s="1"/>
      <c r="UQJ23" s="1"/>
      <c r="UQK23" s="1"/>
      <c r="UQL23" s="1"/>
      <c r="UQM23" s="1"/>
      <c r="UQN23" s="1"/>
      <c r="UQO23" s="1"/>
      <c r="UQP23" s="1"/>
      <c r="UQQ23" s="1"/>
      <c r="UQR23" s="1"/>
      <c r="UQS23" s="1"/>
      <c r="UQT23" s="1"/>
      <c r="UQU23" s="1"/>
      <c r="UQV23" s="1"/>
      <c r="UQW23" s="1"/>
      <c r="UQX23" s="1"/>
      <c r="UQY23" s="1"/>
      <c r="UQZ23" s="1"/>
      <c r="URA23" s="1"/>
      <c r="URB23" s="1"/>
      <c r="URC23" s="1"/>
      <c r="URD23" s="1"/>
      <c r="URE23" s="1"/>
      <c r="URF23" s="1"/>
      <c r="URG23" s="1"/>
      <c r="URH23" s="1"/>
      <c r="URI23" s="1"/>
      <c r="URJ23" s="1"/>
      <c r="URK23" s="1"/>
      <c r="URL23" s="1"/>
      <c r="URM23" s="1"/>
      <c r="URN23" s="1"/>
      <c r="URO23" s="1"/>
      <c r="URP23" s="1"/>
      <c r="URQ23" s="1"/>
      <c r="URR23" s="1"/>
      <c r="URS23" s="1"/>
      <c r="URT23" s="1"/>
      <c r="URU23" s="1"/>
      <c r="URV23" s="1"/>
      <c r="URW23" s="1"/>
      <c r="URX23" s="1"/>
      <c r="URY23" s="1"/>
      <c r="URZ23" s="1"/>
      <c r="USA23" s="1"/>
      <c r="USB23" s="1"/>
      <c r="USC23" s="1"/>
      <c r="USD23" s="1"/>
      <c r="USE23" s="1"/>
      <c r="USF23" s="1"/>
      <c r="USG23" s="1"/>
      <c r="USH23" s="1"/>
      <c r="USI23" s="1"/>
      <c r="USJ23" s="1"/>
      <c r="USK23" s="1"/>
      <c r="USL23" s="1"/>
      <c r="USM23" s="1"/>
      <c r="USN23" s="1"/>
      <c r="USO23" s="1"/>
      <c r="USP23" s="1"/>
      <c r="USQ23" s="1"/>
      <c r="USR23" s="1"/>
      <c r="USS23" s="1"/>
      <c r="UST23" s="1"/>
      <c r="USU23" s="1"/>
      <c r="USV23" s="1"/>
      <c r="USW23" s="1"/>
      <c r="USX23" s="1"/>
      <c r="USY23" s="1"/>
      <c r="USZ23" s="1"/>
      <c r="UTA23" s="1"/>
      <c r="UTB23" s="1"/>
      <c r="UTC23" s="1"/>
      <c r="UTD23" s="1"/>
      <c r="UTE23" s="1"/>
      <c r="UTF23" s="1"/>
      <c r="UTG23" s="1"/>
      <c r="UTH23" s="1"/>
      <c r="UTI23" s="1"/>
      <c r="UTJ23" s="1"/>
      <c r="UTK23" s="1"/>
      <c r="UTL23" s="1"/>
      <c r="UTM23" s="1"/>
      <c r="UTN23" s="1"/>
      <c r="UTO23" s="1"/>
      <c r="UTP23" s="1"/>
      <c r="UTQ23" s="1"/>
      <c r="UTR23" s="1"/>
      <c r="UTS23" s="1"/>
      <c r="UTT23" s="1"/>
      <c r="UTU23" s="1"/>
      <c r="UTV23" s="1"/>
      <c r="UTW23" s="1"/>
      <c r="UTX23" s="1"/>
      <c r="UTY23" s="1"/>
      <c r="UTZ23" s="1"/>
      <c r="UUA23" s="1"/>
      <c r="UUB23" s="1"/>
      <c r="UUC23" s="1"/>
      <c r="UUD23" s="1"/>
      <c r="UUE23" s="1"/>
      <c r="UUF23" s="1"/>
      <c r="UUG23" s="1"/>
      <c r="UUH23" s="1"/>
      <c r="UUI23" s="1"/>
      <c r="UUJ23" s="1"/>
      <c r="UUK23" s="1"/>
      <c r="UUL23" s="1"/>
      <c r="UUM23" s="1"/>
      <c r="UUN23" s="1"/>
      <c r="UUO23" s="1"/>
      <c r="UUP23" s="1"/>
      <c r="UUQ23" s="1"/>
      <c r="UUR23" s="1"/>
      <c r="UUS23" s="1"/>
      <c r="UUT23" s="1"/>
      <c r="UUU23" s="1"/>
      <c r="UUV23" s="1"/>
      <c r="UUW23" s="1"/>
      <c r="UUX23" s="1"/>
      <c r="UUY23" s="1"/>
      <c r="UUZ23" s="1"/>
      <c r="UVA23" s="1"/>
      <c r="UVB23" s="1"/>
      <c r="UVC23" s="1"/>
      <c r="UVD23" s="1"/>
      <c r="UVE23" s="1"/>
      <c r="UVF23" s="1"/>
      <c r="UVG23" s="1"/>
      <c r="UVH23" s="1"/>
      <c r="UVI23" s="1"/>
      <c r="UVJ23" s="1"/>
      <c r="UVK23" s="1"/>
      <c r="UVL23" s="1"/>
      <c r="UVM23" s="1"/>
      <c r="UVN23" s="1"/>
      <c r="UVO23" s="1"/>
      <c r="UVP23" s="1"/>
      <c r="UVQ23" s="1"/>
      <c r="UVR23" s="1"/>
      <c r="UVS23" s="1"/>
      <c r="UVT23" s="1"/>
      <c r="UVU23" s="1"/>
      <c r="UVV23" s="1"/>
      <c r="UVW23" s="1"/>
      <c r="UVX23" s="1"/>
      <c r="UVY23" s="1"/>
      <c r="UVZ23" s="1"/>
      <c r="UWA23" s="1"/>
      <c r="UWB23" s="1"/>
      <c r="UWC23" s="1"/>
      <c r="UWD23" s="1"/>
      <c r="UWE23" s="1"/>
      <c r="UWF23" s="1"/>
      <c r="UWG23" s="1"/>
      <c r="UWH23" s="1"/>
      <c r="UWI23" s="1"/>
      <c r="UWJ23" s="1"/>
      <c r="UWK23" s="1"/>
      <c r="UWL23" s="1"/>
      <c r="UWM23" s="1"/>
      <c r="UWN23" s="1"/>
      <c r="UWO23" s="1"/>
      <c r="UWP23" s="1"/>
      <c r="UWQ23" s="1"/>
      <c r="UWR23" s="1"/>
      <c r="UWS23" s="1"/>
      <c r="UWT23" s="1"/>
      <c r="UWU23" s="1"/>
      <c r="UWV23" s="1"/>
      <c r="UWW23" s="1"/>
      <c r="UWX23" s="1"/>
      <c r="UWY23" s="1"/>
      <c r="UWZ23" s="1"/>
      <c r="UXA23" s="1"/>
      <c r="UXB23" s="1"/>
      <c r="UXC23" s="1"/>
      <c r="UXD23" s="1"/>
      <c r="UXE23" s="1"/>
      <c r="UXF23" s="1"/>
      <c r="UXG23" s="1"/>
      <c r="UXH23" s="1"/>
      <c r="UXI23" s="1"/>
      <c r="UXJ23" s="1"/>
      <c r="UXK23" s="1"/>
      <c r="UXL23" s="1"/>
      <c r="UXM23" s="1"/>
      <c r="UXN23" s="1"/>
      <c r="UXO23" s="1"/>
      <c r="UXP23" s="1"/>
      <c r="UXQ23" s="1"/>
      <c r="UXR23" s="1"/>
      <c r="UXS23" s="1"/>
      <c r="UXT23" s="1"/>
      <c r="UXU23" s="1"/>
      <c r="UXV23" s="1"/>
      <c r="UXW23" s="1"/>
      <c r="UXX23" s="1"/>
      <c r="UXY23" s="1"/>
      <c r="UXZ23" s="1"/>
      <c r="UYA23" s="1"/>
      <c r="UYB23" s="1"/>
      <c r="UYC23" s="1"/>
      <c r="UYD23" s="1"/>
      <c r="UYE23" s="1"/>
      <c r="UYF23" s="1"/>
      <c r="UYG23" s="1"/>
      <c r="UYH23" s="1"/>
      <c r="UYI23" s="1"/>
      <c r="UYJ23" s="1"/>
      <c r="UYK23" s="1"/>
      <c r="UYL23" s="1"/>
      <c r="UYM23" s="1"/>
      <c r="UYN23" s="1"/>
      <c r="UYO23" s="1"/>
      <c r="UYP23" s="1"/>
      <c r="UYQ23" s="1"/>
      <c r="UYR23" s="1"/>
      <c r="UYS23" s="1"/>
      <c r="UYT23" s="1"/>
      <c r="UYU23" s="1"/>
      <c r="UYV23" s="1"/>
      <c r="UYW23" s="1"/>
      <c r="UYX23" s="1"/>
      <c r="UYY23" s="1"/>
      <c r="UYZ23" s="1"/>
      <c r="UZA23" s="1"/>
      <c r="UZB23" s="1"/>
      <c r="UZC23" s="1"/>
      <c r="UZD23" s="1"/>
      <c r="UZE23" s="1"/>
      <c r="UZF23" s="1"/>
      <c r="UZG23" s="1"/>
      <c r="UZH23" s="1"/>
      <c r="UZI23" s="1"/>
      <c r="UZJ23" s="1"/>
      <c r="UZK23" s="1"/>
      <c r="UZL23" s="1"/>
      <c r="UZM23" s="1"/>
      <c r="UZN23" s="1"/>
      <c r="UZO23" s="1"/>
      <c r="UZP23" s="1"/>
      <c r="UZQ23" s="1"/>
      <c r="UZR23" s="1"/>
      <c r="UZS23" s="1"/>
      <c r="UZT23" s="1"/>
      <c r="UZU23" s="1"/>
      <c r="UZV23" s="1"/>
      <c r="UZW23" s="1"/>
      <c r="UZX23" s="1"/>
      <c r="UZY23" s="1"/>
      <c r="UZZ23" s="1"/>
      <c r="VAA23" s="1"/>
      <c r="VAB23" s="1"/>
      <c r="VAC23" s="1"/>
      <c r="VAD23" s="1"/>
      <c r="VAE23" s="1"/>
      <c r="VAF23" s="1"/>
      <c r="VAG23" s="1"/>
      <c r="VAH23" s="1"/>
      <c r="VAI23" s="1"/>
      <c r="VAJ23" s="1"/>
      <c r="VAK23" s="1"/>
      <c r="VAL23" s="1"/>
      <c r="VAM23" s="1"/>
      <c r="VAN23" s="1"/>
      <c r="VAO23" s="1"/>
      <c r="VAP23" s="1"/>
      <c r="VAQ23" s="1"/>
      <c r="VAR23" s="1"/>
      <c r="VAS23" s="1"/>
      <c r="VAT23" s="1"/>
      <c r="VAU23" s="1"/>
      <c r="VAV23" s="1"/>
      <c r="VAW23" s="1"/>
      <c r="VAX23" s="1"/>
      <c r="VAY23" s="1"/>
      <c r="VAZ23" s="1"/>
      <c r="VBA23" s="1"/>
      <c r="VBB23" s="1"/>
      <c r="VBC23" s="1"/>
      <c r="VBD23" s="1"/>
      <c r="VBE23" s="1"/>
      <c r="VBF23" s="1"/>
      <c r="VBG23" s="1"/>
      <c r="VBH23" s="1"/>
      <c r="VBI23" s="1"/>
      <c r="VBJ23" s="1"/>
      <c r="VBK23" s="1"/>
      <c r="VBL23" s="1"/>
      <c r="VBM23" s="1"/>
      <c r="VBN23" s="1"/>
      <c r="VBO23" s="1"/>
      <c r="VBP23" s="1"/>
      <c r="VBQ23" s="1"/>
      <c r="VBR23" s="1"/>
      <c r="VBS23" s="1"/>
      <c r="VBT23" s="1"/>
      <c r="VBU23" s="1"/>
      <c r="VBV23" s="1"/>
      <c r="VBW23" s="1"/>
      <c r="VBX23" s="1"/>
      <c r="VBY23" s="1"/>
      <c r="VBZ23" s="1"/>
      <c r="VCA23" s="1"/>
      <c r="VCB23" s="1"/>
      <c r="VCC23" s="1"/>
      <c r="VCD23" s="1"/>
      <c r="VCE23" s="1"/>
      <c r="VCF23" s="1"/>
      <c r="VCG23" s="1"/>
      <c r="VCH23" s="1"/>
      <c r="VCI23" s="1"/>
      <c r="VCJ23" s="1"/>
      <c r="VCK23" s="1"/>
      <c r="VCL23" s="1"/>
      <c r="VCM23" s="1"/>
      <c r="VCN23" s="1"/>
      <c r="VCO23" s="1"/>
      <c r="VCP23" s="1"/>
      <c r="VCQ23" s="1"/>
      <c r="VCR23" s="1"/>
      <c r="VCS23" s="1"/>
      <c r="VCT23" s="1"/>
      <c r="VCU23" s="1"/>
      <c r="VCV23" s="1"/>
      <c r="VCW23" s="1"/>
      <c r="VCX23" s="1"/>
      <c r="VCY23" s="1"/>
      <c r="VCZ23" s="1"/>
      <c r="VDA23" s="1"/>
      <c r="VDB23" s="1"/>
      <c r="VDC23" s="1"/>
      <c r="VDD23" s="1"/>
      <c r="VDE23" s="1"/>
      <c r="VDF23" s="1"/>
      <c r="VDG23" s="1"/>
      <c r="VDH23" s="1"/>
      <c r="VDI23" s="1"/>
      <c r="VDJ23" s="1"/>
      <c r="VDK23" s="1"/>
      <c r="VDL23" s="1"/>
      <c r="VDM23" s="1"/>
      <c r="VDN23" s="1"/>
      <c r="VDO23" s="1"/>
      <c r="VDP23" s="1"/>
      <c r="VDQ23" s="1"/>
      <c r="VDR23" s="1"/>
      <c r="VDS23" s="1"/>
      <c r="VDT23" s="1"/>
      <c r="VDU23" s="1"/>
      <c r="VDV23" s="1"/>
      <c r="VDW23" s="1"/>
      <c r="VDX23" s="1"/>
      <c r="VDY23" s="1"/>
      <c r="VDZ23" s="1"/>
      <c r="VEA23" s="1"/>
      <c r="VEB23" s="1"/>
      <c r="VEC23" s="1"/>
      <c r="VED23" s="1"/>
      <c r="VEE23" s="1"/>
      <c r="VEF23" s="1"/>
      <c r="VEG23" s="1"/>
      <c r="VEH23" s="1"/>
      <c r="VEI23" s="1"/>
      <c r="VEJ23" s="1"/>
      <c r="VEK23" s="1"/>
      <c r="VEL23" s="1"/>
      <c r="VEM23" s="1"/>
      <c r="VEN23" s="1"/>
      <c r="VEO23" s="1"/>
      <c r="VEP23" s="1"/>
      <c r="VEQ23" s="1"/>
      <c r="VER23" s="1"/>
      <c r="VES23" s="1"/>
      <c r="VET23" s="1"/>
      <c r="VEU23" s="1"/>
      <c r="VEV23" s="1"/>
      <c r="VEW23" s="1"/>
      <c r="VEX23" s="1"/>
      <c r="VEY23" s="1"/>
      <c r="VEZ23" s="1"/>
      <c r="VFA23" s="1"/>
      <c r="VFB23" s="1"/>
      <c r="VFC23" s="1"/>
      <c r="VFD23" s="1"/>
      <c r="VFE23" s="1"/>
      <c r="VFF23" s="1"/>
      <c r="VFG23" s="1"/>
      <c r="VFH23" s="1"/>
      <c r="VFI23" s="1"/>
      <c r="VFJ23" s="1"/>
      <c r="VFK23" s="1"/>
      <c r="VFL23" s="1"/>
      <c r="VFM23" s="1"/>
      <c r="VFN23" s="1"/>
      <c r="VFO23" s="1"/>
      <c r="VFP23" s="1"/>
      <c r="VFQ23" s="1"/>
      <c r="VFR23" s="1"/>
      <c r="VFS23" s="1"/>
      <c r="VFT23" s="1"/>
      <c r="VFU23" s="1"/>
      <c r="VFV23" s="1"/>
      <c r="VFW23" s="1"/>
      <c r="VFX23" s="1"/>
      <c r="VFY23" s="1"/>
      <c r="VFZ23" s="1"/>
      <c r="VGA23" s="1"/>
      <c r="VGB23" s="1"/>
      <c r="VGC23" s="1"/>
      <c r="VGD23" s="1"/>
      <c r="VGE23" s="1"/>
      <c r="VGF23" s="1"/>
      <c r="VGG23" s="1"/>
      <c r="VGH23" s="1"/>
      <c r="VGI23" s="1"/>
      <c r="VGJ23" s="1"/>
      <c r="VGK23" s="1"/>
      <c r="VGL23" s="1"/>
      <c r="VGM23" s="1"/>
      <c r="VGN23" s="1"/>
      <c r="VGO23" s="1"/>
      <c r="VGP23" s="1"/>
      <c r="VGQ23" s="1"/>
      <c r="VGR23" s="1"/>
      <c r="VGS23" s="1"/>
      <c r="VGT23" s="1"/>
      <c r="VGU23" s="1"/>
      <c r="VGV23" s="1"/>
      <c r="VGW23" s="1"/>
      <c r="VGX23" s="1"/>
      <c r="VGY23" s="1"/>
      <c r="VGZ23" s="1"/>
      <c r="VHA23" s="1"/>
      <c r="VHB23" s="1"/>
      <c r="VHC23" s="1"/>
      <c r="VHD23" s="1"/>
      <c r="VHE23" s="1"/>
      <c r="VHF23" s="1"/>
      <c r="VHG23" s="1"/>
      <c r="VHH23" s="1"/>
      <c r="VHI23" s="1"/>
      <c r="VHJ23" s="1"/>
      <c r="VHK23" s="1"/>
      <c r="VHL23" s="1"/>
      <c r="VHM23" s="1"/>
      <c r="VHN23" s="1"/>
      <c r="VHO23" s="1"/>
      <c r="VHP23" s="1"/>
      <c r="VHQ23" s="1"/>
      <c r="VHR23" s="1"/>
      <c r="VHS23" s="1"/>
      <c r="VHT23" s="1"/>
      <c r="VHU23" s="1"/>
      <c r="VHV23" s="1"/>
      <c r="VHW23" s="1"/>
      <c r="VHX23" s="1"/>
      <c r="VHY23" s="1"/>
      <c r="VHZ23" s="1"/>
      <c r="VIA23" s="1"/>
      <c r="VIB23" s="1"/>
      <c r="VIC23" s="1"/>
      <c r="VID23" s="1"/>
      <c r="VIE23" s="1"/>
      <c r="VIF23" s="1"/>
      <c r="VIG23" s="1"/>
      <c r="VIH23" s="1"/>
      <c r="VII23" s="1"/>
      <c r="VIJ23" s="1"/>
      <c r="VIK23" s="1"/>
      <c r="VIL23" s="1"/>
      <c r="VIM23" s="1"/>
      <c r="VIN23" s="1"/>
      <c r="VIO23" s="1"/>
      <c r="VIP23" s="1"/>
      <c r="VIQ23" s="1"/>
      <c r="VIR23" s="1"/>
      <c r="VIS23" s="1"/>
      <c r="VIT23" s="1"/>
      <c r="VIU23" s="1"/>
      <c r="VIV23" s="1"/>
      <c r="VIW23" s="1"/>
      <c r="VIX23" s="1"/>
      <c r="VIY23" s="1"/>
      <c r="VIZ23" s="1"/>
      <c r="VJA23" s="1"/>
      <c r="VJB23" s="1"/>
      <c r="VJC23" s="1"/>
      <c r="VJD23" s="1"/>
      <c r="VJE23" s="1"/>
      <c r="VJF23" s="1"/>
      <c r="VJG23" s="1"/>
      <c r="VJH23" s="1"/>
      <c r="VJI23" s="1"/>
      <c r="VJJ23" s="1"/>
      <c r="VJK23" s="1"/>
      <c r="VJL23" s="1"/>
      <c r="VJM23" s="1"/>
      <c r="VJN23" s="1"/>
      <c r="VJO23" s="1"/>
      <c r="VJP23" s="1"/>
      <c r="VJQ23" s="1"/>
      <c r="VJR23" s="1"/>
      <c r="VJS23" s="1"/>
      <c r="VJT23" s="1"/>
      <c r="VJU23" s="1"/>
      <c r="VJV23" s="1"/>
      <c r="VJW23" s="1"/>
      <c r="VJX23" s="1"/>
      <c r="VJY23" s="1"/>
      <c r="VJZ23" s="1"/>
      <c r="VKA23" s="1"/>
      <c r="VKB23" s="1"/>
      <c r="VKC23" s="1"/>
      <c r="VKD23" s="1"/>
      <c r="VKE23" s="1"/>
      <c r="VKF23" s="1"/>
      <c r="VKG23" s="1"/>
      <c r="VKH23" s="1"/>
      <c r="VKI23" s="1"/>
      <c r="VKJ23" s="1"/>
      <c r="VKK23" s="1"/>
      <c r="VKL23" s="1"/>
      <c r="VKM23" s="1"/>
      <c r="VKN23" s="1"/>
      <c r="VKO23" s="1"/>
      <c r="VKP23" s="1"/>
      <c r="VKQ23" s="1"/>
      <c r="VKR23" s="1"/>
      <c r="VKS23" s="1"/>
      <c r="VKT23" s="1"/>
      <c r="VKU23" s="1"/>
      <c r="VKV23" s="1"/>
      <c r="VKW23" s="1"/>
      <c r="VKX23" s="1"/>
      <c r="VKY23" s="1"/>
      <c r="VKZ23" s="1"/>
      <c r="VLA23" s="1"/>
      <c r="VLB23" s="1"/>
      <c r="VLC23" s="1"/>
      <c r="VLD23" s="1"/>
      <c r="VLE23" s="1"/>
      <c r="VLF23" s="1"/>
      <c r="VLG23" s="1"/>
      <c r="VLH23" s="1"/>
      <c r="VLI23" s="1"/>
      <c r="VLJ23" s="1"/>
      <c r="VLK23" s="1"/>
      <c r="VLL23" s="1"/>
      <c r="VLM23" s="1"/>
      <c r="VLN23" s="1"/>
      <c r="VLO23" s="1"/>
      <c r="VLP23" s="1"/>
      <c r="VLQ23" s="1"/>
      <c r="VLR23" s="1"/>
      <c r="VLS23" s="1"/>
      <c r="VLT23" s="1"/>
      <c r="VLU23" s="1"/>
      <c r="VLV23" s="1"/>
      <c r="VLW23" s="1"/>
      <c r="VLX23" s="1"/>
      <c r="VLY23" s="1"/>
      <c r="VLZ23" s="1"/>
      <c r="VMA23" s="1"/>
      <c r="VMB23" s="1"/>
      <c r="VMC23" s="1"/>
      <c r="VMD23" s="1"/>
      <c r="VME23" s="1"/>
      <c r="VMF23" s="1"/>
      <c r="VMG23" s="1"/>
      <c r="VMH23" s="1"/>
      <c r="VMI23" s="1"/>
      <c r="VMJ23" s="1"/>
      <c r="VMK23" s="1"/>
      <c r="VML23" s="1"/>
      <c r="VMM23" s="1"/>
      <c r="VMN23" s="1"/>
      <c r="VMO23" s="1"/>
      <c r="VMP23" s="1"/>
      <c r="VMQ23" s="1"/>
      <c r="VMR23" s="1"/>
      <c r="VMS23" s="1"/>
      <c r="VMT23" s="1"/>
      <c r="VMU23" s="1"/>
      <c r="VMV23" s="1"/>
      <c r="VMW23" s="1"/>
      <c r="VMX23" s="1"/>
      <c r="VMY23" s="1"/>
      <c r="VMZ23" s="1"/>
      <c r="VNA23" s="1"/>
      <c r="VNB23" s="1"/>
      <c r="VNC23" s="1"/>
      <c r="VND23" s="1"/>
      <c r="VNE23" s="1"/>
      <c r="VNF23" s="1"/>
      <c r="VNG23" s="1"/>
      <c r="VNH23" s="1"/>
      <c r="VNI23" s="1"/>
      <c r="VNJ23" s="1"/>
      <c r="VNK23" s="1"/>
      <c r="VNL23" s="1"/>
      <c r="VNM23" s="1"/>
      <c r="VNN23" s="1"/>
      <c r="VNO23" s="1"/>
      <c r="VNP23" s="1"/>
      <c r="VNQ23" s="1"/>
      <c r="VNR23" s="1"/>
      <c r="VNS23" s="1"/>
      <c r="VNT23" s="1"/>
      <c r="VNU23" s="1"/>
      <c r="VNV23" s="1"/>
      <c r="VNW23" s="1"/>
      <c r="VNX23" s="1"/>
      <c r="VNY23" s="1"/>
      <c r="VNZ23" s="1"/>
      <c r="VOA23" s="1"/>
      <c r="VOB23" s="1"/>
      <c r="VOC23" s="1"/>
      <c r="VOD23" s="1"/>
      <c r="VOE23" s="1"/>
      <c r="VOF23" s="1"/>
      <c r="VOG23" s="1"/>
      <c r="VOH23" s="1"/>
      <c r="VOI23" s="1"/>
      <c r="VOJ23" s="1"/>
      <c r="VOK23" s="1"/>
      <c r="VOL23" s="1"/>
      <c r="VOM23" s="1"/>
      <c r="VON23" s="1"/>
      <c r="VOO23" s="1"/>
      <c r="VOP23" s="1"/>
      <c r="VOQ23" s="1"/>
      <c r="VOR23" s="1"/>
      <c r="VOS23" s="1"/>
      <c r="VOT23" s="1"/>
      <c r="VOU23" s="1"/>
      <c r="VOV23" s="1"/>
      <c r="VOW23" s="1"/>
      <c r="VOX23" s="1"/>
      <c r="VOY23" s="1"/>
      <c r="VOZ23" s="1"/>
      <c r="VPA23" s="1"/>
      <c r="VPB23" s="1"/>
      <c r="VPC23" s="1"/>
      <c r="VPD23" s="1"/>
      <c r="VPE23" s="1"/>
      <c r="VPF23" s="1"/>
      <c r="VPG23" s="1"/>
      <c r="VPH23" s="1"/>
      <c r="VPI23" s="1"/>
      <c r="VPJ23" s="1"/>
      <c r="VPK23" s="1"/>
      <c r="VPL23" s="1"/>
      <c r="VPM23" s="1"/>
      <c r="VPN23" s="1"/>
      <c r="VPO23" s="1"/>
      <c r="VPP23" s="1"/>
      <c r="VPQ23" s="1"/>
      <c r="VPR23" s="1"/>
      <c r="VPS23" s="1"/>
      <c r="VPT23" s="1"/>
      <c r="VPU23" s="1"/>
      <c r="VPV23" s="1"/>
      <c r="VPW23" s="1"/>
      <c r="VPX23" s="1"/>
      <c r="VPY23" s="1"/>
      <c r="VPZ23" s="1"/>
      <c r="VQA23" s="1"/>
      <c r="VQB23" s="1"/>
      <c r="VQC23" s="1"/>
      <c r="VQD23" s="1"/>
      <c r="VQE23" s="1"/>
      <c r="VQF23" s="1"/>
      <c r="VQG23" s="1"/>
      <c r="VQH23" s="1"/>
      <c r="VQI23" s="1"/>
      <c r="VQJ23" s="1"/>
      <c r="VQK23" s="1"/>
      <c r="VQL23" s="1"/>
      <c r="VQM23" s="1"/>
      <c r="VQN23" s="1"/>
      <c r="VQO23" s="1"/>
      <c r="VQP23" s="1"/>
      <c r="VQQ23" s="1"/>
      <c r="VQR23" s="1"/>
      <c r="VQS23" s="1"/>
      <c r="VQT23" s="1"/>
      <c r="VQU23" s="1"/>
      <c r="VQV23" s="1"/>
      <c r="VQW23" s="1"/>
      <c r="VQX23" s="1"/>
      <c r="VQY23" s="1"/>
      <c r="VQZ23" s="1"/>
      <c r="VRA23" s="1"/>
      <c r="VRB23" s="1"/>
      <c r="VRC23" s="1"/>
      <c r="VRD23" s="1"/>
      <c r="VRE23" s="1"/>
      <c r="VRF23" s="1"/>
      <c r="VRG23" s="1"/>
      <c r="VRH23" s="1"/>
      <c r="VRI23" s="1"/>
      <c r="VRJ23" s="1"/>
      <c r="VRK23" s="1"/>
      <c r="VRL23" s="1"/>
      <c r="VRM23" s="1"/>
      <c r="VRN23" s="1"/>
      <c r="VRO23" s="1"/>
      <c r="VRP23" s="1"/>
      <c r="VRQ23" s="1"/>
      <c r="VRR23" s="1"/>
      <c r="VRS23" s="1"/>
      <c r="VRT23" s="1"/>
      <c r="VRU23" s="1"/>
      <c r="VRV23" s="1"/>
      <c r="VRW23" s="1"/>
      <c r="VRX23" s="1"/>
      <c r="VRY23" s="1"/>
      <c r="VRZ23" s="1"/>
      <c r="VSA23" s="1"/>
      <c r="VSB23" s="1"/>
      <c r="VSC23" s="1"/>
      <c r="VSD23" s="1"/>
      <c r="VSE23" s="1"/>
      <c r="VSF23" s="1"/>
      <c r="VSG23" s="1"/>
      <c r="VSH23" s="1"/>
      <c r="VSI23" s="1"/>
      <c r="VSJ23" s="1"/>
      <c r="VSK23" s="1"/>
      <c r="VSL23" s="1"/>
      <c r="VSM23" s="1"/>
      <c r="VSN23" s="1"/>
      <c r="VSO23" s="1"/>
      <c r="VSP23" s="1"/>
      <c r="VSQ23" s="1"/>
      <c r="VSR23" s="1"/>
      <c r="VSS23" s="1"/>
      <c r="VST23" s="1"/>
      <c r="VSU23" s="1"/>
      <c r="VSV23" s="1"/>
      <c r="VSW23" s="1"/>
      <c r="VSX23" s="1"/>
      <c r="VSY23" s="1"/>
      <c r="VSZ23" s="1"/>
      <c r="VTA23" s="1"/>
      <c r="VTB23" s="1"/>
      <c r="VTC23" s="1"/>
      <c r="VTD23" s="1"/>
      <c r="VTE23" s="1"/>
      <c r="VTF23" s="1"/>
      <c r="VTG23" s="1"/>
      <c r="VTH23" s="1"/>
      <c r="VTI23" s="1"/>
      <c r="VTJ23" s="1"/>
      <c r="VTK23" s="1"/>
      <c r="VTL23" s="1"/>
      <c r="VTM23" s="1"/>
      <c r="VTN23" s="1"/>
      <c r="VTO23" s="1"/>
      <c r="VTP23" s="1"/>
      <c r="VTQ23" s="1"/>
      <c r="VTR23" s="1"/>
      <c r="VTS23" s="1"/>
      <c r="VTT23" s="1"/>
      <c r="VTU23" s="1"/>
      <c r="VTV23" s="1"/>
      <c r="VTW23" s="1"/>
      <c r="VTX23" s="1"/>
      <c r="VTY23" s="1"/>
      <c r="VTZ23" s="1"/>
      <c r="VUA23" s="1"/>
      <c r="VUB23" s="1"/>
      <c r="VUC23" s="1"/>
      <c r="VUD23" s="1"/>
      <c r="VUE23" s="1"/>
      <c r="VUF23" s="1"/>
      <c r="VUG23" s="1"/>
      <c r="VUH23" s="1"/>
      <c r="VUI23" s="1"/>
      <c r="VUJ23" s="1"/>
      <c r="VUK23" s="1"/>
      <c r="VUL23" s="1"/>
      <c r="VUM23" s="1"/>
      <c r="VUN23" s="1"/>
      <c r="VUO23" s="1"/>
      <c r="VUP23" s="1"/>
      <c r="VUQ23" s="1"/>
      <c r="VUR23" s="1"/>
      <c r="VUS23" s="1"/>
      <c r="VUT23" s="1"/>
      <c r="VUU23" s="1"/>
      <c r="VUV23" s="1"/>
      <c r="VUW23" s="1"/>
      <c r="VUX23" s="1"/>
      <c r="VUY23" s="1"/>
      <c r="VUZ23" s="1"/>
      <c r="VVA23" s="1"/>
      <c r="VVB23" s="1"/>
      <c r="VVC23" s="1"/>
      <c r="VVD23" s="1"/>
      <c r="VVE23" s="1"/>
      <c r="VVF23" s="1"/>
      <c r="VVG23" s="1"/>
      <c r="VVH23" s="1"/>
      <c r="VVI23" s="1"/>
      <c r="VVJ23" s="1"/>
      <c r="VVK23" s="1"/>
      <c r="VVL23" s="1"/>
      <c r="VVM23" s="1"/>
      <c r="VVN23" s="1"/>
      <c r="VVO23" s="1"/>
      <c r="VVP23" s="1"/>
      <c r="VVQ23" s="1"/>
      <c r="VVR23" s="1"/>
      <c r="VVS23" s="1"/>
      <c r="VVT23" s="1"/>
      <c r="VVU23" s="1"/>
      <c r="VVV23" s="1"/>
      <c r="VVW23" s="1"/>
      <c r="VVX23" s="1"/>
      <c r="VVY23" s="1"/>
      <c r="VVZ23" s="1"/>
      <c r="VWA23" s="1"/>
      <c r="VWB23" s="1"/>
      <c r="VWC23" s="1"/>
      <c r="VWD23" s="1"/>
      <c r="VWE23" s="1"/>
      <c r="VWF23" s="1"/>
      <c r="VWG23" s="1"/>
      <c r="VWH23" s="1"/>
      <c r="VWI23" s="1"/>
      <c r="VWJ23" s="1"/>
      <c r="VWK23" s="1"/>
      <c r="VWL23" s="1"/>
      <c r="VWM23" s="1"/>
      <c r="VWN23" s="1"/>
      <c r="VWO23" s="1"/>
      <c r="VWP23" s="1"/>
      <c r="VWQ23" s="1"/>
      <c r="VWR23" s="1"/>
      <c r="VWS23" s="1"/>
      <c r="VWT23" s="1"/>
      <c r="VWU23" s="1"/>
      <c r="VWV23" s="1"/>
      <c r="VWW23" s="1"/>
      <c r="VWX23" s="1"/>
      <c r="VWY23" s="1"/>
      <c r="VWZ23" s="1"/>
      <c r="VXA23" s="1"/>
      <c r="VXB23" s="1"/>
      <c r="VXC23" s="1"/>
      <c r="VXD23" s="1"/>
      <c r="VXE23" s="1"/>
      <c r="VXF23" s="1"/>
      <c r="VXG23" s="1"/>
      <c r="VXH23" s="1"/>
      <c r="VXI23" s="1"/>
      <c r="VXJ23" s="1"/>
      <c r="VXK23" s="1"/>
      <c r="VXL23" s="1"/>
      <c r="VXM23" s="1"/>
      <c r="VXN23" s="1"/>
      <c r="VXO23" s="1"/>
      <c r="VXP23" s="1"/>
      <c r="VXQ23" s="1"/>
      <c r="VXR23" s="1"/>
      <c r="VXS23" s="1"/>
      <c r="VXT23" s="1"/>
      <c r="VXU23" s="1"/>
      <c r="VXV23" s="1"/>
      <c r="VXW23" s="1"/>
      <c r="VXX23" s="1"/>
      <c r="VXY23" s="1"/>
      <c r="VXZ23" s="1"/>
      <c r="VYA23" s="1"/>
      <c r="VYB23" s="1"/>
      <c r="VYC23" s="1"/>
      <c r="VYD23" s="1"/>
      <c r="VYE23" s="1"/>
      <c r="VYF23" s="1"/>
      <c r="VYG23" s="1"/>
      <c r="VYH23" s="1"/>
      <c r="VYI23" s="1"/>
      <c r="VYJ23" s="1"/>
      <c r="VYK23" s="1"/>
      <c r="VYL23" s="1"/>
      <c r="VYM23" s="1"/>
      <c r="VYN23" s="1"/>
      <c r="VYO23" s="1"/>
      <c r="VYP23" s="1"/>
      <c r="VYQ23" s="1"/>
      <c r="VYR23" s="1"/>
      <c r="VYS23" s="1"/>
      <c r="VYT23" s="1"/>
      <c r="VYU23" s="1"/>
      <c r="VYV23" s="1"/>
      <c r="VYW23" s="1"/>
      <c r="VYX23" s="1"/>
      <c r="VYY23" s="1"/>
      <c r="VYZ23" s="1"/>
      <c r="VZA23" s="1"/>
      <c r="VZB23" s="1"/>
      <c r="VZC23" s="1"/>
      <c r="VZD23" s="1"/>
      <c r="VZE23" s="1"/>
      <c r="VZF23" s="1"/>
      <c r="VZG23" s="1"/>
      <c r="VZH23" s="1"/>
      <c r="VZI23" s="1"/>
      <c r="VZJ23" s="1"/>
      <c r="VZK23" s="1"/>
      <c r="VZL23" s="1"/>
      <c r="VZM23" s="1"/>
      <c r="VZN23" s="1"/>
      <c r="VZO23" s="1"/>
      <c r="VZP23" s="1"/>
      <c r="VZQ23" s="1"/>
      <c r="VZR23" s="1"/>
      <c r="VZS23" s="1"/>
      <c r="VZT23" s="1"/>
      <c r="VZU23" s="1"/>
      <c r="VZV23" s="1"/>
      <c r="VZW23" s="1"/>
      <c r="VZX23" s="1"/>
      <c r="VZY23" s="1"/>
      <c r="VZZ23" s="1"/>
      <c r="WAA23" s="1"/>
      <c r="WAB23" s="1"/>
      <c r="WAC23" s="1"/>
      <c r="WAD23" s="1"/>
      <c r="WAE23" s="1"/>
      <c r="WAF23" s="1"/>
      <c r="WAG23" s="1"/>
      <c r="WAH23" s="1"/>
      <c r="WAI23" s="1"/>
      <c r="WAJ23" s="1"/>
      <c r="WAK23" s="1"/>
      <c r="WAL23" s="1"/>
      <c r="WAM23" s="1"/>
      <c r="WAN23" s="1"/>
      <c r="WAO23" s="1"/>
      <c r="WAP23" s="1"/>
      <c r="WAQ23" s="1"/>
      <c r="WAR23" s="1"/>
      <c r="WAS23" s="1"/>
      <c r="WAT23" s="1"/>
      <c r="WAU23" s="1"/>
      <c r="WAV23" s="1"/>
      <c r="WAW23" s="1"/>
      <c r="WAX23" s="1"/>
      <c r="WAY23" s="1"/>
      <c r="WAZ23" s="1"/>
      <c r="WBA23" s="1"/>
      <c r="WBB23" s="1"/>
      <c r="WBC23" s="1"/>
      <c r="WBD23" s="1"/>
      <c r="WBE23" s="1"/>
      <c r="WBF23" s="1"/>
      <c r="WBG23" s="1"/>
      <c r="WBH23" s="1"/>
      <c r="WBI23" s="1"/>
      <c r="WBJ23" s="1"/>
      <c r="WBK23" s="1"/>
      <c r="WBL23" s="1"/>
      <c r="WBM23" s="1"/>
      <c r="WBN23" s="1"/>
      <c r="WBO23" s="1"/>
      <c r="WBP23" s="1"/>
      <c r="WBQ23" s="1"/>
      <c r="WBR23" s="1"/>
      <c r="WBS23" s="1"/>
      <c r="WBT23" s="1"/>
      <c r="WBU23" s="1"/>
      <c r="WBV23" s="1"/>
      <c r="WBW23" s="1"/>
      <c r="WBX23" s="1"/>
      <c r="WBY23" s="1"/>
      <c r="WBZ23" s="1"/>
      <c r="WCA23" s="1"/>
      <c r="WCB23" s="1"/>
      <c r="WCC23" s="1"/>
      <c r="WCD23" s="1"/>
      <c r="WCE23" s="1"/>
      <c r="WCF23" s="1"/>
      <c r="WCG23" s="1"/>
      <c r="WCH23" s="1"/>
      <c r="WCI23" s="1"/>
      <c r="WCJ23" s="1"/>
      <c r="WCK23" s="1"/>
      <c r="WCL23" s="1"/>
      <c r="WCM23" s="1"/>
      <c r="WCN23" s="1"/>
      <c r="WCO23" s="1"/>
      <c r="WCP23" s="1"/>
      <c r="WCQ23" s="1"/>
      <c r="WCR23" s="1"/>
      <c r="WCS23" s="1"/>
      <c r="WCT23" s="1"/>
      <c r="WCU23" s="1"/>
      <c r="WCV23" s="1"/>
      <c r="WCW23" s="1"/>
      <c r="WCX23" s="1"/>
      <c r="WCY23" s="1"/>
      <c r="WCZ23" s="1"/>
      <c r="WDA23" s="1"/>
      <c r="WDB23" s="1"/>
      <c r="WDC23" s="1"/>
      <c r="WDD23" s="1"/>
      <c r="WDE23" s="1"/>
      <c r="WDF23" s="1"/>
      <c r="WDG23" s="1"/>
      <c r="WDH23" s="1"/>
      <c r="WDI23" s="1"/>
      <c r="WDJ23" s="1"/>
      <c r="WDK23" s="1"/>
      <c r="WDL23" s="1"/>
      <c r="WDM23" s="1"/>
      <c r="WDN23" s="1"/>
      <c r="WDO23" s="1"/>
      <c r="WDP23" s="1"/>
      <c r="WDQ23" s="1"/>
      <c r="WDR23" s="1"/>
      <c r="WDS23" s="1"/>
      <c r="WDT23" s="1"/>
      <c r="WDU23" s="1"/>
      <c r="WDV23" s="1"/>
      <c r="WDW23" s="1"/>
      <c r="WDX23" s="1"/>
      <c r="WDY23" s="1"/>
      <c r="WDZ23" s="1"/>
      <c r="WEA23" s="1"/>
      <c r="WEB23" s="1"/>
      <c r="WEC23" s="1"/>
      <c r="WED23" s="1"/>
      <c r="WEE23" s="1"/>
      <c r="WEF23" s="1"/>
      <c r="WEG23" s="1"/>
      <c r="WEH23" s="1"/>
      <c r="WEI23" s="1"/>
      <c r="WEJ23" s="1"/>
      <c r="WEK23" s="1"/>
      <c r="WEL23" s="1"/>
      <c r="WEM23" s="1"/>
      <c r="WEN23" s="1"/>
      <c r="WEO23" s="1"/>
      <c r="WEP23" s="1"/>
      <c r="WEQ23" s="1"/>
      <c r="WER23" s="1"/>
      <c r="WES23" s="1"/>
      <c r="WET23" s="1"/>
      <c r="WEU23" s="1"/>
      <c r="WEV23" s="1"/>
      <c r="WEW23" s="1"/>
      <c r="WEX23" s="1"/>
      <c r="WEY23" s="1"/>
      <c r="WEZ23" s="1"/>
      <c r="WFA23" s="1"/>
      <c r="WFB23" s="1"/>
      <c r="WFC23" s="1"/>
      <c r="WFD23" s="1"/>
      <c r="WFE23" s="1"/>
      <c r="WFF23" s="1"/>
      <c r="WFG23" s="1"/>
      <c r="WFH23" s="1"/>
      <c r="WFI23" s="1"/>
      <c r="WFJ23" s="1"/>
      <c r="WFK23" s="1"/>
      <c r="WFL23" s="1"/>
      <c r="WFM23" s="1"/>
      <c r="WFN23" s="1"/>
      <c r="WFO23" s="1"/>
      <c r="WFP23" s="1"/>
      <c r="WFQ23" s="1"/>
      <c r="WFR23" s="1"/>
      <c r="WFS23" s="1"/>
      <c r="WFT23" s="1"/>
      <c r="WFU23" s="1"/>
      <c r="WFV23" s="1"/>
      <c r="WFW23" s="1"/>
      <c r="WFX23" s="1"/>
      <c r="WFY23" s="1"/>
      <c r="WFZ23" s="1"/>
      <c r="WGA23" s="1"/>
      <c r="WGB23" s="1"/>
      <c r="WGC23" s="1"/>
      <c r="WGD23" s="1"/>
      <c r="WGE23" s="1"/>
      <c r="WGF23" s="1"/>
      <c r="WGG23" s="1"/>
      <c r="WGH23" s="1"/>
      <c r="WGI23" s="1"/>
      <c r="WGJ23" s="1"/>
      <c r="WGK23" s="1"/>
      <c r="WGL23" s="1"/>
      <c r="WGM23" s="1"/>
      <c r="WGN23" s="1"/>
      <c r="WGO23" s="1"/>
      <c r="WGP23" s="1"/>
      <c r="WGQ23" s="1"/>
      <c r="WGR23" s="1"/>
      <c r="WGS23" s="1"/>
      <c r="WGT23" s="1"/>
      <c r="WGU23" s="1"/>
      <c r="WGV23" s="1"/>
      <c r="WGW23" s="1"/>
      <c r="WGX23" s="1"/>
      <c r="WGY23" s="1"/>
      <c r="WGZ23" s="1"/>
      <c r="WHA23" s="1"/>
      <c r="WHB23" s="1"/>
      <c r="WHC23" s="1"/>
      <c r="WHD23" s="1"/>
      <c r="WHE23" s="1"/>
      <c r="WHF23" s="1"/>
      <c r="WHG23" s="1"/>
      <c r="WHH23" s="1"/>
      <c r="WHI23" s="1"/>
      <c r="WHJ23" s="1"/>
      <c r="WHK23" s="1"/>
      <c r="WHL23" s="1"/>
      <c r="WHM23" s="1"/>
      <c r="WHN23" s="1"/>
      <c r="WHO23" s="1"/>
      <c r="WHP23" s="1"/>
      <c r="WHQ23" s="1"/>
      <c r="WHR23" s="1"/>
      <c r="WHS23" s="1"/>
      <c r="WHT23" s="1"/>
      <c r="WHU23" s="1"/>
      <c r="WHV23" s="1"/>
      <c r="WHW23" s="1"/>
      <c r="WHX23" s="1"/>
      <c r="WHY23" s="1"/>
      <c r="WHZ23" s="1"/>
      <c r="WIA23" s="1"/>
      <c r="WIB23" s="1"/>
      <c r="WIC23" s="1"/>
      <c r="WID23" s="1"/>
      <c r="WIE23" s="1"/>
      <c r="WIF23" s="1"/>
      <c r="WIG23" s="1"/>
      <c r="WIH23" s="1"/>
      <c r="WII23" s="1"/>
      <c r="WIJ23" s="1"/>
      <c r="WIK23" s="1"/>
      <c r="WIL23" s="1"/>
      <c r="WIM23" s="1"/>
      <c r="WIN23" s="1"/>
      <c r="WIO23" s="1"/>
      <c r="WIP23" s="1"/>
      <c r="WIQ23" s="1"/>
      <c r="WIR23" s="1"/>
      <c r="WIS23" s="1"/>
      <c r="WIT23" s="1"/>
      <c r="WIU23" s="1"/>
      <c r="WIV23" s="1"/>
      <c r="WIW23" s="1"/>
      <c r="WIX23" s="1"/>
      <c r="WIY23" s="1"/>
      <c r="WIZ23" s="1"/>
      <c r="WJA23" s="1"/>
      <c r="WJB23" s="1"/>
      <c r="WJC23" s="1"/>
      <c r="WJD23" s="1"/>
      <c r="WJE23" s="1"/>
      <c r="WJF23" s="1"/>
      <c r="WJG23" s="1"/>
      <c r="WJH23" s="1"/>
      <c r="WJI23" s="1"/>
      <c r="WJJ23" s="1"/>
      <c r="WJK23" s="1"/>
      <c r="WJL23" s="1"/>
      <c r="WJM23" s="1"/>
      <c r="WJN23" s="1"/>
      <c r="WJO23" s="1"/>
      <c r="WJP23" s="1"/>
      <c r="WJQ23" s="1"/>
      <c r="WJR23" s="1"/>
      <c r="WJS23" s="1"/>
      <c r="WJT23" s="1"/>
      <c r="WJU23" s="1"/>
      <c r="WJV23" s="1"/>
      <c r="WJW23" s="1"/>
      <c r="WJX23" s="1"/>
      <c r="WJY23" s="1"/>
      <c r="WJZ23" s="1"/>
      <c r="WKA23" s="1"/>
      <c r="WKB23" s="1"/>
      <c r="WKC23" s="1"/>
      <c r="WKD23" s="1"/>
      <c r="WKE23" s="1"/>
      <c r="WKF23" s="1"/>
      <c r="WKG23" s="1"/>
      <c r="WKH23" s="1"/>
      <c r="WKI23" s="1"/>
      <c r="WKJ23" s="1"/>
      <c r="WKK23" s="1"/>
      <c r="WKL23" s="1"/>
      <c r="WKM23" s="1"/>
      <c r="WKN23" s="1"/>
      <c r="WKO23" s="1"/>
      <c r="WKP23" s="1"/>
      <c r="WKQ23" s="1"/>
      <c r="WKR23" s="1"/>
      <c r="WKS23" s="1"/>
      <c r="WKT23" s="1"/>
      <c r="WKU23" s="1"/>
      <c r="WKV23" s="1"/>
      <c r="WKW23" s="1"/>
      <c r="WKX23" s="1"/>
      <c r="WKY23" s="1"/>
      <c r="WKZ23" s="1"/>
      <c r="WLA23" s="1"/>
      <c r="WLB23" s="1"/>
      <c r="WLC23" s="1"/>
      <c r="WLD23" s="1"/>
      <c r="WLE23" s="1"/>
      <c r="WLF23" s="1"/>
      <c r="WLG23" s="1"/>
      <c r="WLH23" s="1"/>
      <c r="WLI23" s="1"/>
      <c r="WLJ23" s="1"/>
      <c r="WLK23" s="1"/>
      <c r="WLL23" s="1"/>
      <c r="WLM23" s="1"/>
      <c r="WLN23" s="1"/>
      <c r="WLO23" s="1"/>
      <c r="WLP23" s="1"/>
      <c r="WLQ23" s="1"/>
      <c r="WLR23" s="1"/>
      <c r="WLS23" s="1"/>
      <c r="WLT23" s="1"/>
      <c r="WLU23" s="1"/>
      <c r="WLV23" s="1"/>
      <c r="WLW23" s="1"/>
      <c r="WLX23" s="1"/>
      <c r="WLY23" s="1"/>
      <c r="WLZ23" s="1"/>
      <c r="WMA23" s="1"/>
      <c r="WMB23" s="1"/>
      <c r="WMC23" s="1"/>
      <c r="WMD23" s="1"/>
      <c r="WME23" s="1"/>
      <c r="WMF23" s="1"/>
      <c r="WMG23" s="1"/>
      <c r="WMH23" s="1"/>
      <c r="WMI23" s="1"/>
      <c r="WMJ23" s="1"/>
      <c r="WMK23" s="1"/>
      <c r="WML23" s="1"/>
      <c r="WMM23" s="1"/>
      <c r="WMN23" s="1"/>
      <c r="WMO23" s="1"/>
      <c r="WMP23" s="1"/>
      <c r="WMQ23" s="1"/>
      <c r="WMR23" s="1"/>
      <c r="WMS23" s="1"/>
      <c r="WMT23" s="1"/>
      <c r="WMU23" s="1"/>
      <c r="WMV23" s="1"/>
      <c r="WMW23" s="1"/>
      <c r="WMX23" s="1"/>
      <c r="WMY23" s="1"/>
      <c r="WMZ23" s="1"/>
      <c r="WNA23" s="1"/>
      <c r="WNB23" s="1"/>
      <c r="WNC23" s="1"/>
      <c r="WND23" s="1"/>
      <c r="WNE23" s="1"/>
      <c r="WNF23" s="1"/>
      <c r="WNG23" s="1"/>
      <c r="WNH23" s="1"/>
      <c r="WNI23" s="1"/>
      <c r="WNJ23" s="1"/>
      <c r="WNK23" s="1"/>
      <c r="WNL23" s="1"/>
      <c r="WNM23" s="1"/>
      <c r="WNN23" s="1"/>
      <c r="WNO23" s="1"/>
      <c r="WNP23" s="1"/>
      <c r="WNQ23" s="1"/>
      <c r="WNR23" s="1"/>
      <c r="WNS23" s="1"/>
      <c r="WNT23" s="1"/>
      <c r="WNU23" s="1"/>
      <c r="WNV23" s="1"/>
      <c r="WNW23" s="1"/>
      <c r="WNX23" s="1"/>
      <c r="WNY23" s="1"/>
      <c r="WNZ23" s="1"/>
      <c r="WOA23" s="1"/>
      <c r="WOB23" s="1"/>
      <c r="WOC23" s="1"/>
      <c r="WOD23" s="1"/>
      <c r="WOE23" s="1"/>
      <c r="WOF23" s="1"/>
      <c r="WOG23" s="1"/>
      <c r="WOH23" s="1"/>
      <c r="WOI23" s="1"/>
      <c r="WOJ23" s="1"/>
      <c r="WOK23" s="1"/>
      <c r="WOL23" s="1"/>
      <c r="WOM23" s="1"/>
      <c r="WON23" s="1"/>
      <c r="WOO23" s="1"/>
      <c r="WOP23" s="1"/>
      <c r="WOQ23" s="1"/>
      <c r="WOR23" s="1"/>
      <c r="WOS23" s="1"/>
      <c r="WOT23" s="1"/>
      <c r="WOU23" s="1"/>
      <c r="WOV23" s="1"/>
      <c r="WOW23" s="1"/>
      <c r="WOX23" s="1"/>
      <c r="WOY23" s="1"/>
      <c r="WOZ23" s="1"/>
      <c r="WPA23" s="1"/>
      <c r="WPB23" s="1"/>
      <c r="WPC23" s="1"/>
      <c r="WPD23" s="1"/>
      <c r="WPE23" s="1"/>
      <c r="WPF23" s="1"/>
      <c r="WPG23" s="1"/>
      <c r="WPH23" s="1"/>
      <c r="WPI23" s="1"/>
      <c r="WPJ23" s="1"/>
      <c r="WPK23" s="1"/>
      <c r="WPL23" s="1"/>
      <c r="WPM23" s="1"/>
      <c r="WPN23" s="1"/>
      <c r="WPO23" s="1"/>
      <c r="WPP23" s="1"/>
      <c r="WPQ23" s="1"/>
      <c r="WPR23" s="1"/>
      <c r="WPS23" s="1"/>
      <c r="WPT23" s="1"/>
      <c r="WPU23" s="1"/>
      <c r="WPV23" s="1"/>
      <c r="WPW23" s="1"/>
      <c r="WPX23" s="1"/>
      <c r="WPY23" s="1"/>
      <c r="WPZ23" s="1"/>
      <c r="WQA23" s="1"/>
      <c r="WQB23" s="1"/>
      <c r="WQC23" s="1"/>
      <c r="WQD23" s="1"/>
      <c r="WQE23" s="1"/>
      <c r="WQF23" s="1"/>
      <c r="WQG23" s="1"/>
      <c r="WQH23" s="1"/>
      <c r="WQI23" s="1"/>
      <c r="WQJ23" s="1"/>
      <c r="WQK23" s="1"/>
      <c r="WQL23" s="1"/>
      <c r="WQM23" s="1"/>
      <c r="WQN23" s="1"/>
      <c r="WQO23" s="1"/>
      <c r="WQP23" s="1"/>
      <c r="WQQ23" s="1"/>
      <c r="WQR23" s="1"/>
      <c r="WQS23" s="1"/>
      <c r="WQT23" s="1"/>
      <c r="WQU23" s="1"/>
      <c r="WQV23" s="1"/>
      <c r="WQW23" s="1"/>
      <c r="WQX23" s="1"/>
      <c r="WQY23" s="1"/>
      <c r="WQZ23" s="1"/>
      <c r="WRA23" s="1"/>
      <c r="WRB23" s="1"/>
      <c r="WRC23" s="1"/>
      <c r="WRD23" s="1"/>
      <c r="WRE23" s="1"/>
      <c r="WRF23" s="1"/>
      <c r="WRG23" s="1"/>
      <c r="WRH23" s="1"/>
      <c r="WRI23" s="1"/>
      <c r="WRJ23" s="1"/>
      <c r="WRK23" s="1"/>
      <c r="WRL23" s="1"/>
      <c r="WRM23" s="1"/>
      <c r="WRN23" s="1"/>
      <c r="WRO23" s="1"/>
      <c r="WRP23" s="1"/>
      <c r="WRQ23" s="1"/>
      <c r="WRR23" s="1"/>
      <c r="WRS23" s="1"/>
      <c r="WRT23" s="1"/>
      <c r="WRU23" s="1"/>
      <c r="WRV23" s="1"/>
      <c r="WRW23" s="1"/>
      <c r="WRX23" s="1"/>
      <c r="WRY23" s="1"/>
      <c r="WRZ23" s="1"/>
      <c r="WSA23" s="1"/>
      <c r="WSB23" s="1"/>
      <c r="WSC23" s="1"/>
      <c r="WSD23" s="1"/>
      <c r="WSE23" s="1"/>
      <c r="WSF23" s="1"/>
      <c r="WSG23" s="1"/>
      <c r="WSH23" s="1"/>
      <c r="WSI23" s="1"/>
      <c r="WSJ23" s="1"/>
      <c r="WSK23" s="1"/>
      <c r="WSL23" s="1"/>
      <c r="WSM23" s="1"/>
      <c r="WSN23" s="1"/>
      <c r="WSO23" s="1"/>
      <c r="WSP23" s="1"/>
      <c r="WSQ23" s="1"/>
      <c r="WSR23" s="1"/>
      <c r="WSS23" s="1"/>
      <c r="WST23" s="1"/>
      <c r="WSU23" s="1"/>
      <c r="WSV23" s="1"/>
      <c r="WSW23" s="1"/>
      <c r="WSX23" s="1"/>
      <c r="WSY23" s="1"/>
      <c r="WSZ23" s="1"/>
      <c r="WTA23" s="1"/>
      <c r="WTB23" s="1"/>
      <c r="WTC23" s="1"/>
      <c r="WTD23" s="1"/>
      <c r="WTE23" s="1"/>
      <c r="WTF23" s="1"/>
      <c r="WTG23" s="1"/>
      <c r="WTH23" s="1"/>
      <c r="WTI23" s="1"/>
      <c r="WTJ23" s="1"/>
      <c r="WTK23" s="1"/>
      <c r="WTL23" s="1"/>
      <c r="WTM23" s="1"/>
      <c r="WTN23" s="1"/>
      <c r="WTO23" s="1"/>
      <c r="WTP23" s="1"/>
      <c r="WTQ23" s="1"/>
      <c r="WTR23" s="1"/>
      <c r="WTS23" s="1"/>
      <c r="WTT23" s="1"/>
      <c r="WTU23" s="1"/>
      <c r="WTV23" s="1"/>
      <c r="WTW23" s="1"/>
      <c r="WTX23" s="1"/>
      <c r="WTY23" s="1"/>
      <c r="WTZ23" s="1"/>
      <c r="WUA23" s="1"/>
      <c r="WUB23" s="1"/>
      <c r="WUC23" s="1"/>
      <c r="WUD23" s="1"/>
      <c r="WUE23" s="1"/>
      <c r="WUF23" s="1"/>
      <c r="WUG23" s="1"/>
      <c r="WUH23" s="1"/>
      <c r="WUI23" s="1"/>
      <c r="WUJ23" s="1"/>
      <c r="WUK23" s="1"/>
      <c r="WUL23" s="1"/>
      <c r="WUM23" s="1"/>
      <c r="WUN23" s="1"/>
      <c r="WUO23" s="1"/>
      <c r="WUP23" s="1"/>
      <c r="WUQ23" s="1"/>
      <c r="WUR23" s="1"/>
      <c r="WUS23" s="1"/>
      <c r="WUT23" s="1"/>
      <c r="WUU23" s="1"/>
      <c r="WUV23" s="1"/>
      <c r="WUW23" s="1"/>
      <c r="WUX23" s="1"/>
      <c r="WUY23" s="1"/>
      <c r="WUZ23" s="1"/>
      <c r="WVA23" s="1"/>
      <c r="WVB23" s="1"/>
      <c r="WVC23" s="1"/>
      <c r="WVD23" s="1"/>
      <c r="WVE23" s="1"/>
      <c r="WVF23" s="1"/>
      <c r="WVG23" s="1"/>
      <c r="WVH23" s="1"/>
      <c r="WVI23" s="1"/>
      <c r="WVJ23" s="1"/>
      <c r="WVK23" s="1"/>
      <c r="WVL23" s="1"/>
      <c r="WVM23" s="1"/>
      <c r="WVN23" s="1"/>
      <c r="WVO23" s="1"/>
      <c r="WVP23" s="1"/>
      <c r="WVQ23" s="1"/>
      <c r="WVR23" s="1"/>
      <c r="WVS23" s="1"/>
      <c r="WVT23" s="1"/>
      <c r="WVU23" s="1"/>
      <c r="WVV23" s="1"/>
      <c r="WVW23" s="1"/>
      <c r="WVX23" s="1"/>
      <c r="WVY23" s="1"/>
      <c r="WVZ23" s="1"/>
      <c r="WWA23" s="1"/>
      <c r="WWB23" s="1"/>
      <c r="WWC23" s="1"/>
      <c r="WWD23" s="1"/>
      <c r="WWE23" s="1"/>
      <c r="WWF23" s="1"/>
      <c r="WWG23" s="1"/>
      <c r="WWH23" s="1"/>
      <c r="WWI23" s="1"/>
      <c r="WWJ23" s="1"/>
      <c r="WWK23" s="1"/>
      <c r="WWL23" s="1"/>
      <c r="WWM23" s="1"/>
      <c r="WWN23" s="1"/>
      <c r="WWO23" s="1"/>
      <c r="WWP23" s="1"/>
      <c r="WWQ23" s="1"/>
      <c r="WWR23" s="1"/>
      <c r="WWS23" s="1"/>
      <c r="WWT23" s="1"/>
      <c r="WWU23" s="1"/>
      <c r="WWV23" s="1"/>
      <c r="WWW23" s="1"/>
      <c r="WWX23" s="1"/>
      <c r="WWY23" s="1"/>
      <c r="WWZ23" s="1"/>
      <c r="WXA23" s="1"/>
      <c r="WXB23" s="1"/>
      <c r="WXC23" s="1"/>
      <c r="WXD23" s="1"/>
      <c r="WXE23" s="1"/>
      <c r="WXF23" s="1"/>
      <c r="WXG23" s="1"/>
      <c r="WXH23" s="1"/>
      <c r="WXI23" s="1"/>
      <c r="WXJ23" s="1"/>
      <c r="WXK23" s="1"/>
      <c r="WXL23" s="1"/>
      <c r="WXM23" s="1"/>
      <c r="WXN23" s="1"/>
      <c r="WXO23" s="1"/>
      <c r="WXP23" s="1"/>
      <c r="WXQ23" s="1"/>
      <c r="WXR23" s="1"/>
      <c r="WXS23" s="1"/>
      <c r="WXT23" s="1"/>
      <c r="WXU23" s="1"/>
      <c r="WXV23" s="1"/>
      <c r="WXW23" s="1"/>
      <c r="WXX23" s="1"/>
      <c r="WXY23" s="1"/>
      <c r="WXZ23" s="1"/>
      <c r="WYA23" s="1"/>
      <c r="WYB23" s="1"/>
      <c r="WYC23" s="1"/>
      <c r="WYD23" s="1"/>
      <c r="WYE23" s="1"/>
      <c r="WYF23" s="1"/>
      <c r="WYG23" s="1"/>
      <c r="WYH23" s="1"/>
      <c r="WYI23" s="1"/>
      <c r="WYJ23" s="1"/>
      <c r="WYK23" s="1"/>
      <c r="WYL23" s="1"/>
      <c r="WYM23" s="1"/>
      <c r="WYN23" s="1"/>
      <c r="WYO23" s="1"/>
      <c r="WYP23" s="1"/>
      <c r="WYQ23" s="1"/>
      <c r="WYR23" s="1"/>
      <c r="WYS23" s="1"/>
      <c r="WYT23" s="1"/>
      <c r="WYU23" s="1"/>
      <c r="WYV23" s="1"/>
      <c r="WYW23" s="1"/>
      <c r="WYX23" s="1"/>
      <c r="WYY23" s="1"/>
      <c r="WYZ23" s="1"/>
      <c r="WZA23" s="1"/>
      <c r="WZB23" s="1"/>
      <c r="WZC23" s="1"/>
      <c r="WZD23" s="1"/>
      <c r="WZE23" s="1"/>
      <c r="WZF23" s="1"/>
      <c r="WZG23" s="1"/>
      <c r="WZH23" s="1"/>
      <c r="WZI23" s="1"/>
      <c r="WZJ23" s="1"/>
      <c r="WZK23" s="1"/>
      <c r="WZL23" s="1"/>
      <c r="WZM23" s="1"/>
      <c r="WZN23" s="1"/>
      <c r="WZO23" s="1"/>
      <c r="WZP23" s="1"/>
      <c r="WZQ23" s="1"/>
      <c r="WZR23" s="1"/>
      <c r="WZS23" s="1"/>
      <c r="WZT23" s="1"/>
      <c r="WZU23" s="1"/>
      <c r="WZV23" s="1"/>
      <c r="WZW23" s="1"/>
      <c r="WZX23" s="1"/>
      <c r="WZY23" s="1"/>
      <c r="WZZ23" s="1"/>
      <c r="XAA23" s="1"/>
      <c r="XAB23" s="1"/>
      <c r="XAC23" s="1"/>
      <c r="XAD23" s="1"/>
      <c r="XAE23" s="1"/>
      <c r="XAF23" s="1"/>
      <c r="XAG23" s="1"/>
      <c r="XAH23" s="1"/>
      <c r="XAI23" s="1"/>
      <c r="XAJ23" s="1"/>
      <c r="XAK23" s="1"/>
      <c r="XAL23" s="1"/>
      <c r="XAM23" s="1"/>
      <c r="XAN23" s="1"/>
      <c r="XAO23" s="1"/>
      <c r="XAP23" s="1"/>
      <c r="XAQ23" s="1"/>
      <c r="XAR23" s="1"/>
      <c r="XAS23" s="1"/>
      <c r="XAT23" s="1"/>
      <c r="XAU23" s="1"/>
      <c r="XAV23" s="1"/>
      <c r="XAW23" s="1"/>
      <c r="XAX23" s="1"/>
      <c r="XAY23" s="1"/>
      <c r="XAZ23" s="1"/>
      <c r="XBA23" s="1"/>
      <c r="XBB23" s="1"/>
      <c r="XBC23" s="1"/>
      <c r="XBD23" s="1"/>
      <c r="XBE23" s="1"/>
      <c r="XBF23" s="1"/>
      <c r="XBG23" s="1"/>
      <c r="XBH23" s="1"/>
      <c r="XBI23" s="1"/>
      <c r="XBJ23" s="1"/>
      <c r="XBK23" s="1"/>
      <c r="XBL23" s="1"/>
      <c r="XBM23" s="1"/>
      <c r="XBN23" s="1"/>
      <c r="XBO23" s="1"/>
      <c r="XBP23" s="1"/>
      <c r="XBQ23" s="1"/>
      <c r="XBR23" s="1"/>
      <c r="XBS23" s="1"/>
      <c r="XBT23" s="1"/>
      <c r="XBU23" s="1"/>
      <c r="XBV23" s="1"/>
      <c r="XBW23" s="1"/>
      <c r="XBX23" s="1"/>
      <c r="XBY23" s="1"/>
      <c r="XBZ23" s="1"/>
      <c r="XCA23" s="1"/>
      <c r="XCB23" s="1"/>
      <c r="XCC23" s="1"/>
      <c r="XCD23" s="1"/>
      <c r="XCE23" s="1"/>
      <c r="XCF23" s="1"/>
      <c r="XCG23" s="1"/>
      <c r="XCH23" s="1"/>
      <c r="XCI23" s="1"/>
      <c r="XCJ23" s="1"/>
      <c r="XCK23" s="1"/>
      <c r="XCL23" s="1"/>
      <c r="XCM23" s="1"/>
      <c r="XCN23" s="1"/>
      <c r="XCO23" s="1"/>
      <c r="XCP23" s="1"/>
      <c r="XCQ23" s="1"/>
      <c r="XCR23" s="1"/>
      <c r="XCS23" s="1"/>
      <c r="XCT23" s="1"/>
      <c r="XCU23" s="1"/>
      <c r="XCV23" s="1"/>
      <c r="XCW23" s="1"/>
      <c r="XCX23" s="1"/>
      <c r="XCY23" s="1"/>
      <c r="XCZ23" s="1"/>
      <c r="XDA23" s="1"/>
      <c r="XDB23" s="1"/>
      <c r="XDC23" s="1"/>
      <c r="XDD23" s="1"/>
      <c r="XDE23" s="1"/>
      <c r="XDF23" s="1"/>
      <c r="XDG23" s="1"/>
      <c r="XDH23" s="1"/>
      <c r="XDI23" s="1"/>
      <c r="XDJ23" s="1"/>
      <c r="XDK23" s="1"/>
      <c r="XDL23" s="1"/>
      <c r="XDM23" s="1"/>
      <c r="XDN23" s="1"/>
      <c r="XDO23" s="1"/>
      <c r="XDP23" s="1"/>
      <c r="XDQ23" s="1"/>
      <c r="XDR23" s="1"/>
      <c r="XDS23" s="1"/>
      <c r="XDT23" s="1"/>
      <c r="XDU23" s="1"/>
      <c r="XDV23" s="1"/>
      <c r="XDW23" s="1"/>
      <c r="XDX23" s="1"/>
      <c r="XDY23" s="1"/>
      <c r="XDZ23" s="1"/>
      <c r="XEA23" s="1"/>
      <c r="XEB23" s="1"/>
      <c r="XEC23" s="1"/>
      <c r="XED23" s="1"/>
      <c r="XEE23" s="1"/>
      <c r="XEF23" s="1"/>
      <c r="XEG23" s="1"/>
      <c r="XEH23" s="1"/>
      <c r="XEI23" s="1"/>
      <c r="XEJ23" s="1"/>
      <c r="XEK23" s="1"/>
      <c r="XEL23" s="1"/>
      <c r="XEM23" s="1"/>
      <c r="XEN23" s="1"/>
      <c r="XEO23" s="1"/>
      <c r="XEP23" s="1"/>
      <c r="XEQ23" s="1"/>
      <c r="XER23" s="1"/>
      <c r="XES23" s="1"/>
      <c r="XET23" s="1"/>
      <c r="XEU23" s="1"/>
      <c r="XEV23" s="1"/>
      <c r="XEW23" s="1"/>
      <c r="XEX23" s="1"/>
      <c r="XEY23" s="1"/>
      <c r="XEZ23" s="1"/>
      <c r="XFA23" s="1"/>
      <c r="XFB23" s="1"/>
      <c r="XFC23" s="1"/>
      <c r="XFD23" s="1"/>
    </row>
    <row r="25" spans="5:16384">
      <c r="E25" s="16" t="str">
        <f xml:space="preserve"> Financials!E$38</f>
        <v>Retained Earnings</v>
      </c>
      <c r="F25" s="16">
        <f xml:space="preserve"> Financials!F$38</f>
        <v>0</v>
      </c>
      <c r="G25" s="16" t="str">
        <f xml:space="preserve"> Financials!G$38</f>
        <v>GBP</v>
      </c>
      <c r="H25" s="42">
        <f xml:space="preserve"> Financials!H$38</f>
        <v>0</v>
      </c>
      <c r="I25" s="16">
        <f xml:space="preserve"> Financials!I$38</f>
        <v>0</v>
      </c>
      <c r="J25" s="9">
        <f ca="1" xml:space="preserve"> SUMIF( Time!$J346:$BQ346, Time!J$28, Financials!$J38:$BQ38)</f>
        <v>-365325.20976966212</v>
      </c>
      <c r="K25" s="9">
        <f ca="1" xml:space="preserve"> SUMIF( Time!$J346:$BQ346, Time!K$28, Financials!$J38:$BQ38)</f>
        <v>-524092.80616935901</v>
      </c>
      <c r="L25" s="9">
        <f ca="1" xml:space="preserve"> SUMIF( Time!$J346:$BQ346, Time!L$28, Financials!$J38:$BQ38)</f>
        <v>-418966.50193450914</v>
      </c>
      <c r="M25" s="9">
        <f ca="1" xml:space="preserve"> SUMIF( Time!$J346:$BQ346, Time!M$28, Financials!$J38:$BQ38)</f>
        <v>-122013.92081704651</v>
      </c>
      <c r="N25" s="9">
        <f ca="1" xml:space="preserve"> SUMIF( Time!$J346:$BQ346, Time!N$28, Financials!$J38:$BQ38)</f>
        <v>438462.07065904653</v>
      </c>
      <c r="O25" s="9">
        <f ca="1" xml:space="preserve"> SUMIF( Time!$J346:$BQ346, Time!O$28, Financials!$J38:$BQ38)</f>
        <v>1729637.4415939085</v>
      </c>
      <c r="P25" s="9">
        <f ca="1" xml:space="preserve"> SUMIF( Time!$J346:$BQ346, Time!P$28, Financials!$J38:$BQ38)</f>
        <v>3701558.7708926075</v>
      </c>
      <c r="Q25" s="9">
        <f ca="1" xml:space="preserve"> SUMIF( Time!$J346:$BQ346, Time!Q$28, Financials!$J38:$BQ38)</f>
        <v>6831417.5458162762</v>
      </c>
      <c r="R25" s="9">
        <f ca="1" xml:space="preserve"> SUMIF( Time!$J346:$BQ346, Time!R$28, Financials!$J38:$BQ38)</f>
        <v>11595988.624808421</v>
      </c>
      <c r="S25" s="9">
        <f ca="1" xml:space="preserve"> SUMIF( Time!$J346:$BQ346, Time!S$28, Financials!$J38:$BQ38)</f>
        <v>18716388.84255733</v>
      </c>
    </row>
    <row r="26" spans="5:16384">
      <c r="E26" s="16" t="str">
        <f xml:space="preserve"> Equity!E$13</f>
        <v>Share Capital</v>
      </c>
      <c r="F26" s="16">
        <f xml:space="preserve"> Equity!F$13</f>
        <v>0</v>
      </c>
      <c r="G26" s="16" t="str">
        <f xml:space="preserve"> Equity!G$13</f>
        <v>GBP</v>
      </c>
      <c r="H26" s="42">
        <f xml:space="preserve"> Equity!H$13</f>
        <v>0</v>
      </c>
      <c r="I26" s="16">
        <f xml:space="preserve"> Equity!I$13</f>
        <v>0</v>
      </c>
      <c r="J26" s="9">
        <f xml:space="preserve"> SUMIF( Time!$J346:$BQ346, Time!J$28, Equity!$J13:$BQ13)</f>
        <v>0</v>
      </c>
      <c r="K26" s="9">
        <f xml:space="preserve"> SUMIF( Time!$J346:$BQ346, Time!K$28, Equity!$J13:$BQ13)</f>
        <v>0</v>
      </c>
      <c r="L26" s="9">
        <f xml:space="preserve"> SUMIF( Time!$J346:$BQ346, Time!L$28, Equity!$J13:$BQ13)</f>
        <v>0</v>
      </c>
      <c r="M26" s="9">
        <f xml:space="preserve"> SUMIF( Time!$J346:$BQ346, Time!M$28, Equity!$J13:$BQ13)</f>
        <v>0</v>
      </c>
      <c r="N26" s="9">
        <f xml:space="preserve"> SUMIF( Time!$J346:$BQ346, Time!N$28, Equity!$J13:$BQ13)</f>
        <v>0</v>
      </c>
      <c r="O26" s="9">
        <f xml:space="preserve"> SUMIF( Time!$J346:$BQ346, Time!O$28, Equity!$J13:$BQ13)</f>
        <v>0</v>
      </c>
      <c r="P26" s="9">
        <f xml:space="preserve"> SUMIF( Time!$J346:$BQ346, Time!P$28, Equity!$J13:$BQ13)</f>
        <v>0</v>
      </c>
      <c r="Q26" s="9">
        <f xml:space="preserve"> SUMIF( Time!$J346:$BQ346, Time!Q$28, Equity!$J13:$BQ13)</f>
        <v>0</v>
      </c>
      <c r="R26" s="9">
        <f xml:space="preserve"> SUMIF( Time!$J346:$BQ346, Time!R$28, Equity!$J13:$BQ13)</f>
        <v>0</v>
      </c>
      <c r="S26" s="9">
        <f xml:space="preserve"> SUMIF( Time!$J346:$BQ346, Time!S$28, Equity!$J13:$BQ13)</f>
        <v>0</v>
      </c>
    </row>
    <row r="27" spans="5:16384">
      <c r="E27" s="67" t="str">
        <f xml:space="preserve"> Financials!E$30</f>
        <v>Shareholder Equity</v>
      </c>
      <c r="F27" s="67"/>
      <c r="G27" s="67" t="str">
        <f xml:space="preserve"> Financials!G$30</f>
        <v>GBP</v>
      </c>
      <c r="H27" s="110">
        <f xml:space="preserve"> Financials!H$30</f>
        <v>0</v>
      </c>
      <c r="I27" s="67">
        <f xml:space="preserve"> Financials!I$30</f>
        <v>0</v>
      </c>
      <c r="J27" s="17">
        <f ca="1" xml:space="preserve"> SUMIF( Time!$J346:$BQ346, Time!J$28, Financials!$J30:$BQ30)</f>
        <v>-365325.20976966212</v>
      </c>
      <c r="K27" s="17">
        <f ca="1" xml:space="preserve"> SUMIF( Time!$J346:$BQ346, Time!K$28, Financials!$J30:$BQ30)</f>
        <v>-524092.80616935901</v>
      </c>
      <c r="L27" s="17">
        <f ca="1" xml:space="preserve"> SUMIF( Time!$J346:$BQ346, Time!L$28, Financials!$J30:$BQ30)</f>
        <v>-418966.50193450914</v>
      </c>
      <c r="M27" s="17">
        <f ca="1" xml:space="preserve"> SUMIF( Time!$J346:$BQ346, Time!M$28, Financials!$J30:$BQ30)</f>
        <v>-122013.92081704651</v>
      </c>
      <c r="N27" s="17">
        <f ca="1" xml:space="preserve"> SUMIF( Time!$J346:$BQ346, Time!N$28, Financials!$J30:$BQ30)</f>
        <v>438462.07065904653</v>
      </c>
      <c r="O27" s="17">
        <f ca="1" xml:space="preserve"> SUMIF( Time!$J346:$BQ346, Time!O$28, Financials!$J30:$BQ30)</f>
        <v>1729637.4415939085</v>
      </c>
      <c r="P27" s="17">
        <f ca="1" xml:space="preserve"> SUMIF( Time!$J346:$BQ346, Time!P$28, Financials!$J30:$BQ30)</f>
        <v>3701558.7708926075</v>
      </c>
      <c r="Q27" s="17">
        <f ca="1" xml:space="preserve"> SUMIF( Time!$J346:$BQ346, Time!Q$28, Financials!$J30:$BQ30)</f>
        <v>6831417.5458162762</v>
      </c>
      <c r="R27" s="17">
        <f ca="1" xml:space="preserve"> SUMIF( Time!$J346:$BQ346, Time!R$28, Financials!$J30:$BQ30)</f>
        <v>11595988.624808421</v>
      </c>
      <c r="S27" s="17">
        <f ca="1" xml:space="preserve"> SUMIF( Time!$J346:$BQ346, Time!S$28, Financials!$J30:$BQ30)</f>
        <v>18716388.84255733</v>
      </c>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c r="AML27" s="1"/>
      <c r="AMM27" s="1"/>
      <c r="AMN27" s="1"/>
      <c r="AMO27" s="1"/>
      <c r="AMP27" s="1"/>
      <c r="AMQ27" s="1"/>
      <c r="AMR27" s="1"/>
      <c r="AMS27" s="1"/>
      <c r="AMT27" s="1"/>
      <c r="AMU27" s="1"/>
      <c r="AMV27" s="1"/>
      <c r="AMW27" s="1"/>
      <c r="AMX27" s="1"/>
      <c r="AMY27" s="1"/>
      <c r="AMZ27" s="1"/>
      <c r="ANA27" s="1"/>
      <c r="ANB27" s="1"/>
      <c r="ANC27" s="1"/>
      <c r="AND27" s="1"/>
      <c r="ANE27" s="1"/>
      <c r="ANF27" s="1"/>
      <c r="ANG27" s="1"/>
      <c r="ANH27" s="1"/>
      <c r="ANI27" s="1"/>
      <c r="ANJ27" s="1"/>
      <c r="ANK27" s="1"/>
      <c r="ANL27" s="1"/>
      <c r="ANM27" s="1"/>
      <c r="ANN27" s="1"/>
      <c r="ANO27" s="1"/>
      <c r="ANP27" s="1"/>
      <c r="ANQ27" s="1"/>
      <c r="ANR27" s="1"/>
      <c r="ANS27" s="1"/>
      <c r="ANT27" s="1"/>
      <c r="ANU27" s="1"/>
      <c r="ANV27" s="1"/>
      <c r="ANW27" s="1"/>
      <c r="ANX27" s="1"/>
      <c r="ANY27" s="1"/>
      <c r="ANZ27" s="1"/>
      <c r="AOA27" s="1"/>
      <c r="AOB27" s="1"/>
      <c r="AOC27" s="1"/>
      <c r="AOD27" s="1"/>
      <c r="AOE27" s="1"/>
      <c r="AOF27" s="1"/>
      <c r="AOG27" s="1"/>
      <c r="AOH27" s="1"/>
      <c r="AOI27" s="1"/>
      <c r="AOJ27" s="1"/>
      <c r="AOK27" s="1"/>
      <c r="AOL27" s="1"/>
      <c r="AOM27" s="1"/>
      <c r="AON27" s="1"/>
      <c r="AOO27" s="1"/>
      <c r="AOP27" s="1"/>
      <c r="AOQ27" s="1"/>
      <c r="AOR27" s="1"/>
      <c r="AOS27" s="1"/>
      <c r="AOT27" s="1"/>
      <c r="AOU27" s="1"/>
      <c r="AOV27" s="1"/>
      <c r="AOW27" s="1"/>
      <c r="AOX27" s="1"/>
      <c r="AOY27" s="1"/>
      <c r="AOZ27" s="1"/>
      <c r="APA27" s="1"/>
      <c r="APB27" s="1"/>
      <c r="APC27" s="1"/>
      <c r="APD27" s="1"/>
      <c r="APE27" s="1"/>
      <c r="APF27" s="1"/>
      <c r="APG27" s="1"/>
      <c r="APH27" s="1"/>
      <c r="API27" s="1"/>
      <c r="APJ27" s="1"/>
      <c r="APK27" s="1"/>
      <c r="APL27" s="1"/>
      <c r="APM27" s="1"/>
      <c r="APN27" s="1"/>
      <c r="APO27" s="1"/>
      <c r="APP27" s="1"/>
      <c r="APQ27" s="1"/>
      <c r="APR27" s="1"/>
      <c r="APS27" s="1"/>
      <c r="APT27" s="1"/>
      <c r="APU27" s="1"/>
      <c r="APV27" s="1"/>
      <c r="APW27" s="1"/>
      <c r="APX27" s="1"/>
      <c r="APY27" s="1"/>
      <c r="APZ27" s="1"/>
      <c r="AQA27" s="1"/>
      <c r="AQB27" s="1"/>
      <c r="AQC27" s="1"/>
      <c r="AQD27" s="1"/>
      <c r="AQE27" s="1"/>
      <c r="AQF27" s="1"/>
      <c r="AQG27" s="1"/>
      <c r="AQH27" s="1"/>
      <c r="AQI27" s="1"/>
      <c r="AQJ27" s="1"/>
      <c r="AQK27" s="1"/>
      <c r="AQL27" s="1"/>
      <c r="AQM27" s="1"/>
      <c r="AQN27" s="1"/>
      <c r="AQO27" s="1"/>
      <c r="AQP27" s="1"/>
      <c r="AQQ27" s="1"/>
      <c r="AQR27" s="1"/>
      <c r="AQS27" s="1"/>
      <c r="AQT27" s="1"/>
      <c r="AQU27" s="1"/>
      <c r="AQV27" s="1"/>
      <c r="AQW27" s="1"/>
      <c r="AQX27" s="1"/>
      <c r="AQY27" s="1"/>
      <c r="AQZ27" s="1"/>
      <c r="ARA27" s="1"/>
      <c r="ARB27" s="1"/>
      <c r="ARC27" s="1"/>
      <c r="ARD27" s="1"/>
      <c r="ARE27" s="1"/>
      <c r="ARF27" s="1"/>
      <c r="ARG27" s="1"/>
      <c r="ARH27" s="1"/>
      <c r="ARI27" s="1"/>
      <c r="ARJ27" s="1"/>
      <c r="ARK27" s="1"/>
      <c r="ARL27" s="1"/>
      <c r="ARM27" s="1"/>
      <c r="ARN27" s="1"/>
      <c r="ARO27" s="1"/>
      <c r="ARP27" s="1"/>
      <c r="ARQ27" s="1"/>
      <c r="ARR27" s="1"/>
      <c r="ARS27" s="1"/>
      <c r="ART27" s="1"/>
      <c r="ARU27" s="1"/>
      <c r="ARV27" s="1"/>
      <c r="ARW27" s="1"/>
      <c r="ARX27" s="1"/>
      <c r="ARY27" s="1"/>
      <c r="ARZ27" s="1"/>
      <c r="ASA27" s="1"/>
      <c r="ASB27" s="1"/>
      <c r="ASC27" s="1"/>
      <c r="ASD27" s="1"/>
      <c r="ASE27" s="1"/>
      <c r="ASF27" s="1"/>
      <c r="ASG27" s="1"/>
      <c r="ASH27" s="1"/>
      <c r="ASI27" s="1"/>
      <c r="ASJ27" s="1"/>
      <c r="ASK27" s="1"/>
      <c r="ASL27" s="1"/>
      <c r="ASM27" s="1"/>
      <c r="ASN27" s="1"/>
      <c r="ASO27" s="1"/>
      <c r="ASP27" s="1"/>
      <c r="ASQ27" s="1"/>
      <c r="ASR27" s="1"/>
      <c r="ASS27" s="1"/>
      <c r="AST27" s="1"/>
      <c r="ASU27" s="1"/>
      <c r="ASV27" s="1"/>
      <c r="ASW27" s="1"/>
      <c r="ASX27" s="1"/>
      <c r="ASY27" s="1"/>
      <c r="ASZ27" s="1"/>
      <c r="ATA27" s="1"/>
      <c r="ATB27" s="1"/>
      <c r="ATC27" s="1"/>
      <c r="ATD27" s="1"/>
      <c r="ATE27" s="1"/>
      <c r="ATF27" s="1"/>
      <c r="ATG27" s="1"/>
      <c r="ATH27" s="1"/>
      <c r="ATI27" s="1"/>
      <c r="ATJ27" s="1"/>
      <c r="ATK27" s="1"/>
      <c r="ATL27" s="1"/>
      <c r="ATM27" s="1"/>
      <c r="ATN27" s="1"/>
      <c r="ATO27" s="1"/>
      <c r="ATP27" s="1"/>
      <c r="ATQ27" s="1"/>
      <c r="ATR27" s="1"/>
      <c r="ATS27" s="1"/>
      <c r="ATT27" s="1"/>
      <c r="ATU27" s="1"/>
      <c r="ATV27" s="1"/>
      <c r="ATW27" s="1"/>
      <c r="ATX27" s="1"/>
      <c r="ATY27" s="1"/>
      <c r="ATZ27" s="1"/>
      <c r="AUA27" s="1"/>
      <c r="AUB27" s="1"/>
      <c r="AUC27" s="1"/>
      <c r="AUD27" s="1"/>
      <c r="AUE27" s="1"/>
      <c r="AUF27" s="1"/>
      <c r="AUG27" s="1"/>
      <c r="AUH27" s="1"/>
      <c r="AUI27" s="1"/>
      <c r="AUJ27" s="1"/>
      <c r="AUK27" s="1"/>
      <c r="AUL27" s="1"/>
      <c r="AUM27" s="1"/>
      <c r="AUN27" s="1"/>
      <c r="AUO27" s="1"/>
      <c r="AUP27" s="1"/>
      <c r="AUQ27" s="1"/>
      <c r="AUR27" s="1"/>
      <c r="AUS27" s="1"/>
      <c r="AUT27" s="1"/>
      <c r="AUU27" s="1"/>
      <c r="AUV27" s="1"/>
      <c r="AUW27" s="1"/>
      <c r="AUX27" s="1"/>
      <c r="AUY27" s="1"/>
      <c r="AUZ27" s="1"/>
      <c r="AVA27" s="1"/>
      <c r="AVB27" s="1"/>
      <c r="AVC27" s="1"/>
      <c r="AVD27" s="1"/>
      <c r="AVE27" s="1"/>
      <c r="AVF27" s="1"/>
      <c r="AVG27" s="1"/>
      <c r="AVH27" s="1"/>
      <c r="AVI27" s="1"/>
      <c r="AVJ27" s="1"/>
      <c r="AVK27" s="1"/>
      <c r="AVL27" s="1"/>
      <c r="AVM27" s="1"/>
      <c r="AVN27" s="1"/>
      <c r="AVO27" s="1"/>
      <c r="AVP27" s="1"/>
      <c r="AVQ27" s="1"/>
      <c r="AVR27" s="1"/>
      <c r="AVS27" s="1"/>
      <c r="AVT27" s="1"/>
      <c r="AVU27" s="1"/>
      <c r="AVV27" s="1"/>
      <c r="AVW27" s="1"/>
      <c r="AVX27" s="1"/>
      <c r="AVY27" s="1"/>
      <c r="AVZ27" s="1"/>
      <c r="AWA27" s="1"/>
      <c r="AWB27" s="1"/>
      <c r="AWC27" s="1"/>
      <c r="AWD27" s="1"/>
      <c r="AWE27" s="1"/>
      <c r="AWF27" s="1"/>
      <c r="AWG27" s="1"/>
      <c r="AWH27" s="1"/>
      <c r="AWI27" s="1"/>
      <c r="AWJ27" s="1"/>
      <c r="AWK27" s="1"/>
      <c r="AWL27" s="1"/>
      <c r="AWM27" s="1"/>
      <c r="AWN27" s="1"/>
      <c r="AWO27" s="1"/>
      <c r="AWP27" s="1"/>
      <c r="AWQ27" s="1"/>
      <c r="AWR27" s="1"/>
      <c r="AWS27" s="1"/>
      <c r="AWT27" s="1"/>
      <c r="AWU27" s="1"/>
      <c r="AWV27" s="1"/>
      <c r="AWW27" s="1"/>
      <c r="AWX27" s="1"/>
      <c r="AWY27" s="1"/>
      <c r="AWZ27" s="1"/>
      <c r="AXA27" s="1"/>
      <c r="AXB27" s="1"/>
      <c r="AXC27" s="1"/>
      <c r="AXD27" s="1"/>
      <c r="AXE27" s="1"/>
      <c r="AXF27" s="1"/>
      <c r="AXG27" s="1"/>
      <c r="AXH27" s="1"/>
      <c r="AXI27" s="1"/>
      <c r="AXJ27" s="1"/>
      <c r="AXK27" s="1"/>
      <c r="AXL27" s="1"/>
      <c r="AXM27" s="1"/>
      <c r="AXN27" s="1"/>
      <c r="AXO27" s="1"/>
      <c r="AXP27" s="1"/>
      <c r="AXQ27" s="1"/>
      <c r="AXR27" s="1"/>
      <c r="AXS27" s="1"/>
      <c r="AXT27" s="1"/>
      <c r="AXU27" s="1"/>
      <c r="AXV27" s="1"/>
      <c r="AXW27" s="1"/>
      <c r="AXX27" s="1"/>
      <c r="AXY27" s="1"/>
      <c r="AXZ27" s="1"/>
      <c r="AYA27" s="1"/>
      <c r="AYB27" s="1"/>
      <c r="AYC27" s="1"/>
      <c r="AYD27" s="1"/>
      <c r="AYE27" s="1"/>
      <c r="AYF27" s="1"/>
      <c r="AYG27" s="1"/>
      <c r="AYH27" s="1"/>
      <c r="AYI27" s="1"/>
      <c r="AYJ27" s="1"/>
      <c r="AYK27" s="1"/>
      <c r="AYL27" s="1"/>
      <c r="AYM27" s="1"/>
      <c r="AYN27" s="1"/>
      <c r="AYO27" s="1"/>
      <c r="AYP27" s="1"/>
      <c r="AYQ27" s="1"/>
      <c r="AYR27" s="1"/>
      <c r="AYS27" s="1"/>
      <c r="AYT27" s="1"/>
      <c r="AYU27" s="1"/>
      <c r="AYV27" s="1"/>
      <c r="AYW27" s="1"/>
      <c r="AYX27" s="1"/>
      <c r="AYY27" s="1"/>
      <c r="AYZ27" s="1"/>
      <c r="AZA27" s="1"/>
      <c r="AZB27" s="1"/>
      <c r="AZC27" s="1"/>
      <c r="AZD27" s="1"/>
      <c r="AZE27" s="1"/>
      <c r="AZF27" s="1"/>
      <c r="AZG27" s="1"/>
      <c r="AZH27" s="1"/>
      <c r="AZI27" s="1"/>
      <c r="AZJ27" s="1"/>
      <c r="AZK27" s="1"/>
      <c r="AZL27" s="1"/>
      <c r="AZM27" s="1"/>
      <c r="AZN27" s="1"/>
      <c r="AZO27" s="1"/>
      <c r="AZP27" s="1"/>
      <c r="AZQ27" s="1"/>
      <c r="AZR27" s="1"/>
      <c r="AZS27" s="1"/>
      <c r="AZT27" s="1"/>
      <c r="AZU27" s="1"/>
      <c r="AZV27" s="1"/>
      <c r="AZW27" s="1"/>
      <c r="AZX27" s="1"/>
      <c r="AZY27" s="1"/>
      <c r="AZZ27" s="1"/>
      <c r="BAA27" s="1"/>
      <c r="BAB27" s="1"/>
      <c r="BAC27" s="1"/>
      <c r="BAD27" s="1"/>
      <c r="BAE27" s="1"/>
      <c r="BAF27" s="1"/>
      <c r="BAG27" s="1"/>
      <c r="BAH27" s="1"/>
      <c r="BAI27" s="1"/>
      <c r="BAJ27" s="1"/>
      <c r="BAK27" s="1"/>
      <c r="BAL27" s="1"/>
      <c r="BAM27" s="1"/>
      <c r="BAN27" s="1"/>
      <c r="BAO27" s="1"/>
      <c r="BAP27" s="1"/>
      <c r="BAQ27" s="1"/>
      <c r="BAR27" s="1"/>
      <c r="BAS27" s="1"/>
      <c r="BAT27" s="1"/>
      <c r="BAU27" s="1"/>
      <c r="BAV27" s="1"/>
      <c r="BAW27" s="1"/>
      <c r="BAX27" s="1"/>
      <c r="BAY27" s="1"/>
      <c r="BAZ27" s="1"/>
      <c r="BBA27" s="1"/>
      <c r="BBB27" s="1"/>
      <c r="BBC27" s="1"/>
      <c r="BBD27" s="1"/>
      <c r="BBE27" s="1"/>
      <c r="BBF27" s="1"/>
      <c r="BBG27" s="1"/>
      <c r="BBH27" s="1"/>
      <c r="BBI27" s="1"/>
      <c r="BBJ27" s="1"/>
      <c r="BBK27" s="1"/>
      <c r="BBL27" s="1"/>
      <c r="BBM27" s="1"/>
      <c r="BBN27" s="1"/>
      <c r="BBO27" s="1"/>
      <c r="BBP27" s="1"/>
      <c r="BBQ27" s="1"/>
      <c r="BBR27" s="1"/>
      <c r="BBS27" s="1"/>
      <c r="BBT27" s="1"/>
      <c r="BBU27" s="1"/>
      <c r="BBV27" s="1"/>
      <c r="BBW27" s="1"/>
      <c r="BBX27" s="1"/>
      <c r="BBY27" s="1"/>
      <c r="BBZ27" s="1"/>
      <c r="BCA27" s="1"/>
      <c r="BCB27" s="1"/>
      <c r="BCC27" s="1"/>
      <c r="BCD27" s="1"/>
      <c r="BCE27" s="1"/>
      <c r="BCF27" s="1"/>
      <c r="BCG27" s="1"/>
      <c r="BCH27" s="1"/>
      <c r="BCI27" s="1"/>
      <c r="BCJ27" s="1"/>
      <c r="BCK27" s="1"/>
      <c r="BCL27" s="1"/>
      <c r="BCM27" s="1"/>
      <c r="BCN27" s="1"/>
      <c r="BCO27" s="1"/>
      <c r="BCP27" s="1"/>
      <c r="BCQ27" s="1"/>
      <c r="BCR27" s="1"/>
      <c r="BCS27" s="1"/>
      <c r="BCT27" s="1"/>
      <c r="BCU27" s="1"/>
      <c r="BCV27" s="1"/>
      <c r="BCW27" s="1"/>
      <c r="BCX27" s="1"/>
      <c r="BCY27" s="1"/>
      <c r="BCZ27" s="1"/>
      <c r="BDA27" s="1"/>
      <c r="BDB27" s="1"/>
      <c r="BDC27" s="1"/>
      <c r="BDD27" s="1"/>
      <c r="BDE27" s="1"/>
      <c r="BDF27" s="1"/>
      <c r="BDG27" s="1"/>
      <c r="BDH27" s="1"/>
      <c r="BDI27" s="1"/>
      <c r="BDJ27" s="1"/>
      <c r="BDK27" s="1"/>
      <c r="BDL27" s="1"/>
      <c r="BDM27" s="1"/>
      <c r="BDN27" s="1"/>
      <c r="BDO27" s="1"/>
      <c r="BDP27" s="1"/>
      <c r="BDQ27" s="1"/>
      <c r="BDR27" s="1"/>
      <c r="BDS27" s="1"/>
      <c r="BDT27" s="1"/>
      <c r="BDU27" s="1"/>
      <c r="BDV27" s="1"/>
      <c r="BDW27" s="1"/>
      <c r="BDX27" s="1"/>
      <c r="BDY27" s="1"/>
      <c r="BDZ27" s="1"/>
      <c r="BEA27" s="1"/>
      <c r="BEB27" s="1"/>
      <c r="BEC27" s="1"/>
      <c r="BED27" s="1"/>
      <c r="BEE27" s="1"/>
      <c r="BEF27" s="1"/>
      <c r="BEG27" s="1"/>
      <c r="BEH27" s="1"/>
      <c r="BEI27" s="1"/>
      <c r="BEJ27" s="1"/>
      <c r="BEK27" s="1"/>
      <c r="BEL27" s="1"/>
      <c r="BEM27" s="1"/>
      <c r="BEN27" s="1"/>
      <c r="BEO27" s="1"/>
      <c r="BEP27" s="1"/>
      <c r="BEQ27" s="1"/>
      <c r="BER27" s="1"/>
      <c r="BES27" s="1"/>
      <c r="BET27" s="1"/>
      <c r="BEU27" s="1"/>
      <c r="BEV27" s="1"/>
      <c r="BEW27" s="1"/>
      <c r="BEX27" s="1"/>
      <c r="BEY27" s="1"/>
      <c r="BEZ27" s="1"/>
      <c r="BFA27" s="1"/>
      <c r="BFB27" s="1"/>
      <c r="BFC27" s="1"/>
      <c r="BFD27" s="1"/>
      <c r="BFE27" s="1"/>
      <c r="BFF27" s="1"/>
      <c r="BFG27" s="1"/>
      <c r="BFH27" s="1"/>
      <c r="BFI27" s="1"/>
      <c r="BFJ27" s="1"/>
      <c r="BFK27" s="1"/>
      <c r="BFL27" s="1"/>
      <c r="BFM27" s="1"/>
      <c r="BFN27" s="1"/>
      <c r="BFO27" s="1"/>
      <c r="BFP27" s="1"/>
      <c r="BFQ27" s="1"/>
      <c r="BFR27" s="1"/>
      <c r="BFS27" s="1"/>
      <c r="BFT27" s="1"/>
      <c r="BFU27" s="1"/>
      <c r="BFV27" s="1"/>
      <c r="BFW27" s="1"/>
      <c r="BFX27" s="1"/>
      <c r="BFY27" s="1"/>
      <c r="BFZ27" s="1"/>
      <c r="BGA27" s="1"/>
      <c r="BGB27" s="1"/>
      <c r="BGC27" s="1"/>
      <c r="BGD27" s="1"/>
      <c r="BGE27" s="1"/>
      <c r="BGF27" s="1"/>
      <c r="BGG27" s="1"/>
      <c r="BGH27" s="1"/>
      <c r="BGI27" s="1"/>
      <c r="BGJ27" s="1"/>
      <c r="BGK27" s="1"/>
      <c r="BGL27" s="1"/>
      <c r="BGM27" s="1"/>
      <c r="BGN27" s="1"/>
      <c r="BGO27" s="1"/>
      <c r="BGP27" s="1"/>
      <c r="BGQ27" s="1"/>
      <c r="BGR27" s="1"/>
      <c r="BGS27" s="1"/>
      <c r="BGT27" s="1"/>
      <c r="BGU27" s="1"/>
      <c r="BGV27" s="1"/>
      <c r="BGW27" s="1"/>
      <c r="BGX27" s="1"/>
      <c r="BGY27" s="1"/>
      <c r="BGZ27" s="1"/>
      <c r="BHA27" s="1"/>
      <c r="BHB27" s="1"/>
      <c r="BHC27" s="1"/>
      <c r="BHD27" s="1"/>
      <c r="BHE27" s="1"/>
      <c r="BHF27" s="1"/>
      <c r="BHG27" s="1"/>
      <c r="BHH27" s="1"/>
      <c r="BHI27" s="1"/>
      <c r="BHJ27" s="1"/>
      <c r="BHK27" s="1"/>
      <c r="BHL27" s="1"/>
      <c r="BHM27" s="1"/>
      <c r="BHN27" s="1"/>
      <c r="BHO27" s="1"/>
      <c r="BHP27" s="1"/>
      <c r="BHQ27" s="1"/>
      <c r="BHR27" s="1"/>
      <c r="BHS27" s="1"/>
      <c r="BHT27" s="1"/>
      <c r="BHU27" s="1"/>
      <c r="BHV27" s="1"/>
      <c r="BHW27" s="1"/>
      <c r="BHX27" s="1"/>
      <c r="BHY27" s="1"/>
      <c r="BHZ27" s="1"/>
      <c r="BIA27" s="1"/>
      <c r="BIB27" s="1"/>
      <c r="BIC27" s="1"/>
      <c r="BID27" s="1"/>
      <c r="BIE27" s="1"/>
      <c r="BIF27" s="1"/>
      <c r="BIG27" s="1"/>
      <c r="BIH27" s="1"/>
      <c r="BII27" s="1"/>
      <c r="BIJ27" s="1"/>
      <c r="BIK27" s="1"/>
      <c r="BIL27" s="1"/>
      <c r="BIM27" s="1"/>
      <c r="BIN27" s="1"/>
      <c r="BIO27" s="1"/>
      <c r="BIP27" s="1"/>
      <c r="BIQ27" s="1"/>
      <c r="BIR27" s="1"/>
      <c r="BIS27" s="1"/>
      <c r="BIT27" s="1"/>
      <c r="BIU27" s="1"/>
      <c r="BIV27" s="1"/>
      <c r="BIW27" s="1"/>
      <c r="BIX27" s="1"/>
      <c r="BIY27" s="1"/>
      <c r="BIZ27" s="1"/>
      <c r="BJA27" s="1"/>
      <c r="BJB27" s="1"/>
      <c r="BJC27" s="1"/>
      <c r="BJD27" s="1"/>
      <c r="BJE27" s="1"/>
      <c r="BJF27" s="1"/>
      <c r="BJG27" s="1"/>
      <c r="BJH27" s="1"/>
      <c r="BJI27" s="1"/>
      <c r="BJJ27" s="1"/>
      <c r="BJK27" s="1"/>
      <c r="BJL27" s="1"/>
      <c r="BJM27" s="1"/>
      <c r="BJN27" s="1"/>
      <c r="BJO27" s="1"/>
      <c r="BJP27" s="1"/>
      <c r="BJQ27" s="1"/>
      <c r="BJR27" s="1"/>
      <c r="BJS27" s="1"/>
      <c r="BJT27" s="1"/>
      <c r="BJU27" s="1"/>
      <c r="BJV27" s="1"/>
      <c r="BJW27" s="1"/>
      <c r="BJX27" s="1"/>
      <c r="BJY27" s="1"/>
      <c r="BJZ27" s="1"/>
      <c r="BKA27" s="1"/>
      <c r="BKB27" s="1"/>
      <c r="BKC27" s="1"/>
      <c r="BKD27" s="1"/>
      <c r="BKE27" s="1"/>
      <c r="BKF27" s="1"/>
      <c r="BKG27" s="1"/>
      <c r="BKH27" s="1"/>
      <c r="BKI27" s="1"/>
      <c r="BKJ27" s="1"/>
      <c r="BKK27" s="1"/>
      <c r="BKL27" s="1"/>
      <c r="BKM27" s="1"/>
      <c r="BKN27" s="1"/>
      <c r="BKO27" s="1"/>
      <c r="BKP27" s="1"/>
      <c r="BKQ27" s="1"/>
      <c r="BKR27" s="1"/>
      <c r="BKS27" s="1"/>
      <c r="BKT27" s="1"/>
      <c r="BKU27" s="1"/>
      <c r="BKV27" s="1"/>
      <c r="BKW27" s="1"/>
      <c r="BKX27" s="1"/>
      <c r="BKY27" s="1"/>
      <c r="BKZ27" s="1"/>
      <c r="BLA27" s="1"/>
      <c r="BLB27" s="1"/>
      <c r="BLC27" s="1"/>
      <c r="BLD27" s="1"/>
      <c r="BLE27" s="1"/>
      <c r="BLF27" s="1"/>
      <c r="BLG27" s="1"/>
      <c r="BLH27" s="1"/>
      <c r="BLI27" s="1"/>
      <c r="BLJ27" s="1"/>
      <c r="BLK27" s="1"/>
      <c r="BLL27" s="1"/>
      <c r="BLM27" s="1"/>
      <c r="BLN27" s="1"/>
      <c r="BLO27" s="1"/>
      <c r="BLP27" s="1"/>
      <c r="BLQ27" s="1"/>
      <c r="BLR27" s="1"/>
      <c r="BLS27" s="1"/>
      <c r="BLT27" s="1"/>
      <c r="BLU27" s="1"/>
      <c r="BLV27" s="1"/>
      <c r="BLW27" s="1"/>
      <c r="BLX27" s="1"/>
      <c r="BLY27" s="1"/>
      <c r="BLZ27" s="1"/>
      <c r="BMA27" s="1"/>
      <c r="BMB27" s="1"/>
      <c r="BMC27" s="1"/>
      <c r="BMD27" s="1"/>
      <c r="BME27" s="1"/>
      <c r="BMF27" s="1"/>
      <c r="BMG27" s="1"/>
      <c r="BMH27" s="1"/>
      <c r="BMI27" s="1"/>
      <c r="BMJ27" s="1"/>
      <c r="BMK27" s="1"/>
      <c r="BML27" s="1"/>
      <c r="BMM27" s="1"/>
      <c r="BMN27" s="1"/>
      <c r="BMO27" s="1"/>
      <c r="BMP27" s="1"/>
      <c r="BMQ27" s="1"/>
      <c r="BMR27" s="1"/>
      <c r="BMS27" s="1"/>
      <c r="BMT27" s="1"/>
      <c r="BMU27" s="1"/>
      <c r="BMV27" s="1"/>
      <c r="BMW27" s="1"/>
      <c r="BMX27" s="1"/>
      <c r="BMY27" s="1"/>
      <c r="BMZ27" s="1"/>
      <c r="BNA27" s="1"/>
      <c r="BNB27" s="1"/>
      <c r="BNC27" s="1"/>
      <c r="BND27" s="1"/>
      <c r="BNE27" s="1"/>
      <c r="BNF27" s="1"/>
      <c r="BNG27" s="1"/>
      <c r="BNH27" s="1"/>
      <c r="BNI27" s="1"/>
      <c r="BNJ27" s="1"/>
      <c r="BNK27" s="1"/>
      <c r="BNL27" s="1"/>
      <c r="BNM27" s="1"/>
      <c r="BNN27" s="1"/>
      <c r="BNO27" s="1"/>
      <c r="BNP27" s="1"/>
      <c r="BNQ27" s="1"/>
      <c r="BNR27" s="1"/>
      <c r="BNS27" s="1"/>
      <c r="BNT27" s="1"/>
      <c r="BNU27" s="1"/>
      <c r="BNV27" s="1"/>
      <c r="BNW27" s="1"/>
      <c r="BNX27" s="1"/>
      <c r="BNY27" s="1"/>
      <c r="BNZ27" s="1"/>
      <c r="BOA27" s="1"/>
      <c r="BOB27" s="1"/>
      <c r="BOC27" s="1"/>
      <c r="BOD27" s="1"/>
      <c r="BOE27" s="1"/>
      <c r="BOF27" s="1"/>
      <c r="BOG27" s="1"/>
      <c r="BOH27" s="1"/>
      <c r="BOI27" s="1"/>
      <c r="BOJ27" s="1"/>
      <c r="BOK27" s="1"/>
      <c r="BOL27" s="1"/>
      <c r="BOM27" s="1"/>
      <c r="BON27" s="1"/>
      <c r="BOO27" s="1"/>
      <c r="BOP27" s="1"/>
      <c r="BOQ27" s="1"/>
      <c r="BOR27" s="1"/>
      <c r="BOS27" s="1"/>
      <c r="BOT27" s="1"/>
      <c r="BOU27" s="1"/>
      <c r="BOV27" s="1"/>
      <c r="BOW27" s="1"/>
      <c r="BOX27" s="1"/>
      <c r="BOY27" s="1"/>
      <c r="BOZ27" s="1"/>
      <c r="BPA27" s="1"/>
      <c r="BPB27" s="1"/>
      <c r="BPC27" s="1"/>
      <c r="BPD27" s="1"/>
      <c r="BPE27" s="1"/>
      <c r="BPF27" s="1"/>
      <c r="BPG27" s="1"/>
      <c r="BPH27" s="1"/>
      <c r="BPI27" s="1"/>
      <c r="BPJ27" s="1"/>
      <c r="BPK27" s="1"/>
      <c r="BPL27" s="1"/>
      <c r="BPM27" s="1"/>
      <c r="BPN27" s="1"/>
      <c r="BPO27" s="1"/>
      <c r="BPP27" s="1"/>
      <c r="BPQ27" s="1"/>
      <c r="BPR27" s="1"/>
      <c r="BPS27" s="1"/>
      <c r="BPT27" s="1"/>
      <c r="BPU27" s="1"/>
      <c r="BPV27" s="1"/>
      <c r="BPW27" s="1"/>
      <c r="BPX27" s="1"/>
      <c r="BPY27" s="1"/>
      <c r="BPZ27" s="1"/>
      <c r="BQA27" s="1"/>
      <c r="BQB27" s="1"/>
      <c r="BQC27" s="1"/>
      <c r="BQD27" s="1"/>
      <c r="BQE27" s="1"/>
      <c r="BQF27" s="1"/>
      <c r="BQG27" s="1"/>
      <c r="BQH27" s="1"/>
      <c r="BQI27" s="1"/>
      <c r="BQJ27" s="1"/>
      <c r="BQK27" s="1"/>
      <c r="BQL27" s="1"/>
      <c r="BQM27" s="1"/>
      <c r="BQN27" s="1"/>
      <c r="BQO27" s="1"/>
      <c r="BQP27" s="1"/>
      <c r="BQQ27" s="1"/>
      <c r="BQR27" s="1"/>
      <c r="BQS27" s="1"/>
      <c r="BQT27" s="1"/>
      <c r="BQU27" s="1"/>
      <c r="BQV27" s="1"/>
      <c r="BQW27" s="1"/>
      <c r="BQX27" s="1"/>
      <c r="BQY27" s="1"/>
      <c r="BQZ27" s="1"/>
      <c r="BRA27" s="1"/>
      <c r="BRB27" s="1"/>
      <c r="BRC27" s="1"/>
      <c r="BRD27" s="1"/>
      <c r="BRE27" s="1"/>
      <c r="BRF27" s="1"/>
      <c r="BRG27" s="1"/>
      <c r="BRH27" s="1"/>
      <c r="BRI27" s="1"/>
      <c r="BRJ27" s="1"/>
      <c r="BRK27" s="1"/>
      <c r="BRL27" s="1"/>
      <c r="BRM27" s="1"/>
      <c r="BRN27" s="1"/>
      <c r="BRO27" s="1"/>
      <c r="BRP27" s="1"/>
      <c r="BRQ27" s="1"/>
      <c r="BRR27" s="1"/>
      <c r="BRS27" s="1"/>
      <c r="BRT27" s="1"/>
      <c r="BRU27" s="1"/>
      <c r="BRV27" s="1"/>
      <c r="BRW27" s="1"/>
      <c r="BRX27" s="1"/>
      <c r="BRY27" s="1"/>
      <c r="BRZ27" s="1"/>
      <c r="BSA27" s="1"/>
      <c r="BSB27" s="1"/>
      <c r="BSC27" s="1"/>
      <c r="BSD27" s="1"/>
      <c r="BSE27" s="1"/>
      <c r="BSF27" s="1"/>
      <c r="BSG27" s="1"/>
      <c r="BSH27" s="1"/>
      <c r="BSI27" s="1"/>
      <c r="BSJ27" s="1"/>
      <c r="BSK27" s="1"/>
      <c r="BSL27" s="1"/>
      <c r="BSM27" s="1"/>
      <c r="BSN27" s="1"/>
      <c r="BSO27" s="1"/>
      <c r="BSP27" s="1"/>
      <c r="BSQ27" s="1"/>
      <c r="BSR27" s="1"/>
      <c r="BSS27" s="1"/>
      <c r="BST27" s="1"/>
      <c r="BSU27" s="1"/>
      <c r="BSV27" s="1"/>
      <c r="BSW27" s="1"/>
      <c r="BSX27" s="1"/>
      <c r="BSY27" s="1"/>
      <c r="BSZ27" s="1"/>
      <c r="BTA27" s="1"/>
      <c r="BTB27" s="1"/>
      <c r="BTC27" s="1"/>
      <c r="BTD27" s="1"/>
      <c r="BTE27" s="1"/>
      <c r="BTF27" s="1"/>
      <c r="BTG27" s="1"/>
      <c r="BTH27" s="1"/>
      <c r="BTI27" s="1"/>
      <c r="BTJ27" s="1"/>
      <c r="BTK27" s="1"/>
      <c r="BTL27" s="1"/>
      <c r="BTM27" s="1"/>
      <c r="BTN27" s="1"/>
      <c r="BTO27" s="1"/>
      <c r="BTP27" s="1"/>
      <c r="BTQ27" s="1"/>
      <c r="BTR27" s="1"/>
      <c r="BTS27" s="1"/>
      <c r="BTT27" s="1"/>
      <c r="BTU27" s="1"/>
      <c r="BTV27" s="1"/>
      <c r="BTW27" s="1"/>
      <c r="BTX27" s="1"/>
      <c r="BTY27" s="1"/>
      <c r="BTZ27" s="1"/>
      <c r="BUA27" s="1"/>
      <c r="BUB27" s="1"/>
      <c r="BUC27" s="1"/>
      <c r="BUD27" s="1"/>
      <c r="BUE27" s="1"/>
      <c r="BUF27" s="1"/>
      <c r="BUG27" s="1"/>
      <c r="BUH27" s="1"/>
      <c r="BUI27" s="1"/>
      <c r="BUJ27" s="1"/>
      <c r="BUK27" s="1"/>
      <c r="BUL27" s="1"/>
      <c r="BUM27" s="1"/>
      <c r="BUN27" s="1"/>
      <c r="BUO27" s="1"/>
      <c r="BUP27" s="1"/>
      <c r="BUQ27" s="1"/>
      <c r="BUR27" s="1"/>
      <c r="BUS27" s="1"/>
      <c r="BUT27" s="1"/>
      <c r="BUU27" s="1"/>
      <c r="BUV27" s="1"/>
      <c r="BUW27" s="1"/>
      <c r="BUX27" s="1"/>
      <c r="BUY27" s="1"/>
      <c r="BUZ27" s="1"/>
      <c r="BVA27" s="1"/>
      <c r="BVB27" s="1"/>
      <c r="BVC27" s="1"/>
      <c r="BVD27" s="1"/>
      <c r="BVE27" s="1"/>
      <c r="BVF27" s="1"/>
      <c r="BVG27" s="1"/>
      <c r="BVH27" s="1"/>
      <c r="BVI27" s="1"/>
      <c r="BVJ27" s="1"/>
      <c r="BVK27" s="1"/>
      <c r="BVL27" s="1"/>
      <c r="BVM27" s="1"/>
      <c r="BVN27" s="1"/>
      <c r="BVO27" s="1"/>
      <c r="BVP27" s="1"/>
      <c r="BVQ27" s="1"/>
      <c r="BVR27" s="1"/>
      <c r="BVS27" s="1"/>
      <c r="BVT27" s="1"/>
      <c r="BVU27" s="1"/>
      <c r="BVV27" s="1"/>
      <c r="BVW27" s="1"/>
      <c r="BVX27" s="1"/>
      <c r="BVY27" s="1"/>
      <c r="BVZ27" s="1"/>
      <c r="BWA27" s="1"/>
      <c r="BWB27" s="1"/>
      <c r="BWC27" s="1"/>
      <c r="BWD27" s="1"/>
      <c r="BWE27" s="1"/>
      <c r="BWF27" s="1"/>
      <c r="BWG27" s="1"/>
      <c r="BWH27" s="1"/>
      <c r="BWI27" s="1"/>
      <c r="BWJ27" s="1"/>
      <c r="BWK27" s="1"/>
      <c r="BWL27" s="1"/>
      <c r="BWM27" s="1"/>
      <c r="BWN27" s="1"/>
      <c r="BWO27" s="1"/>
      <c r="BWP27" s="1"/>
      <c r="BWQ27" s="1"/>
      <c r="BWR27" s="1"/>
      <c r="BWS27" s="1"/>
      <c r="BWT27" s="1"/>
      <c r="BWU27" s="1"/>
      <c r="BWV27" s="1"/>
      <c r="BWW27" s="1"/>
      <c r="BWX27" s="1"/>
      <c r="BWY27" s="1"/>
      <c r="BWZ27" s="1"/>
      <c r="BXA27" s="1"/>
      <c r="BXB27" s="1"/>
      <c r="BXC27" s="1"/>
      <c r="BXD27" s="1"/>
      <c r="BXE27" s="1"/>
      <c r="BXF27" s="1"/>
      <c r="BXG27" s="1"/>
      <c r="BXH27" s="1"/>
      <c r="BXI27" s="1"/>
      <c r="BXJ27" s="1"/>
      <c r="BXK27" s="1"/>
      <c r="BXL27" s="1"/>
      <c r="BXM27" s="1"/>
      <c r="BXN27" s="1"/>
      <c r="BXO27" s="1"/>
      <c r="BXP27" s="1"/>
      <c r="BXQ27" s="1"/>
      <c r="BXR27" s="1"/>
      <c r="BXS27" s="1"/>
      <c r="BXT27" s="1"/>
      <c r="BXU27" s="1"/>
      <c r="BXV27" s="1"/>
      <c r="BXW27" s="1"/>
      <c r="BXX27" s="1"/>
      <c r="BXY27" s="1"/>
      <c r="BXZ27" s="1"/>
      <c r="BYA27" s="1"/>
      <c r="BYB27" s="1"/>
      <c r="BYC27" s="1"/>
      <c r="BYD27" s="1"/>
      <c r="BYE27" s="1"/>
      <c r="BYF27" s="1"/>
      <c r="BYG27" s="1"/>
      <c r="BYH27" s="1"/>
      <c r="BYI27" s="1"/>
      <c r="BYJ27" s="1"/>
      <c r="BYK27" s="1"/>
      <c r="BYL27" s="1"/>
      <c r="BYM27" s="1"/>
      <c r="BYN27" s="1"/>
      <c r="BYO27" s="1"/>
      <c r="BYP27" s="1"/>
      <c r="BYQ27" s="1"/>
      <c r="BYR27" s="1"/>
      <c r="BYS27" s="1"/>
      <c r="BYT27" s="1"/>
      <c r="BYU27" s="1"/>
      <c r="BYV27" s="1"/>
      <c r="BYW27" s="1"/>
      <c r="BYX27" s="1"/>
      <c r="BYY27" s="1"/>
      <c r="BYZ27" s="1"/>
      <c r="BZA27" s="1"/>
      <c r="BZB27" s="1"/>
      <c r="BZC27" s="1"/>
      <c r="BZD27" s="1"/>
      <c r="BZE27" s="1"/>
      <c r="BZF27" s="1"/>
      <c r="BZG27" s="1"/>
      <c r="BZH27" s="1"/>
      <c r="BZI27" s="1"/>
      <c r="BZJ27" s="1"/>
      <c r="BZK27" s="1"/>
      <c r="BZL27" s="1"/>
      <c r="BZM27" s="1"/>
      <c r="BZN27" s="1"/>
      <c r="BZO27" s="1"/>
      <c r="BZP27" s="1"/>
      <c r="BZQ27" s="1"/>
      <c r="BZR27" s="1"/>
      <c r="BZS27" s="1"/>
      <c r="BZT27" s="1"/>
      <c r="BZU27" s="1"/>
      <c r="BZV27" s="1"/>
      <c r="BZW27" s="1"/>
      <c r="BZX27" s="1"/>
      <c r="BZY27" s="1"/>
      <c r="BZZ27" s="1"/>
      <c r="CAA27" s="1"/>
      <c r="CAB27" s="1"/>
      <c r="CAC27" s="1"/>
      <c r="CAD27" s="1"/>
      <c r="CAE27" s="1"/>
      <c r="CAF27" s="1"/>
      <c r="CAG27" s="1"/>
      <c r="CAH27" s="1"/>
      <c r="CAI27" s="1"/>
      <c r="CAJ27" s="1"/>
      <c r="CAK27" s="1"/>
      <c r="CAL27" s="1"/>
      <c r="CAM27" s="1"/>
      <c r="CAN27" s="1"/>
      <c r="CAO27" s="1"/>
      <c r="CAP27" s="1"/>
      <c r="CAQ27" s="1"/>
      <c r="CAR27" s="1"/>
      <c r="CAS27" s="1"/>
      <c r="CAT27" s="1"/>
      <c r="CAU27" s="1"/>
      <c r="CAV27" s="1"/>
      <c r="CAW27" s="1"/>
      <c r="CAX27" s="1"/>
      <c r="CAY27" s="1"/>
      <c r="CAZ27" s="1"/>
      <c r="CBA27" s="1"/>
      <c r="CBB27" s="1"/>
      <c r="CBC27" s="1"/>
      <c r="CBD27" s="1"/>
      <c r="CBE27" s="1"/>
      <c r="CBF27" s="1"/>
      <c r="CBG27" s="1"/>
      <c r="CBH27" s="1"/>
      <c r="CBI27" s="1"/>
      <c r="CBJ27" s="1"/>
      <c r="CBK27" s="1"/>
      <c r="CBL27" s="1"/>
      <c r="CBM27" s="1"/>
      <c r="CBN27" s="1"/>
      <c r="CBO27" s="1"/>
      <c r="CBP27" s="1"/>
      <c r="CBQ27" s="1"/>
      <c r="CBR27" s="1"/>
      <c r="CBS27" s="1"/>
      <c r="CBT27" s="1"/>
      <c r="CBU27" s="1"/>
      <c r="CBV27" s="1"/>
      <c r="CBW27" s="1"/>
      <c r="CBX27" s="1"/>
      <c r="CBY27" s="1"/>
      <c r="CBZ27" s="1"/>
      <c r="CCA27" s="1"/>
      <c r="CCB27" s="1"/>
      <c r="CCC27" s="1"/>
      <c r="CCD27" s="1"/>
      <c r="CCE27" s="1"/>
      <c r="CCF27" s="1"/>
      <c r="CCG27" s="1"/>
      <c r="CCH27" s="1"/>
      <c r="CCI27" s="1"/>
      <c r="CCJ27" s="1"/>
      <c r="CCK27" s="1"/>
      <c r="CCL27" s="1"/>
      <c r="CCM27" s="1"/>
      <c r="CCN27" s="1"/>
      <c r="CCO27" s="1"/>
      <c r="CCP27" s="1"/>
      <c r="CCQ27" s="1"/>
      <c r="CCR27" s="1"/>
      <c r="CCS27" s="1"/>
      <c r="CCT27" s="1"/>
      <c r="CCU27" s="1"/>
      <c r="CCV27" s="1"/>
      <c r="CCW27" s="1"/>
      <c r="CCX27" s="1"/>
      <c r="CCY27" s="1"/>
      <c r="CCZ27" s="1"/>
      <c r="CDA27" s="1"/>
      <c r="CDB27" s="1"/>
      <c r="CDC27" s="1"/>
      <c r="CDD27" s="1"/>
      <c r="CDE27" s="1"/>
      <c r="CDF27" s="1"/>
      <c r="CDG27" s="1"/>
      <c r="CDH27" s="1"/>
      <c r="CDI27" s="1"/>
      <c r="CDJ27" s="1"/>
      <c r="CDK27" s="1"/>
      <c r="CDL27" s="1"/>
      <c r="CDM27" s="1"/>
      <c r="CDN27" s="1"/>
      <c r="CDO27" s="1"/>
      <c r="CDP27" s="1"/>
      <c r="CDQ27" s="1"/>
      <c r="CDR27" s="1"/>
      <c r="CDS27" s="1"/>
      <c r="CDT27" s="1"/>
      <c r="CDU27" s="1"/>
      <c r="CDV27" s="1"/>
      <c r="CDW27" s="1"/>
      <c r="CDX27" s="1"/>
      <c r="CDY27" s="1"/>
      <c r="CDZ27" s="1"/>
      <c r="CEA27" s="1"/>
      <c r="CEB27" s="1"/>
      <c r="CEC27" s="1"/>
      <c r="CED27" s="1"/>
      <c r="CEE27" s="1"/>
      <c r="CEF27" s="1"/>
      <c r="CEG27" s="1"/>
      <c r="CEH27" s="1"/>
      <c r="CEI27" s="1"/>
      <c r="CEJ27" s="1"/>
      <c r="CEK27" s="1"/>
      <c r="CEL27" s="1"/>
      <c r="CEM27" s="1"/>
      <c r="CEN27" s="1"/>
      <c r="CEO27" s="1"/>
      <c r="CEP27" s="1"/>
      <c r="CEQ27" s="1"/>
      <c r="CER27" s="1"/>
      <c r="CES27" s="1"/>
      <c r="CET27" s="1"/>
      <c r="CEU27" s="1"/>
      <c r="CEV27" s="1"/>
      <c r="CEW27" s="1"/>
      <c r="CEX27" s="1"/>
      <c r="CEY27" s="1"/>
      <c r="CEZ27" s="1"/>
      <c r="CFA27" s="1"/>
      <c r="CFB27" s="1"/>
      <c r="CFC27" s="1"/>
      <c r="CFD27" s="1"/>
      <c r="CFE27" s="1"/>
      <c r="CFF27" s="1"/>
      <c r="CFG27" s="1"/>
      <c r="CFH27" s="1"/>
      <c r="CFI27" s="1"/>
      <c r="CFJ27" s="1"/>
      <c r="CFK27" s="1"/>
      <c r="CFL27" s="1"/>
      <c r="CFM27" s="1"/>
      <c r="CFN27" s="1"/>
      <c r="CFO27" s="1"/>
      <c r="CFP27" s="1"/>
      <c r="CFQ27" s="1"/>
      <c r="CFR27" s="1"/>
      <c r="CFS27" s="1"/>
      <c r="CFT27" s="1"/>
      <c r="CFU27" s="1"/>
      <c r="CFV27" s="1"/>
      <c r="CFW27" s="1"/>
      <c r="CFX27" s="1"/>
      <c r="CFY27" s="1"/>
      <c r="CFZ27" s="1"/>
      <c r="CGA27" s="1"/>
      <c r="CGB27" s="1"/>
      <c r="CGC27" s="1"/>
      <c r="CGD27" s="1"/>
      <c r="CGE27" s="1"/>
      <c r="CGF27" s="1"/>
      <c r="CGG27" s="1"/>
      <c r="CGH27" s="1"/>
      <c r="CGI27" s="1"/>
      <c r="CGJ27" s="1"/>
      <c r="CGK27" s="1"/>
      <c r="CGL27" s="1"/>
      <c r="CGM27" s="1"/>
      <c r="CGN27" s="1"/>
      <c r="CGO27" s="1"/>
      <c r="CGP27" s="1"/>
      <c r="CGQ27" s="1"/>
      <c r="CGR27" s="1"/>
      <c r="CGS27" s="1"/>
      <c r="CGT27" s="1"/>
      <c r="CGU27" s="1"/>
      <c r="CGV27" s="1"/>
      <c r="CGW27" s="1"/>
      <c r="CGX27" s="1"/>
      <c r="CGY27" s="1"/>
      <c r="CGZ27" s="1"/>
      <c r="CHA27" s="1"/>
      <c r="CHB27" s="1"/>
      <c r="CHC27" s="1"/>
      <c r="CHD27" s="1"/>
      <c r="CHE27" s="1"/>
      <c r="CHF27" s="1"/>
      <c r="CHG27" s="1"/>
      <c r="CHH27" s="1"/>
      <c r="CHI27" s="1"/>
      <c r="CHJ27" s="1"/>
      <c r="CHK27" s="1"/>
      <c r="CHL27" s="1"/>
      <c r="CHM27" s="1"/>
      <c r="CHN27" s="1"/>
      <c r="CHO27" s="1"/>
      <c r="CHP27" s="1"/>
      <c r="CHQ27" s="1"/>
      <c r="CHR27" s="1"/>
      <c r="CHS27" s="1"/>
      <c r="CHT27" s="1"/>
      <c r="CHU27" s="1"/>
      <c r="CHV27" s="1"/>
      <c r="CHW27" s="1"/>
      <c r="CHX27" s="1"/>
      <c r="CHY27" s="1"/>
      <c r="CHZ27" s="1"/>
      <c r="CIA27" s="1"/>
      <c r="CIB27" s="1"/>
      <c r="CIC27" s="1"/>
      <c r="CID27" s="1"/>
      <c r="CIE27" s="1"/>
      <c r="CIF27" s="1"/>
      <c r="CIG27" s="1"/>
      <c r="CIH27" s="1"/>
      <c r="CII27" s="1"/>
      <c r="CIJ27" s="1"/>
      <c r="CIK27" s="1"/>
      <c r="CIL27" s="1"/>
      <c r="CIM27" s="1"/>
      <c r="CIN27" s="1"/>
      <c r="CIO27" s="1"/>
      <c r="CIP27" s="1"/>
      <c r="CIQ27" s="1"/>
      <c r="CIR27" s="1"/>
      <c r="CIS27" s="1"/>
      <c r="CIT27" s="1"/>
      <c r="CIU27" s="1"/>
      <c r="CIV27" s="1"/>
      <c r="CIW27" s="1"/>
      <c r="CIX27" s="1"/>
      <c r="CIY27" s="1"/>
      <c r="CIZ27" s="1"/>
      <c r="CJA27" s="1"/>
      <c r="CJB27" s="1"/>
      <c r="CJC27" s="1"/>
      <c r="CJD27" s="1"/>
      <c r="CJE27" s="1"/>
      <c r="CJF27" s="1"/>
      <c r="CJG27" s="1"/>
      <c r="CJH27" s="1"/>
      <c r="CJI27" s="1"/>
      <c r="CJJ27" s="1"/>
      <c r="CJK27" s="1"/>
      <c r="CJL27" s="1"/>
      <c r="CJM27" s="1"/>
      <c r="CJN27" s="1"/>
      <c r="CJO27" s="1"/>
      <c r="CJP27" s="1"/>
      <c r="CJQ27" s="1"/>
      <c r="CJR27" s="1"/>
      <c r="CJS27" s="1"/>
      <c r="CJT27" s="1"/>
      <c r="CJU27" s="1"/>
      <c r="CJV27" s="1"/>
      <c r="CJW27" s="1"/>
      <c r="CJX27" s="1"/>
      <c r="CJY27" s="1"/>
      <c r="CJZ27" s="1"/>
      <c r="CKA27" s="1"/>
      <c r="CKB27" s="1"/>
      <c r="CKC27" s="1"/>
      <c r="CKD27" s="1"/>
      <c r="CKE27" s="1"/>
      <c r="CKF27" s="1"/>
      <c r="CKG27" s="1"/>
      <c r="CKH27" s="1"/>
      <c r="CKI27" s="1"/>
      <c r="CKJ27" s="1"/>
      <c r="CKK27" s="1"/>
      <c r="CKL27" s="1"/>
      <c r="CKM27" s="1"/>
      <c r="CKN27" s="1"/>
      <c r="CKO27" s="1"/>
      <c r="CKP27" s="1"/>
      <c r="CKQ27" s="1"/>
      <c r="CKR27" s="1"/>
      <c r="CKS27" s="1"/>
      <c r="CKT27" s="1"/>
      <c r="CKU27" s="1"/>
      <c r="CKV27" s="1"/>
      <c r="CKW27" s="1"/>
      <c r="CKX27" s="1"/>
      <c r="CKY27" s="1"/>
      <c r="CKZ27" s="1"/>
      <c r="CLA27" s="1"/>
      <c r="CLB27" s="1"/>
      <c r="CLC27" s="1"/>
      <c r="CLD27" s="1"/>
      <c r="CLE27" s="1"/>
      <c r="CLF27" s="1"/>
      <c r="CLG27" s="1"/>
      <c r="CLH27" s="1"/>
      <c r="CLI27" s="1"/>
      <c r="CLJ27" s="1"/>
      <c r="CLK27" s="1"/>
      <c r="CLL27" s="1"/>
      <c r="CLM27" s="1"/>
      <c r="CLN27" s="1"/>
      <c r="CLO27" s="1"/>
      <c r="CLP27" s="1"/>
      <c r="CLQ27" s="1"/>
      <c r="CLR27" s="1"/>
      <c r="CLS27" s="1"/>
      <c r="CLT27" s="1"/>
      <c r="CLU27" s="1"/>
      <c r="CLV27" s="1"/>
      <c r="CLW27" s="1"/>
      <c r="CLX27" s="1"/>
      <c r="CLY27" s="1"/>
      <c r="CLZ27" s="1"/>
      <c r="CMA27" s="1"/>
      <c r="CMB27" s="1"/>
      <c r="CMC27" s="1"/>
      <c r="CMD27" s="1"/>
      <c r="CME27" s="1"/>
      <c r="CMF27" s="1"/>
      <c r="CMG27" s="1"/>
      <c r="CMH27" s="1"/>
      <c r="CMI27" s="1"/>
      <c r="CMJ27" s="1"/>
      <c r="CMK27" s="1"/>
      <c r="CML27" s="1"/>
      <c r="CMM27" s="1"/>
      <c r="CMN27" s="1"/>
      <c r="CMO27" s="1"/>
      <c r="CMP27" s="1"/>
      <c r="CMQ27" s="1"/>
      <c r="CMR27" s="1"/>
      <c r="CMS27" s="1"/>
      <c r="CMT27" s="1"/>
      <c r="CMU27" s="1"/>
      <c r="CMV27" s="1"/>
      <c r="CMW27" s="1"/>
      <c r="CMX27" s="1"/>
      <c r="CMY27" s="1"/>
      <c r="CMZ27" s="1"/>
      <c r="CNA27" s="1"/>
      <c r="CNB27" s="1"/>
      <c r="CNC27" s="1"/>
      <c r="CND27" s="1"/>
      <c r="CNE27" s="1"/>
      <c r="CNF27" s="1"/>
      <c r="CNG27" s="1"/>
      <c r="CNH27" s="1"/>
      <c r="CNI27" s="1"/>
      <c r="CNJ27" s="1"/>
      <c r="CNK27" s="1"/>
      <c r="CNL27" s="1"/>
      <c r="CNM27" s="1"/>
      <c r="CNN27" s="1"/>
      <c r="CNO27" s="1"/>
      <c r="CNP27" s="1"/>
      <c r="CNQ27" s="1"/>
      <c r="CNR27" s="1"/>
      <c r="CNS27" s="1"/>
      <c r="CNT27" s="1"/>
      <c r="CNU27" s="1"/>
      <c r="CNV27" s="1"/>
      <c r="CNW27" s="1"/>
      <c r="CNX27" s="1"/>
      <c r="CNY27" s="1"/>
      <c r="CNZ27" s="1"/>
      <c r="COA27" s="1"/>
      <c r="COB27" s="1"/>
      <c r="COC27" s="1"/>
      <c r="COD27" s="1"/>
      <c r="COE27" s="1"/>
      <c r="COF27" s="1"/>
      <c r="COG27" s="1"/>
      <c r="COH27" s="1"/>
      <c r="COI27" s="1"/>
      <c r="COJ27" s="1"/>
      <c r="COK27" s="1"/>
      <c r="COL27" s="1"/>
      <c r="COM27" s="1"/>
      <c r="CON27" s="1"/>
      <c r="COO27" s="1"/>
      <c r="COP27" s="1"/>
      <c r="COQ27" s="1"/>
      <c r="COR27" s="1"/>
      <c r="COS27" s="1"/>
      <c r="COT27" s="1"/>
      <c r="COU27" s="1"/>
      <c r="COV27" s="1"/>
      <c r="COW27" s="1"/>
      <c r="COX27" s="1"/>
      <c r="COY27" s="1"/>
      <c r="COZ27" s="1"/>
      <c r="CPA27" s="1"/>
      <c r="CPB27" s="1"/>
      <c r="CPC27" s="1"/>
      <c r="CPD27" s="1"/>
      <c r="CPE27" s="1"/>
      <c r="CPF27" s="1"/>
      <c r="CPG27" s="1"/>
      <c r="CPH27" s="1"/>
      <c r="CPI27" s="1"/>
      <c r="CPJ27" s="1"/>
      <c r="CPK27" s="1"/>
      <c r="CPL27" s="1"/>
      <c r="CPM27" s="1"/>
      <c r="CPN27" s="1"/>
      <c r="CPO27" s="1"/>
      <c r="CPP27" s="1"/>
      <c r="CPQ27" s="1"/>
      <c r="CPR27" s="1"/>
      <c r="CPS27" s="1"/>
      <c r="CPT27" s="1"/>
      <c r="CPU27" s="1"/>
      <c r="CPV27" s="1"/>
      <c r="CPW27" s="1"/>
      <c r="CPX27" s="1"/>
      <c r="CPY27" s="1"/>
      <c r="CPZ27" s="1"/>
      <c r="CQA27" s="1"/>
      <c r="CQB27" s="1"/>
      <c r="CQC27" s="1"/>
      <c r="CQD27" s="1"/>
      <c r="CQE27" s="1"/>
      <c r="CQF27" s="1"/>
      <c r="CQG27" s="1"/>
      <c r="CQH27" s="1"/>
      <c r="CQI27" s="1"/>
      <c r="CQJ27" s="1"/>
      <c r="CQK27" s="1"/>
      <c r="CQL27" s="1"/>
      <c r="CQM27" s="1"/>
      <c r="CQN27" s="1"/>
      <c r="CQO27" s="1"/>
      <c r="CQP27" s="1"/>
      <c r="CQQ27" s="1"/>
      <c r="CQR27" s="1"/>
      <c r="CQS27" s="1"/>
      <c r="CQT27" s="1"/>
      <c r="CQU27" s="1"/>
      <c r="CQV27" s="1"/>
      <c r="CQW27" s="1"/>
      <c r="CQX27" s="1"/>
      <c r="CQY27" s="1"/>
      <c r="CQZ27" s="1"/>
      <c r="CRA27" s="1"/>
      <c r="CRB27" s="1"/>
      <c r="CRC27" s="1"/>
      <c r="CRD27" s="1"/>
      <c r="CRE27" s="1"/>
      <c r="CRF27" s="1"/>
      <c r="CRG27" s="1"/>
      <c r="CRH27" s="1"/>
      <c r="CRI27" s="1"/>
      <c r="CRJ27" s="1"/>
      <c r="CRK27" s="1"/>
      <c r="CRL27" s="1"/>
      <c r="CRM27" s="1"/>
      <c r="CRN27" s="1"/>
      <c r="CRO27" s="1"/>
      <c r="CRP27" s="1"/>
      <c r="CRQ27" s="1"/>
      <c r="CRR27" s="1"/>
      <c r="CRS27" s="1"/>
      <c r="CRT27" s="1"/>
      <c r="CRU27" s="1"/>
      <c r="CRV27" s="1"/>
      <c r="CRW27" s="1"/>
      <c r="CRX27" s="1"/>
      <c r="CRY27" s="1"/>
      <c r="CRZ27" s="1"/>
      <c r="CSA27" s="1"/>
      <c r="CSB27" s="1"/>
      <c r="CSC27" s="1"/>
      <c r="CSD27" s="1"/>
      <c r="CSE27" s="1"/>
      <c r="CSF27" s="1"/>
      <c r="CSG27" s="1"/>
      <c r="CSH27" s="1"/>
      <c r="CSI27" s="1"/>
      <c r="CSJ27" s="1"/>
      <c r="CSK27" s="1"/>
      <c r="CSL27" s="1"/>
      <c r="CSM27" s="1"/>
      <c r="CSN27" s="1"/>
      <c r="CSO27" s="1"/>
      <c r="CSP27" s="1"/>
      <c r="CSQ27" s="1"/>
      <c r="CSR27" s="1"/>
      <c r="CSS27" s="1"/>
      <c r="CST27" s="1"/>
      <c r="CSU27" s="1"/>
      <c r="CSV27" s="1"/>
      <c r="CSW27" s="1"/>
      <c r="CSX27" s="1"/>
      <c r="CSY27" s="1"/>
      <c r="CSZ27" s="1"/>
      <c r="CTA27" s="1"/>
      <c r="CTB27" s="1"/>
      <c r="CTC27" s="1"/>
      <c r="CTD27" s="1"/>
      <c r="CTE27" s="1"/>
      <c r="CTF27" s="1"/>
      <c r="CTG27" s="1"/>
      <c r="CTH27" s="1"/>
      <c r="CTI27" s="1"/>
      <c r="CTJ27" s="1"/>
      <c r="CTK27" s="1"/>
      <c r="CTL27" s="1"/>
      <c r="CTM27" s="1"/>
      <c r="CTN27" s="1"/>
      <c r="CTO27" s="1"/>
      <c r="CTP27" s="1"/>
      <c r="CTQ27" s="1"/>
      <c r="CTR27" s="1"/>
      <c r="CTS27" s="1"/>
      <c r="CTT27" s="1"/>
      <c r="CTU27" s="1"/>
      <c r="CTV27" s="1"/>
      <c r="CTW27" s="1"/>
      <c r="CTX27" s="1"/>
      <c r="CTY27" s="1"/>
      <c r="CTZ27" s="1"/>
      <c r="CUA27" s="1"/>
      <c r="CUB27" s="1"/>
      <c r="CUC27" s="1"/>
      <c r="CUD27" s="1"/>
      <c r="CUE27" s="1"/>
      <c r="CUF27" s="1"/>
      <c r="CUG27" s="1"/>
      <c r="CUH27" s="1"/>
      <c r="CUI27" s="1"/>
      <c r="CUJ27" s="1"/>
      <c r="CUK27" s="1"/>
      <c r="CUL27" s="1"/>
      <c r="CUM27" s="1"/>
      <c r="CUN27" s="1"/>
      <c r="CUO27" s="1"/>
      <c r="CUP27" s="1"/>
      <c r="CUQ27" s="1"/>
      <c r="CUR27" s="1"/>
      <c r="CUS27" s="1"/>
      <c r="CUT27" s="1"/>
      <c r="CUU27" s="1"/>
      <c r="CUV27" s="1"/>
      <c r="CUW27" s="1"/>
      <c r="CUX27" s="1"/>
      <c r="CUY27" s="1"/>
      <c r="CUZ27" s="1"/>
      <c r="CVA27" s="1"/>
      <c r="CVB27" s="1"/>
      <c r="CVC27" s="1"/>
      <c r="CVD27" s="1"/>
      <c r="CVE27" s="1"/>
      <c r="CVF27" s="1"/>
      <c r="CVG27" s="1"/>
      <c r="CVH27" s="1"/>
      <c r="CVI27" s="1"/>
      <c r="CVJ27" s="1"/>
      <c r="CVK27" s="1"/>
      <c r="CVL27" s="1"/>
      <c r="CVM27" s="1"/>
      <c r="CVN27" s="1"/>
      <c r="CVO27" s="1"/>
      <c r="CVP27" s="1"/>
      <c r="CVQ27" s="1"/>
      <c r="CVR27" s="1"/>
      <c r="CVS27" s="1"/>
      <c r="CVT27" s="1"/>
      <c r="CVU27" s="1"/>
      <c r="CVV27" s="1"/>
      <c r="CVW27" s="1"/>
      <c r="CVX27" s="1"/>
      <c r="CVY27" s="1"/>
      <c r="CVZ27" s="1"/>
      <c r="CWA27" s="1"/>
      <c r="CWB27" s="1"/>
      <c r="CWC27" s="1"/>
      <c r="CWD27" s="1"/>
      <c r="CWE27" s="1"/>
      <c r="CWF27" s="1"/>
      <c r="CWG27" s="1"/>
      <c r="CWH27" s="1"/>
      <c r="CWI27" s="1"/>
      <c r="CWJ27" s="1"/>
      <c r="CWK27" s="1"/>
      <c r="CWL27" s="1"/>
      <c r="CWM27" s="1"/>
      <c r="CWN27" s="1"/>
      <c r="CWO27" s="1"/>
      <c r="CWP27" s="1"/>
      <c r="CWQ27" s="1"/>
      <c r="CWR27" s="1"/>
      <c r="CWS27" s="1"/>
      <c r="CWT27" s="1"/>
      <c r="CWU27" s="1"/>
      <c r="CWV27" s="1"/>
      <c r="CWW27" s="1"/>
      <c r="CWX27" s="1"/>
      <c r="CWY27" s="1"/>
      <c r="CWZ27" s="1"/>
      <c r="CXA27" s="1"/>
      <c r="CXB27" s="1"/>
      <c r="CXC27" s="1"/>
      <c r="CXD27" s="1"/>
      <c r="CXE27" s="1"/>
      <c r="CXF27" s="1"/>
      <c r="CXG27" s="1"/>
      <c r="CXH27" s="1"/>
      <c r="CXI27" s="1"/>
      <c r="CXJ27" s="1"/>
      <c r="CXK27" s="1"/>
      <c r="CXL27" s="1"/>
      <c r="CXM27" s="1"/>
      <c r="CXN27" s="1"/>
      <c r="CXO27" s="1"/>
      <c r="CXP27" s="1"/>
      <c r="CXQ27" s="1"/>
      <c r="CXR27" s="1"/>
      <c r="CXS27" s="1"/>
      <c r="CXT27" s="1"/>
      <c r="CXU27" s="1"/>
      <c r="CXV27" s="1"/>
      <c r="CXW27" s="1"/>
      <c r="CXX27" s="1"/>
      <c r="CXY27" s="1"/>
      <c r="CXZ27" s="1"/>
      <c r="CYA27" s="1"/>
      <c r="CYB27" s="1"/>
      <c r="CYC27" s="1"/>
      <c r="CYD27" s="1"/>
      <c r="CYE27" s="1"/>
      <c r="CYF27" s="1"/>
      <c r="CYG27" s="1"/>
      <c r="CYH27" s="1"/>
      <c r="CYI27" s="1"/>
      <c r="CYJ27" s="1"/>
      <c r="CYK27" s="1"/>
      <c r="CYL27" s="1"/>
      <c r="CYM27" s="1"/>
      <c r="CYN27" s="1"/>
      <c r="CYO27" s="1"/>
      <c r="CYP27" s="1"/>
      <c r="CYQ27" s="1"/>
      <c r="CYR27" s="1"/>
      <c r="CYS27" s="1"/>
      <c r="CYT27" s="1"/>
      <c r="CYU27" s="1"/>
      <c r="CYV27" s="1"/>
      <c r="CYW27" s="1"/>
      <c r="CYX27" s="1"/>
      <c r="CYY27" s="1"/>
      <c r="CYZ27" s="1"/>
      <c r="CZA27" s="1"/>
      <c r="CZB27" s="1"/>
      <c r="CZC27" s="1"/>
      <c r="CZD27" s="1"/>
      <c r="CZE27" s="1"/>
      <c r="CZF27" s="1"/>
      <c r="CZG27" s="1"/>
      <c r="CZH27" s="1"/>
      <c r="CZI27" s="1"/>
      <c r="CZJ27" s="1"/>
      <c r="CZK27" s="1"/>
      <c r="CZL27" s="1"/>
      <c r="CZM27" s="1"/>
      <c r="CZN27" s="1"/>
      <c r="CZO27" s="1"/>
      <c r="CZP27" s="1"/>
      <c r="CZQ27" s="1"/>
      <c r="CZR27" s="1"/>
      <c r="CZS27" s="1"/>
      <c r="CZT27" s="1"/>
      <c r="CZU27" s="1"/>
      <c r="CZV27" s="1"/>
      <c r="CZW27" s="1"/>
      <c r="CZX27" s="1"/>
      <c r="CZY27" s="1"/>
      <c r="CZZ27" s="1"/>
      <c r="DAA27" s="1"/>
      <c r="DAB27" s="1"/>
      <c r="DAC27" s="1"/>
      <c r="DAD27" s="1"/>
      <c r="DAE27" s="1"/>
      <c r="DAF27" s="1"/>
      <c r="DAG27" s="1"/>
      <c r="DAH27" s="1"/>
      <c r="DAI27" s="1"/>
      <c r="DAJ27" s="1"/>
      <c r="DAK27" s="1"/>
      <c r="DAL27" s="1"/>
      <c r="DAM27" s="1"/>
      <c r="DAN27" s="1"/>
      <c r="DAO27" s="1"/>
      <c r="DAP27" s="1"/>
      <c r="DAQ27" s="1"/>
      <c r="DAR27" s="1"/>
      <c r="DAS27" s="1"/>
      <c r="DAT27" s="1"/>
      <c r="DAU27" s="1"/>
      <c r="DAV27" s="1"/>
      <c r="DAW27" s="1"/>
      <c r="DAX27" s="1"/>
      <c r="DAY27" s="1"/>
      <c r="DAZ27" s="1"/>
      <c r="DBA27" s="1"/>
      <c r="DBB27" s="1"/>
      <c r="DBC27" s="1"/>
      <c r="DBD27" s="1"/>
      <c r="DBE27" s="1"/>
      <c r="DBF27" s="1"/>
      <c r="DBG27" s="1"/>
      <c r="DBH27" s="1"/>
      <c r="DBI27" s="1"/>
      <c r="DBJ27" s="1"/>
      <c r="DBK27" s="1"/>
      <c r="DBL27" s="1"/>
      <c r="DBM27" s="1"/>
      <c r="DBN27" s="1"/>
      <c r="DBO27" s="1"/>
      <c r="DBP27" s="1"/>
      <c r="DBQ27" s="1"/>
      <c r="DBR27" s="1"/>
      <c r="DBS27" s="1"/>
      <c r="DBT27" s="1"/>
      <c r="DBU27" s="1"/>
      <c r="DBV27" s="1"/>
      <c r="DBW27" s="1"/>
      <c r="DBX27" s="1"/>
      <c r="DBY27" s="1"/>
      <c r="DBZ27" s="1"/>
      <c r="DCA27" s="1"/>
      <c r="DCB27" s="1"/>
      <c r="DCC27" s="1"/>
      <c r="DCD27" s="1"/>
      <c r="DCE27" s="1"/>
      <c r="DCF27" s="1"/>
      <c r="DCG27" s="1"/>
      <c r="DCH27" s="1"/>
      <c r="DCI27" s="1"/>
      <c r="DCJ27" s="1"/>
      <c r="DCK27" s="1"/>
      <c r="DCL27" s="1"/>
      <c r="DCM27" s="1"/>
      <c r="DCN27" s="1"/>
      <c r="DCO27" s="1"/>
      <c r="DCP27" s="1"/>
      <c r="DCQ27" s="1"/>
      <c r="DCR27" s="1"/>
      <c r="DCS27" s="1"/>
      <c r="DCT27" s="1"/>
      <c r="DCU27" s="1"/>
      <c r="DCV27" s="1"/>
      <c r="DCW27" s="1"/>
      <c r="DCX27" s="1"/>
      <c r="DCY27" s="1"/>
      <c r="DCZ27" s="1"/>
      <c r="DDA27" s="1"/>
      <c r="DDB27" s="1"/>
      <c r="DDC27" s="1"/>
      <c r="DDD27" s="1"/>
      <c r="DDE27" s="1"/>
      <c r="DDF27" s="1"/>
      <c r="DDG27" s="1"/>
      <c r="DDH27" s="1"/>
      <c r="DDI27" s="1"/>
      <c r="DDJ27" s="1"/>
      <c r="DDK27" s="1"/>
      <c r="DDL27" s="1"/>
      <c r="DDM27" s="1"/>
      <c r="DDN27" s="1"/>
      <c r="DDO27" s="1"/>
      <c r="DDP27" s="1"/>
      <c r="DDQ27" s="1"/>
      <c r="DDR27" s="1"/>
      <c r="DDS27" s="1"/>
      <c r="DDT27" s="1"/>
      <c r="DDU27" s="1"/>
      <c r="DDV27" s="1"/>
      <c r="DDW27" s="1"/>
      <c r="DDX27" s="1"/>
      <c r="DDY27" s="1"/>
      <c r="DDZ27" s="1"/>
      <c r="DEA27" s="1"/>
      <c r="DEB27" s="1"/>
      <c r="DEC27" s="1"/>
      <c r="DED27" s="1"/>
      <c r="DEE27" s="1"/>
      <c r="DEF27" s="1"/>
      <c r="DEG27" s="1"/>
      <c r="DEH27" s="1"/>
      <c r="DEI27" s="1"/>
      <c r="DEJ27" s="1"/>
      <c r="DEK27" s="1"/>
      <c r="DEL27" s="1"/>
      <c r="DEM27" s="1"/>
      <c r="DEN27" s="1"/>
      <c r="DEO27" s="1"/>
      <c r="DEP27" s="1"/>
      <c r="DEQ27" s="1"/>
      <c r="DER27" s="1"/>
      <c r="DES27" s="1"/>
      <c r="DET27" s="1"/>
      <c r="DEU27" s="1"/>
      <c r="DEV27" s="1"/>
      <c r="DEW27" s="1"/>
      <c r="DEX27" s="1"/>
      <c r="DEY27" s="1"/>
      <c r="DEZ27" s="1"/>
      <c r="DFA27" s="1"/>
      <c r="DFB27" s="1"/>
      <c r="DFC27" s="1"/>
      <c r="DFD27" s="1"/>
      <c r="DFE27" s="1"/>
      <c r="DFF27" s="1"/>
      <c r="DFG27" s="1"/>
      <c r="DFH27" s="1"/>
      <c r="DFI27" s="1"/>
      <c r="DFJ27" s="1"/>
      <c r="DFK27" s="1"/>
      <c r="DFL27" s="1"/>
      <c r="DFM27" s="1"/>
      <c r="DFN27" s="1"/>
      <c r="DFO27" s="1"/>
      <c r="DFP27" s="1"/>
      <c r="DFQ27" s="1"/>
      <c r="DFR27" s="1"/>
      <c r="DFS27" s="1"/>
      <c r="DFT27" s="1"/>
      <c r="DFU27" s="1"/>
      <c r="DFV27" s="1"/>
      <c r="DFW27" s="1"/>
      <c r="DFX27" s="1"/>
      <c r="DFY27" s="1"/>
      <c r="DFZ27" s="1"/>
      <c r="DGA27" s="1"/>
      <c r="DGB27" s="1"/>
      <c r="DGC27" s="1"/>
      <c r="DGD27" s="1"/>
      <c r="DGE27" s="1"/>
      <c r="DGF27" s="1"/>
      <c r="DGG27" s="1"/>
      <c r="DGH27" s="1"/>
      <c r="DGI27" s="1"/>
      <c r="DGJ27" s="1"/>
      <c r="DGK27" s="1"/>
      <c r="DGL27" s="1"/>
      <c r="DGM27" s="1"/>
      <c r="DGN27" s="1"/>
      <c r="DGO27" s="1"/>
      <c r="DGP27" s="1"/>
      <c r="DGQ27" s="1"/>
      <c r="DGR27" s="1"/>
      <c r="DGS27" s="1"/>
      <c r="DGT27" s="1"/>
      <c r="DGU27" s="1"/>
      <c r="DGV27" s="1"/>
      <c r="DGW27" s="1"/>
      <c r="DGX27" s="1"/>
      <c r="DGY27" s="1"/>
      <c r="DGZ27" s="1"/>
      <c r="DHA27" s="1"/>
      <c r="DHB27" s="1"/>
      <c r="DHC27" s="1"/>
      <c r="DHD27" s="1"/>
      <c r="DHE27" s="1"/>
      <c r="DHF27" s="1"/>
      <c r="DHG27" s="1"/>
      <c r="DHH27" s="1"/>
      <c r="DHI27" s="1"/>
      <c r="DHJ27" s="1"/>
      <c r="DHK27" s="1"/>
      <c r="DHL27" s="1"/>
      <c r="DHM27" s="1"/>
      <c r="DHN27" s="1"/>
      <c r="DHO27" s="1"/>
      <c r="DHP27" s="1"/>
      <c r="DHQ27" s="1"/>
      <c r="DHR27" s="1"/>
      <c r="DHS27" s="1"/>
      <c r="DHT27" s="1"/>
      <c r="DHU27" s="1"/>
      <c r="DHV27" s="1"/>
      <c r="DHW27" s="1"/>
      <c r="DHX27" s="1"/>
      <c r="DHY27" s="1"/>
      <c r="DHZ27" s="1"/>
      <c r="DIA27" s="1"/>
      <c r="DIB27" s="1"/>
      <c r="DIC27" s="1"/>
      <c r="DID27" s="1"/>
      <c r="DIE27" s="1"/>
      <c r="DIF27" s="1"/>
      <c r="DIG27" s="1"/>
      <c r="DIH27" s="1"/>
      <c r="DII27" s="1"/>
      <c r="DIJ27" s="1"/>
      <c r="DIK27" s="1"/>
      <c r="DIL27" s="1"/>
      <c r="DIM27" s="1"/>
      <c r="DIN27" s="1"/>
      <c r="DIO27" s="1"/>
      <c r="DIP27" s="1"/>
      <c r="DIQ27" s="1"/>
      <c r="DIR27" s="1"/>
      <c r="DIS27" s="1"/>
      <c r="DIT27" s="1"/>
      <c r="DIU27" s="1"/>
      <c r="DIV27" s="1"/>
      <c r="DIW27" s="1"/>
      <c r="DIX27" s="1"/>
      <c r="DIY27" s="1"/>
      <c r="DIZ27" s="1"/>
      <c r="DJA27" s="1"/>
      <c r="DJB27" s="1"/>
      <c r="DJC27" s="1"/>
      <c r="DJD27" s="1"/>
      <c r="DJE27" s="1"/>
      <c r="DJF27" s="1"/>
      <c r="DJG27" s="1"/>
      <c r="DJH27" s="1"/>
      <c r="DJI27" s="1"/>
      <c r="DJJ27" s="1"/>
      <c r="DJK27" s="1"/>
      <c r="DJL27" s="1"/>
      <c r="DJM27" s="1"/>
      <c r="DJN27" s="1"/>
      <c r="DJO27" s="1"/>
      <c r="DJP27" s="1"/>
      <c r="DJQ27" s="1"/>
      <c r="DJR27" s="1"/>
      <c r="DJS27" s="1"/>
      <c r="DJT27" s="1"/>
      <c r="DJU27" s="1"/>
      <c r="DJV27" s="1"/>
      <c r="DJW27" s="1"/>
      <c r="DJX27" s="1"/>
      <c r="DJY27" s="1"/>
      <c r="DJZ27" s="1"/>
      <c r="DKA27" s="1"/>
      <c r="DKB27" s="1"/>
      <c r="DKC27" s="1"/>
      <c r="DKD27" s="1"/>
      <c r="DKE27" s="1"/>
      <c r="DKF27" s="1"/>
      <c r="DKG27" s="1"/>
      <c r="DKH27" s="1"/>
      <c r="DKI27" s="1"/>
      <c r="DKJ27" s="1"/>
      <c r="DKK27" s="1"/>
      <c r="DKL27" s="1"/>
      <c r="DKM27" s="1"/>
      <c r="DKN27" s="1"/>
      <c r="DKO27" s="1"/>
      <c r="DKP27" s="1"/>
      <c r="DKQ27" s="1"/>
      <c r="DKR27" s="1"/>
      <c r="DKS27" s="1"/>
      <c r="DKT27" s="1"/>
      <c r="DKU27" s="1"/>
      <c r="DKV27" s="1"/>
      <c r="DKW27" s="1"/>
      <c r="DKX27" s="1"/>
      <c r="DKY27" s="1"/>
      <c r="DKZ27" s="1"/>
      <c r="DLA27" s="1"/>
      <c r="DLB27" s="1"/>
      <c r="DLC27" s="1"/>
      <c r="DLD27" s="1"/>
      <c r="DLE27" s="1"/>
      <c r="DLF27" s="1"/>
      <c r="DLG27" s="1"/>
      <c r="DLH27" s="1"/>
      <c r="DLI27" s="1"/>
      <c r="DLJ27" s="1"/>
      <c r="DLK27" s="1"/>
      <c r="DLL27" s="1"/>
      <c r="DLM27" s="1"/>
      <c r="DLN27" s="1"/>
      <c r="DLO27" s="1"/>
      <c r="DLP27" s="1"/>
      <c r="DLQ27" s="1"/>
      <c r="DLR27" s="1"/>
      <c r="DLS27" s="1"/>
      <c r="DLT27" s="1"/>
      <c r="DLU27" s="1"/>
      <c r="DLV27" s="1"/>
      <c r="DLW27" s="1"/>
      <c r="DLX27" s="1"/>
      <c r="DLY27" s="1"/>
      <c r="DLZ27" s="1"/>
      <c r="DMA27" s="1"/>
      <c r="DMB27" s="1"/>
      <c r="DMC27" s="1"/>
      <c r="DMD27" s="1"/>
      <c r="DME27" s="1"/>
      <c r="DMF27" s="1"/>
      <c r="DMG27" s="1"/>
      <c r="DMH27" s="1"/>
      <c r="DMI27" s="1"/>
      <c r="DMJ27" s="1"/>
      <c r="DMK27" s="1"/>
      <c r="DML27" s="1"/>
      <c r="DMM27" s="1"/>
      <c r="DMN27" s="1"/>
      <c r="DMO27" s="1"/>
      <c r="DMP27" s="1"/>
      <c r="DMQ27" s="1"/>
      <c r="DMR27" s="1"/>
      <c r="DMS27" s="1"/>
      <c r="DMT27" s="1"/>
      <c r="DMU27" s="1"/>
      <c r="DMV27" s="1"/>
      <c r="DMW27" s="1"/>
      <c r="DMX27" s="1"/>
      <c r="DMY27" s="1"/>
      <c r="DMZ27" s="1"/>
      <c r="DNA27" s="1"/>
      <c r="DNB27" s="1"/>
      <c r="DNC27" s="1"/>
      <c r="DND27" s="1"/>
      <c r="DNE27" s="1"/>
      <c r="DNF27" s="1"/>
      <c r="DNG27" s="1"/>
      <c r="DNH27" s="1"/>
      <c r="DNI27" s="1"/>
      <c r="DNJ27" s="1"/>
      <c r="DNK27" s="1"/>
      <c r="DNL27" s="1"/>
      <c r="DNM27" s="1"/>
      <c r="DNN27" s="1"/>
      <c r="DNO27" s="1"/>
      <c r="DNP27" s="1"/>
      <c r="DNQ27" s="1"/>
      <c r="DNR27" s="1"/>
      <c r="DNS27" s="1"/>
      <c r="DNT27" s="1"/>
      <c r="DNU27" s="1"/>
      <c r="DNV27" s="1"/>
      <c r="DNW27" s="1"/>
      <c r="DNX27" s="1"/>
      <c r="DNY27" s="1"/>
      <c r="DNZ27" s="1"/>
      <c r="DOA27" s="1"/>
      <c r="DOB27" s="1"/>
      <c r="DOC27" s="1"/>
      <c r="DOD27" s="1"/>
      <c r="DOE27" s="1"/>
      <c r="DOF27" s="1"/>
      <c r="DOG27" s="1"/>
      <c r="DOH27" s="1"/>
      <c r="DOI27" s="1"/>
      <c r="DOJ27" s="1"/>
      <c r="DOK27" s="1"/>
      <c r="DOL27" s="1"/>
      <c r="DOM27" s="1"/>
      <c r="DON27" s="1"/>
      <c r="DOO27" s="1"/>
      <c r="DOP27" s="1"/>
      <c r="DOQ27" s="1"/>
      <c r="DOR27" s="1"/>
      <c r="DOS27" s="1"/>
      <c r="DOT27" s="1"/>
      <c r="DOU27" s="1"/>
      <c r="DOV27" s="1"/>
      <c r="DOW27" s="1"/>
      <c r="DOX27" s="1"/>
      <c r="DOY27" s="1"/>
      <c r="DOZ27" s="1"/>
      <c r="DPA27" s="1"/>
      <c r="DPB27" s="1"/>
      <c r="DPC27" s="1"/>
      <c r="DPD27" s="1"/>
      <c r="DPE27" s="1"/>
      <c r="DPF27" s="1"/>
      <c r="DPG27" s="1"/>
      <c r="DPH27" s="1"/>
      <c r="DPI27" s="1"/>
      <c r="DPJ27" s="1"/>
      <c r="DPK27" s="1"/>
      <c r="DPL27" s="1"/>
      <c r="DPM27" s="1"/>
      <c r="DPN27" s="1"/>
      <c r="DPO27" s="1"/>
      <c r="DPP27" s="1"/>
      <c r="DPQ27" s="1"/>
      <c r="DPR27" s="1"/>
      <c r="DPS27" s="1"/>
      <c r="DPT27" s="1"/>
      <c r="DPU27" s="1"/>
      <c r="DPV27" s="1"/>
      <c r="DPW27" s="1"/>
      <c r="DPX27" s="1"/>
      <c r="DPY27" s="1"/>
      <c r="DPZ27" s="1"/>
      <c r="DQA27" s="1"/>
      <c r="DQB27" s="1"/>
      <c r="DQC27" s="1"/>
      <c r="DQD27" s="1"/>
      <c r="DQE27" s="1"/>
      <c r="DQF27" s="1"/>
      <c r="DQG27" s="1"/>
      <c r="DQH27" s="1"/>
      <c r="DQI27" s="1"/>
      <c r="DQJ27" s="1"/>
      <c r="DQK27" s="1"/>
      <c r="DQL27" s="1"/>
      <c r="DQM27" s="1"/>
      <c r="DQN27" s="1"/>
      <c r="DQO27" s="1"/>
      <c r="DQP27" s="1"/>
      <c r="DQQ27" s="1"/>
      <c r="DQR27" s="1"/>
      <c r="DQS27" s="1"/>
      <c r="DQT27" s="1"/>
      <c r="DQU27" s="1"/>
      <c r="DQV27" s="1"/>
      <c r="DQW27" s="1"/>
      <c r="DQX27" s="1"/>
      <c r="DQY27" s="1"/>
      <c r="DQZ27" s="1"/>
      <c r="DRA27" s="1"/>
      <c r="DRB27" s="1"/>
      <c r="DRC27" s="1"/>
      <c r="DRD27" s="1"/>
      <c r="DRE27" s="1"/>
      <c r="DRF27" s="1"/>
      <c r="DRG27" s="1"/>
      <c r="DRH27" s="1"/>
      <c r="DRI27" s="1"/>
      <c r="DRJ27" s="1"/>
      <c r="DRK27" s="1"/>
      <c r="DRL27" s="1"/>
      <c r="DRM27" s="1"/>
      <c r="DRN27" s="1"/>
      <c r="DRO27" s="1"/>
      <c r="DRP27" s="1"/>
      <c r="DRQ27" s="1"/>
      <c r="DRR27" s="1"/>
      <c r="DRS27" s="1"/>
      <c r="DRT27" s="1"/>
      <c r="DRU27" s="1"/>
      <c r="DRV27" s="1"/>
      <c r="DRW27" s="1"/>
      <c r="DRX27" s="1"/>
      <c r="DRY27" s="1"/>
      <c r="DRZ27" s="1"/>
      <c r="DSA27" s="1"/>
      <c r="DSB27" s="1"/>
      <c r="DSC27" s="1"/>
      <c r="DSD27" s="1"/>
      <c r="DSE27" s="1"/>
      <c r="DSF27" s="1"/>
      <c r="DSG27" s="1"/>
      <c r="DSH27" s="1"/>
      <c r="DSI27" s="1"/>
      <c r="DSJ27" s="1"/>
      <c r="DSK27" s="1"/>
      <c r="DSL27" s="1"/>
      <c r="DSM27" s="1"/>
      <c r="DSN27" s="1"/>
      <c r="DSO27" s="1"/>
      <c r="DSP27" s="1"/>
      <c r="DSQ27" s="1"/>
      <c r="DSR27" s="1"/>
      <c r="DSS27" s="1"/>
      <c r="DST27" s="1"/>
      <c r="DSU27" s="1"/>
      <c r="DSV27" s="1"/>
      <c r="DSW27" s="1"/>
      <c r="DSX27" s="1"/>
      <c r="DSY27" s="1"/>
      <c r="DSZ27" s="1"/>
      <c r="DTA27" s="1"/>
      <c r="DTB27" s="1"/>
      <c r="DTC27" s="1"/>
      <c r="DTD27" s="1"/>
      <c r="DTE27" s="1"/>
      <c r="DTF27" s="1"/>
      <c r="DTG27" s="1"/>
      <c r="DTH27" s="1"/>
      <c r="DTI27" s="1"/>
      <c r="DTJ27" s="1"/>
      <c r="DTK27" s="1"/>
      <c r="DTL27" s="1"/>
      <c r="DTM27" s="1"/>
      <c r="DTN27" s="1"/>
      <c r="DTO27" s="1"/>
      <c r="DTP27" s="1"/>
      <c r="DTQ27" s="1"/>
      <c r="DTR27" s="1"/>
      <c r="DTS27" s="1"/>
      <c r="DTT27" s="1"/>
      <c r="DTU27" s="1"/>
      <c r="DTV27" s="1"/>
      <c r="DTW27" s="1"/>
      <c r="DTX27" s="1"/>
      <c r="DTY27" s="1"/>
      <c r="DTZ27" s="1"/>
      <c r="DUA27" s="1"/>
      <c r="DUB27" s="1"/>
      <c r="DUC27" s="1"/>
      <c r="DUD27" s="1"/>
      <c r="DUE27" s="1"/>
      <c r="DUF27" s="1"/>
      <c r="DUG27" s="1"/>
      <c r="DUH27" s="1"/>
      <c r="DUI27" s="1"/>
      <c r="DUJ27" s="1"/>
      <c r="DUK27" s="1"/>
      <c r="DUL27" s="1"/>
      <c r="DUM27" s="1"/>
      <c r="DUN27" s="1"/>
      <c r="DUO27" s="1"/>
      <c r="DUP27" s="1"/>
      <c r="DUQ27" s="1"/>
      <c r="DUR27" s="1"/>
      <c r="DUS27" s="1"/>
      <c r="DUT27" s="1"/>
      <c r="DUU27" s="1"/>
      <c r="DUV27" s="1"/>
      <c r="DUW27" s="1"/>
      <c r="DUX27" s="1"/>
      <c r="DUY27" s="1"/>
      <c r="DUZ27" s="1"/>
      <c r="DVA27" s="1"/>
      <c r="DVB27" s="1"/>
      <c r="DVC27" s="1"/>
      <c r="DVD27" s="1"/>
      <c r="DVE27" s="1"/>
      <c r="DVF27" s="1"/>
      <c r="DVG27" s="1"/>
      <c r="DVH27" s="1"/>
      <c r="DVI27" s="1"/>
      <c r="DVJ27" s="1"/>
      <c r="DVK27" s="1"/>
      <c r="DVL27" s="1"/>
      <c r="DVM27" s="1"/>
      <c r="DVN27" s="1"/>
      <c r="DVO27" s="1"/>
      <c r="DVP27" s="1"/>
      <c r="DVQ27" s="1"/>
      <c r="DVR27" s="1"/>
      <c r="DVS27" s="1"/>
      <c r="DVT27" s="1"/>
      <c r="DVU27" s="1"/>
      <c r="DVV27" s="1"/>
      <c r="DVW27" s="1"/>
      <c r="DVX27" s="1"/>
      <c r="DVY27" s="1"/>
      <c r="DVZ27" s="1"/>
      <c r="DWA27" s="1"/>
      <c r="DWB27" s="1"/>
      <c r="DWC27" s="1"/>
      <c r="DWD27" s="1"/>
      <c r="DWE27" s="1"/>
      <c r="DWF27" s="1"/>
      <c r="DWG27" s="1"/>
      <c r="DWH27" s="1"/>
      <c r="DWI27" s="1"/>
      <c r="DWJ27" s="1"/>
      <c r="DWK27" s="1"/>
      <c r="DWL27" s="1"/>
      <c r="DWM27" s="1"/>
      <c r="DWN27" s="1"/>
      <c r="DWO27" s="1"/>
      <c r="DWP27" s="1"/>
      <c r="DWQ27" s="1"/>
      <c r="DWR27" s="1"/>
      <c r="DWS27" s="1"/>
      <c r="DWT27" s="1"/>
      <c r="DWU27" s="1"/>
      <c r="DWV27" s="1"/>
      <c r="DWW27" s="1"/>
      <c r="DWX27" s="1"/>
      <c r="DWY27" s="1"/>
      <c r="DWZ27" s="1"/>
      <c r="DXA27" s="1"/>
      <c r="DXB27" s="1"/>
      <c r="DXC27" s="1"/>
      <c r="DXD27" s="1"/>
      <c r="DXE27" s="1"/>
      <c r="DXF27" s="1"/>
      <c r="DXG27" s="1"/>
      <c r="DXH27" s="1"/>
      <c r="DXI27" s="1"/>
      <c r="DXJ27" s="1"/>
      <c r="DXK27" s="1"/>
      <c r="DXL27" s="1"/>
      <c r="DXM27" s="1"/>
      <c r="DXN27" s="1"/>
      <c r="DXO27" s="1"/>
      <c r="DXP27" s="1"/>
      <c r="DXQ27" s="1"/>
      <c r="DXR27" s="1"/>
      <c r="DXS27" s="1"/>
      <c r="DXT27" s="1"/>
      <c r="DXU27" s="1"/>
      <c r="DXV27" s="1"/>
      <c r="DXW27" s="1"/>
      <c r="DXX27" s="1"/>
      <c r="DXY27" s="1"/>
      <c r="DXZ27" s="1"/>
      <c r="DYA27" s="1"/>
      <c r="DYB27" s="1"/>
      <c r="DYC27" s="1"/>
      <c r="DYD27" s="1"/>
      <c r="DYE27" s="1"/>
      <c r="DYF27" s="1"/>
      <c r="DYG27" s="1"/>
      <c r="DYH27" s="1"/>
      <c r="DYI27" s="1"/>
      <c r="DYJ27" s="1"/>
      <c r="DYK27" s="1"/>
      <c r="DYL27" s="1"/>
      <c r="DYM27" s="1"/>
      <c r="DYN27" s="1"/>
      <c r="DYO27" s="1"/>
      <c r="DYP27" s="1"/>
      <c r="DYQ27" s="1"/>
      <c r="DYR27" s="1"/>
      <c r="DYS27" s="1"/>
      <c r="DYT27" s="1"/>
      <c r="DYU27" s="1"/>
      <c r="DYV27" s="1"/>
      <c r="DYW27" s="1"/>
      <c r="DYX27" s="1"/>
      <c r="DYY27" s="1"/>
      <c r="DYZ27" s="1"/>
      <c r="DZA27" s="1"/>
      <c r="DZB27" s="1"/>
      <c r="DZC27" s="1"/>
      <c r="DZD27" s="1"/>
      <c r="DZE27" s="1"/>
      <c r="DZF27" s="1"/>
      <c r="DZG27" s="1"/>
      <c r="DZH27" s="1"/>
      <c r="DZI27" s="1"/>
      <c r="DZJ27" s="1"/>
      <c r="DZK27" s="1"/>
      <c r="DZL27" s="1"/>
      <c r="DZM27" s="1"/>
      <c r="DZN27" s="1"/>
      <c r="DZO27" s="1"/>
      <c r="DZP27" s="1"/>
      <c r="DZQ27" s="1"/>
      <c r="DZR27" s="1"/>
      <c r="DZS27" s="1"/>
      <c r="DZT27" s="1"/>
      <c r="DZU27" s="1"/>
      <c r="DZV27" s="1"/>
      <c r="DZW27" s="1"/>
      <c r="DZX27" s="1"/>
      <c r="DZY27" s="1"/>
      <c r="DZZ27" s="1"/>
      <c r="EAA27" s="1"/>
      <c r="EAB27" s="1"/>
      <c r="EAC27" s="1"/>
      <c r="EAD27" s="1"/>
      <c r="EAE27" s="1"/>
      <c r="EAF27" s="1"/>
      <c r="EAG27" s="1"/>
      <c r="EAH27" s="1"/>
      <c r="EAI27" s="1"/>
      <c r="EAJ27" s="1"/>
      <c r="EAK27" s="1"/>
      <c r="EAL27" s="1"/>
      <c r="EAM27" s="1"/>
      <c r="EAN27" s="1"/>
      <c r="EAO27" s="1"/>
      <c r="EAP27" s="1"/>
      <c r="EAQ27" s="1"/>
      <c r="EAR27" s="1"/>
      <c r="EAS27" s="1"/>
      <c r="EAT27" s="1"/>
      <c r="EAU27" s="1"/>
      <c r="EAV27" s="1"/>
      <c r="EAW27" s="1"/>
      <c r="EAX27" s="1"/>
      <c r="EAY27" s="1"/>
      <c r="EAZ27" s="1"/>
      <c r="EBA27" s="1"/>
      <c r="EBB27" s="1"/>
      <c r="EBC27" s="1"/>
      <c r="EBD27" s="1"/>
      <c r="EBE27" s="1"/>
      <c r="EBF27" s="1"/>
      <c r="EBG27" s="1"/>
      <c r="EBH27" s="1"/>
      <c r="EBI27" s="1"/>
      <c r="EBJ27" s="1"/>
      <c r="EBK27" s="1"/>
      <c r="EBL27" s="1"/>
      <c r="EBM27" s="1"/>
      <c r="EBN27" s="1"/>
      <c r="EBO27" s="1"/>
      <c r="EBP27" s="1"/>
      <c r="EBQ27" s="1"/>
      <c r="EBR27" s="1"/>
      <c r="EBS27" s="1"/>
      <c r="EBT27" s="1"/>
      <c r="EBU27" s="1"/>
      <c r="EBV27" s="1"/>
      <c r="EBW27" s="1"/>
      <c r="EBX27" s="1"/>
      <c r="EBY27" s="1"/>
      <c r="EBZ27" s="1"/>
      <c r="ECA27" s="1"/>
      <c r="ECB27" s="1"/>
      <c r="ECC27" s="1"/>
      <c r="ECD27" s="1"/>
      <c r="ECE27" s="1"/>
      <c r="ECF27" s="1"/>
      <c r="ECG27" s="1"/>
      <c r="ECH27" s="1"/>
      <c r="ECI27" s="1"/>
      <c r="ECJ27" s="1"/>
      <c r="ECK27" s="1"/>
      <c r="ECL27" s="1"/>
      <c r="ECM27" s="1"/>
      <c r="ECN27" s="1"/>
      <c r="ECO27" s="1"/>
      <c r="ECP27" s="1"/>
      <c r="ECQ27" s="1"/>
      <c r="ECR27" s="1"/>
      <c r="ECS27" s="1"/>
      <c r="ECT27" s="1"/>
      <c r="ECU27" s="1"/>
      <c r="ECV27" s="1"/>
      <c r="ECW27" s="1"/>
      <c r="ECX27" s="1"/>
      <c r="ECY27" s="1"/>
      <c r="ECZ27" s="1"/>
      <c r="EDA27" s="1"/>
      <c r="EDB27" s="1"/>
      <c r="EDC27" s="1"/>
      <c r="EDD27" s="1"/>
      <c r="EDE27" s="1"/>
      <c r="EDF27" s="1"/>
      <c r="EDG27" s="1"/>
      <c r="EDH27" s="1"/>
      <c r="EDI27" s="1"/>
      <c r="EDJ27" s="1"/>
      <c r="EDK27" s="1"/>
      <c r="EDL27" s="1"/>
      <c r="EDM27" s="1"/>
      <c r="EDN27" s="1"/>
      <c r="EDO27" s="1"/>
      <c r="EDP27" s="1"/>
      <c r="EDQ27" s="1"/>
      <c r="EDR27" s="1"/>
      <c r="EDS27" s="1"/>
      <c r="EDT27" s="1"/>
      <c r="EDU27" s="1"/>
      <c r="EDV27" s="1"/>
      <c r="EDW27" s="1"/>
      <c r="EDX27" s="1"/>
      <c r="EDY27" s="1"/>
      <c r="EDZ27" s="1"/>
      <c r="EEA27" s="1"/>
      <c r="EEB27" s="1"/>
      <c r="EEC27" s="1"/>
      <c r="EED27" s="1"/>
      <c r="EEE27" s="1"/>
      <c r="EEF27" s="1"/>
      <c r="EEG27" s="1"/>
      <c r="EEH27" s="1"/>
      <c r="EEI27" s="1"/>
      <c r="EEJ27" s="1"/>
      <c r="EEK27" s="1"/>
      <c r="EEL27" s="1"/>
      <c r="EEM27" s="1"/>
      <c r="EEN27" s="1"/>
      <c r="EEO27" s="1"/>
      <c r="EEP27" s="1"/>
      <c r="EEQ27" s="1"/>
      <c r="EER27" s="1"/>
      <c r="EES27" s="1"/>
      <c r="EET27" s="1"/>
      <c r="EEU27" s="1"/>
      <c r="EEV27" s="1"/>
      <c r="EEW27" s="1"/>
      <c r="EEX27" s="1"/>
      <c r="EEY27" s="1"/>
      <c r="EEZ27" s="1"/>
      <c r="EFA27" s="1"/>
      <c r="EFB27" s="1"/>
      <c r="EFC27" s="1"/>
      <c r="EFD27" s="1"/>
      <c r="EFE27" s="1"/>
      <c r="EFF27" s="1"/>
      <c r="EFG27" s="1"/>
      <c r="EFH27" s="1"/>
      <c r="EFI27" s="1"/>
      <c r="EFJ27" s="1"/>
      <c r="EFK27" s="1"/>
      <c r="EFL27" s="1"/>
      <c r="EFM27" s="1"/>
      <c r="EFN27" s="1"/>
      <c r="EFO27" s="1"/>
      <c r="EFP27" s="1"/>
      <c r="EFQ27" s="1"/>
      <c r="EFR27" s="1"/>
      <c r="EFS27" s="1"/>
      <c r="EFT27" s="1"/>
      <c r="EFU27" s="1"/>
      <c r="EFV27" s="1"/>
      <c r="EFW27" s="1"/>
      <c r="EFX27" s="1"/>
      <c r="EFY27" s="1"/>
      <c r="EFZ27" s="1"/>
      <c r="EGA27" s="1"/>
      <c r="EGB27" s="1"/>
      <c r="EGC27" s="1"/>
      <c r="EGD27" s="1"/>
      <c r="EGE27" s="1"/>
      <c r="EGF27" s="1"/>
      <c r="EGG27" s="1"/>
      <c r="EGH27" s="1"/>
      <c r="EGI27" s="1"/>
      <c r="EGJ27" s="1"/>
      <c r="EGK27" s="1"/>
      <c r="EGL27" s="1"/>
      <c r="EGM27" s="1"/>
      <c r="EGN27" s="1"/>
      <c r="EGO27" s="1"/>
      <c r="EGP27" s="1"/>
      <c r="EGQ27" s="1"/>
      <c r="EGR27" s="1"/>
      <c r="EGS27" s="1"/>
      <c r="EGT27" s="1"/>
      <c r="EGU27" s="1"/>
      <c r="EGV27" s="1"/>
      <c r="EGW27" s="1"/>
      <c r="EGX27" s="1"/>
      <c r="EGY27" s="1"/>
      <c r="EGZ27" s="1"/>
      <c r="EHA27" s="1"/>
      <c r="EHB27" s="1"/>
      <c r="EHC27" s="1"/>
      <c r="EHD27" s="1"/>
      <c r="EHE27" s="1"/>
      <c r="EHF27" s="1"/>
      <c r="EHG27" s="1"/>
      <c r="EHH27" s="1"/>
      <c r="EHI27" s="1"/>
      <c r="EHJ27" s="1"/>
      <c r="EHK27" s="1"/>
      <c r="EHL27" s="1"/>
      <c r="EHM27" s="1"/>
      <c r="EHN27" s="1"/>
      <c r="EHO27" s="1"/>
      <c r="EHP27" s="1"/>
      <c r="EHQ27" s="1"/>
      <c r="EHR27" s="1"/>
      <c r="EHS27" s="1"/>
      <c r="EHT27" s="1"/>
      <c r="EHU27" s="1"/>
      <c r="EHV27" s="1"/>
      <c r="EHW27" s="1"/>
      <c r="EHX27" s="1"/>
      <c r="EHY27" s="1"/>
      <c r="EHZ27" s="1"/>
      <c r="EIA27" s="1"/>
      <c r="EIB27" s="1"/>
      <c r="EIC27" s="1"/>
      <c r="EID27" s="1"/>
      <c r="EIE27" s="1"/>
      <c r="EIF27" s="1"/>
      <c r="EIG27" s="1"/>
      <c r="EIH27" s="1"/>
      <c r="EII27" s="1"/>
      <c r="EIJ27" s="1"/>
      <c r="EIK27" s="1"/>
      <c r="EIL27" s="1"/>
      <c r="EIM27" s="1"/>
      <c r="EIN27" s="1"/>
      <c r="EIO27" s="1"/>
      <c r="EIP27" s="1"/>
      <c r="EIQ27" s="1"/>
      <c r="EIR27" s="1"/>
      <c r="EIS27" s="1"/>
      <c r="EIT27" s="1"/>
      <c r="EIU27" s="1"/>
      <c r="EIV27" s="1"/>
      <c r="EIW27" s="1"/>
      <c r="EIX27" s="1"/>
      <c r="EIY27" s="1"/>
      <c r="EIZ27" s="1"/>
      <c r="EJA27" s="1"/>
      <c r="EJB27" s="1"/>
      <c r="EJC27" s="1"/>
      <c r="EJD27" s="1"/>
      <c r="EJE27" s="1"/>
      <c r="EJF27" s="1"/>
      <c r="EJG27" s="1"/>
      <c r="EJH27" s="1"/>
      <c r="EJI27" s="1"/>
      <c r="EJJ27" s="1"/>
      <c r="EJK27" s="1"/>
      <c r="EJL27" s="1"/>
      <c r="EJM27" s="1"/>
      <c r="EJN27" s="1"/>
      <c r="EJO27" s="1"/>
      <c r="EJP27" s="1"/>
      <c r="EJQ27" s="1"/>
      <c r="EJR27" s="1"/>
      <c r="EJS27" s="1"/>
      <c r="EJT27" s="1"/>
      <c r="EJU27" s="1"/>
      <c r="EJV27" s="1"/>
      <c r="EJW27" s="1"/>
      <c r="EJX27" s="1"/>
      <c r="EJY27" s="1"/>
      <c r="EJZ27" s="1"/>
      <c r="EKA27" s="1"/>
      <c r="EKB27" s="1"/>
      <c r="EKC27" s="1"/>
      <c r="EKD27" s="1"/>
      <c r="EKE27" s="1"/>
      <c r="EKF27" s="1"/>
      <c r="EKG27" s="1"/>
      <c r="EKH27" s="1"/>
      <c r="EKI27" s="1"/>
      <c r="EKJ27" s="1"/>
      <c r="EKK27" s="1"/>
      <c r="EKL27" s="1"/>
      <c r="EKM27" s="1"/>
      <c r="EKN27" s="1"/>
      <c r="EKO27" s="1"/>
      <c r="EKP27" s="1"/>
      <c r="EKQ27" s="1"/>
      <c r="EKR27" s="1"/>
      <c r="EKS27" s="1"/>
      <c r="EKT27" s="1"/>
      <c r="EKU27" s="1"/>
      <c r="EKV27" s="1"/>
      <c r="EKW27" s="1"/>
      <c r="EKX27" s="1"/>
      <c r="EKY27" s="1"/>
      <c r="EKZ27" s="1"/>
      <c r="ELA27" s="1"/>
      <c r="ELB27" s="1"/>
      <c r="ELC27" s="1"/>
      <c r="ELD27" s="1"/>
      <c r="ELE27" s="1"/>
      <c r="ELF27" s="1"/>
      <c r="ELG27" s="1"/>
      <c r="ELH27" s="1"/>
      <c r="ELI27" s="1"/>
      <c r="ELJ27" s="1"/>
      <c r="ELK27" s="1"/>
      <c r="ELL27" s="1"/>
      <c r="ELM27" s="1"/>
      <c r="ELN27" s="1"/>
      <c r="ELO27" s="1"/>
      <c r="ELP27" s="1"/>
      <c r="ELQ27" s="1"/>
      <c r="ELR27" s="1"/>
      <c r="ELS27" s="1"/>
      <c r="ELT27" s="1"/>
      <c r="ELU27" s="1"/>
      <c r="ELV27" s="1"/>
      <c r="ELW27" s="1"/>
      <c r="ELX27" s="1"/>
      <c r="ELY27" s="1"/>
      <c r="ELZ27" s="1"/>
      <c r="EMA27" s="1"/>
      <c r="EMB27" s="1"/>
      <c r="EMC27" s="1"/>
      <c r="EMD27" s="1"/>
      <c r="EME27" s="1"/>
      <c r="EMF27" s="1"/>
      <c r="EMG27" s="1"/>
      <c r="EMH27" s="1"/>
      <c r="EMI27" s="1"/>
      <c r="EMJ27" s="1"/>
      <c r="EMK27" s="1"/>
      <c r="EML27" s="1"/>
      <c r="EMM27" s="1"/>
      <c r="EMN27" s="1"/>
      <c r="EMO27" s="1"/>
      <c r="EMP27" s="1"/>
      <c r="EMQ27" s="1"/>
      <c r="EMR27" s="1"/>
      <c r="EMS27" s="1"/>
      <c r="EMT27" s="1"/>
      <c r="EMU27" s="1"/>
      <c r="EMV27" s="1"/>
      <c r="EMW27" s="1"/>
      <c r="EMX27" s="1"/>
      <c r="EMY27" s="1"/>
      <c r="EMZ27" s="1"/>
      <c r="ENA27" s="1"/>
      <c r="ENB27" s="1"/>
      <c r="ENC27" s="1"/>
      <c r="END27" s="1"/>
      <c r="ENE27" s="1"/>
      <c r="ENF27" s="1"/>
      <c r="ENG27" s="1"/>
      <c r="ENH27" s="1"/>
      <c r="ENI27" s="1"/>
      <c r="ENJ27" s="1"/>
      <c r="ENK27" s="1"/>
      <c r="ENL27" s="1"/>
      <c r="ENM27" s="1"/>
      <c r="ENN27" s="1"/>
      <c r="ENO27" s="1"/>
      <c r="ENP27" s="1"/>
      <c r="ENQ27" s="1"/>
      <c r="ENR27" s="1"/>
      <c r="ENS27" s="1"/>
      <c r="ENT27" s="1"/>
      <c r="ENU27" s="1"/>
      <c r="ENV27" s="1"/>
      <c r="ENW27" s="1"/>
      <c r="ENX27" s="1"/>
      <c r="ENY27" s="1"/>
      <c r="ENZ27" s="1"/>
      <c r="EOA27" s="1"/>
      <c r="EOB27" s="1"/>
      <c r="EOC27" s="1"/>
      <c r="EOD27" s="1"/>
      <c r="EOE27" s="1"/>
      <c r="EOF27" s="1"/>
      <c r="EOG27" s="1"/>
      <c r="EOH27" s="1"/>
      <c r="EOI27" s="1"/>
      <c r="EOJ27" s="1"/>
      <c r="EOK27" s="1"/>
      <c r="EOL27" s="1"/>
      <c r="EOM27" s="1"/>
      <c r="EON27" s="1"/>
      <c r="EOO27" s="1"/>
      <c r="EOP27" s="1"/>
      <c r="EOQ27" s="1"/>
      <c r="EOR27" s="1"/>
      <c r="EOS27" s="1"/>
      <c r="EOT27" s="1"/>
      <c r="EOU27" s="1"/>
      <c r="EOV27" s="1"/>
      <c r="EOW27" s="1"/>
      <c r="EOX27" s="1"/>
      <c r="EOY27" s="1"/>
      <c r="EOZ27" s="1"/>
      <c r="EPA27" s="1"/>
      <c r="EPB27" s="1"/>
      <c r="EPC27" s="1"/>
      <c r="EPD27" s="1"/>
      <c r="EPE27" s="1"/>
      <c r="EPF27" s="1"/>
      <c r="EPG27" s="1"/>
      <c r="EPH27" s="1"/>
      <c r="EPI27" s="1"/>
      <c r="EPJ27" s="1"/>
      <c r="EPK27" s="1"/>
      <c r="EPL27" s="1"/>
      <c r="EPM27" s="1"/>
      <c r="EPN27" s="1"/>
      <c r="EPO27" s="1"/>
      <c r="EPP27" s="1"/>
      <c r="EPQ27" s="1"/>
      <c r="EPR27" s="1"/>
      <c r="EPS27" s="1"/>
      <c r="EPT27" s="1"/>
      <c r="EPU27" s="1"/>
      <c r="EPV27" s="1"/>
      <c r="EPW27" s="1"/>
      <c r="EPX27" s="1"/>
      <c r="EPY27" s="1"/>
      <c r="EPZ27" s="1"/>
      <c r="EQA27" s="1"/>
      <c r="EQB27" s="1"/>
      <c r="EQC27" s="1"/>
      <c r="EQD27" s="1"/>
      <c r="EQE27" s="1"/>
      <c r="EQF27" s="1"/>
      <c r="EQG27" s="1"/>
      <c r="EQH27" s="1"/>
      <c r="EQI27" s="1"/>
      <c r="EQJ27" s="1"/>
      <c r="EQK27" s="1"/>
      <c r="EQL27" s="1"/>
      <c r="EQM27" s="1"/>
      <c r="EQN27" s="1"/>
      <c r="EQO27" s="1"/>
      <c r="EQP27" s="1"/>
      <c r="EQQ27" s="1"/>
      <c r="EQR27" s="1"/>
      <c r="EQS27" s="1"/>
      <c r="EQT27" s="1"/>
      <c r="EQU27" s="1"/>
      <c r="EQV27" s="1"/>
      <c r="EQW27" s="1"/>
      <c r="EQX27" s="1"/>
      <c r="EQY27" s="1"/>
      <c r="EQZ27" s="1"/>
      <c r="ERA27" s="1"/>
      <c r="ERB27" s="1"/>
      <c r="ERC27" s="1"/>
      <c r="ERD27" s="1"/>
      <c r="ERE27" s="1"/>
      <c r="ERF27" s="1"/>
      <c r="ERG27" s="1"/>
      <c r="ERH27" s="1"/>
      <c r="ERI27" s="1"/>
      <c r="ERJ27" s="1"/>
      <c r="ERK27" s="1"/>
      <c r="ERL27" s="1"/>
      <c r="ERM27" s="1"/>
      <c r="ERN27" s="1"/>
      <c r="ERO27" s="1"/>
      <c r="ERP27" s="1"/>
      <c r="ERQ27" s="1"/>
      <c r="ERR27" s="1"/>
      <c r="ERS27" s="1"/>
      <c r="ERT27" s="1"/>
      <c r="ERU27" s="1"/>
      <c r="ERV27" s="1"/>
      <c r="ERW27" s="1"/>
      <c r="ERX27" s="1"/>
      <c r="ERY27" s="1"/>
      <c r="ERZ27" s="1"/>
      <c r="ESA27" s="1"/>
      <c r="ESB27" s="1"/>
      <c r="ESC27" s="1"/>
      <c r="ESD27" s="1"/>
      <c r="ESE27" s="1"/>
      <c r="ESF27" s="1"/>
      <c r="ESG27" s="1"/>
      <c r="ESH27" s="1"/>
      <c r="ESI27" s="1"/>
      <c r="ESJ27" s="1"/>
      <c r="ESK27" s="1"/>
      <c r="ESL27" s="1"/>
      <c r="ESM27" s="1"/>
      <c r="ESN27" s="1"/>
      <c r="ESO27" s="1"/>
      <c r="ESP27" s="1"/>
      <c r="ESQ27" s="1"/>
      <c r="ESR27" s="1"/>
      <c r="ESS27" s="1"/>
      <c r="EST27" s="1"/>
      <c r="ESU27" s="1"/>
      <c r="ESV27" s="1"/>
      <c r="ESW27" s="1"/>
      <c r="ESX27" s="1"/>
      <c r="ESY27" s="1"/>
      <c r="ESZ27" s="1"/>
      <c r="ETA27" s="1"/>
      <c r="ETB27" s="1"/>
      <c r="ETC27" s="1"/>
      <c r="ETD27" s="1"/>
      <c r="ETE27" s="1"/>
      <c r="ETF27" s="1"/>
      <c r="ETG27" s="1"/>
      <c r="ETH27" s="1"/>
      <c r="ETI27" s="1"/>
      <c r="ETJ27" s="1"/>
      <c r="ETK27" s="1"/>
      <c r="ETL27" s="1"/>
      <c r="ETM27" s="1"/>
      <c r="ETN27" s="1"/>
      <c r="ETO27" s="1"/>
      <c r="ETP27" s="1"/>
      <c r="ETQ27" s="1"/>
      <c r="ETR27" s="1"/>
      <c r="ETS27" s="1"/>
      <c r="ETT27" s="1"/>
      <c r="ETU27" s="1"/>
      <c r="ETV27" s="1"/>
      <c r="ETW27" s="1"/>
      <c r="ETX27" s="1"/>
      <c r="ETY27" s="1"/>
      <c r="ETZ27" s="1"/>
      <c r="EUA27" s="1"/>
      <c r="EUB27" s="1"/>
      <c r="EUC27" s="1"/>
      <c r="EUD27" s="1"/>
      <c r="EUE27" s="1"/>
      <c r="EUF27" s="1"/>
      <c r="EUG27" s="1"/>
      <c r="EUH27" s="1"/>
      <c r="EUI27" s="1"/>
      <c r="EUJ27" s="1"/>
      <c r="EUK27" s="1"/>
      <c r="EUL27" s="1"/>
      <c r="EUM27" s="1"/>
      <c r="EUN27" s="1"/>
      <c r="EUO27" s="1"/>
      <c r="EUP27" s="1"/>
      <c r="EUQ27" s="1"/>
      <c r="EUR27" s="1"/>
      <c r="EUS27" s="1"/>
      <c r="EUT27" s="1"/>
      <c r="EUU27" s="1"/>
      <c r="EUV27" s="1"/>
      <c r="EUW27" s="1"/>
      <c r="EUX27" s="1"/>
      <c r="EUY27" s="1"/>
      <c r="EUZ27" s="1"/>
      <c r="EVA27" s="1"/>
      <c r="EVB27" s="1"/>
      <c r="EVC27" s="1"/>
      <c r="EVD27" s="1"/>
      <c r="EVE27" s="1"/>
      <c r="EVF27" s="1"/>
      <c r="EVG27" s="1"/>
      <c r="EVH27" s="1"/>
      <c r="EVI27" s="1"/>
      <c r="EVJ27" s="1"/>
      <c r="EVK27" s="1"/>
      <c r="EVL27" s="1"/>
      <c r="EVM27" s="1"/>
      <c r="EVN27" s="1"/>
      <c r="EVO27" s="1"/>
      <c r="EVP27" s="1"/>
      <c r="EVQ27" s="1"/>
      <c r="EVR27" s="1"/>
      <c r="EVS27" s="1"/>
      <c r="EVT27" s="1"/>
      <c r="EVU27" s="1"/>
      <c r="EVV27" s="1"/>
      <c r="EVW27" s="1"/>
      <c r="EVX27" s="1"/>
      <c r="EVY27" s="1"/>
      <c r="EVZ27" s="1"/>
      <c r="EWA27" s="1"/>
      <c r="EWB27" s="1"/>
      <c r="EWC27" s="1"/>
      <c r="EWD27" s="1"/>
      <c r="EWE27" s="1"/>
      <c r="EWF27" s="1"/>
      <c r="EWG27" s="1"/>
      <c r="EWH27" s="1"/>
      <c r="EWI27" s="1"/>
      <c r="EWJ27" s="1"/>
      <c r="EWK27" s="1"/>
      <c r="EWL27" s="1"/>
      <c r="EWM27" s="1"/>
      <c r="EWN27" s="1"/>
      <c r="EWO27" s="1"/>
      <c r="EWP27" s="1"/>
      <c r="EWQ27" s="1"/>
      <c r="EWR27" s="1"/>
      <c r="EWS27" s="1"/>
      <c r="EWT27" s="1"/>
      <c r="EWU27" s="1"/>
      <c r="EWV27" s="1"/>
      <c r="EWW27" s="1"/>
      <c r="EWX27" s="1"/>
      <c r="EWY27" s="1"/>
      <c r="EWZ27" s="1"/>
      <c r="EXA27" s="1"/>
      <c r="EXB27" s="1"/>
      <c r="EXC27" s="1"/>
      <c r="EXD27" s="1"/>
      <c r="EXE27" s="1"/>
      <c r="EXF27" s="1"/>
      <c r="EXG27" s="1"/>
      <c r="EXH27" s="1"/>
      <c r="EXI27" s="1"/>
      <c r="EXJ27" s="1"/>
      <c r="EXK27" s="1"/>
      <c r="EXL27" s="1"/>
      <c r="EXM27" s="1"/>
      <c r="EXN27" s="1"/>
      <c r="EXO27" s="1"/>
      <c r="EXP27" s="1"/>
      <c r="EXQ27" s="1"/>
      <c r="EXR27" s="1"/>
      <c r="EXS27" s="1"/>
      <c r="EXT27" s="1"/>
      <c r="EXU27" s="1"/>
      <c r="EXV27" s="1"/>
      <c r="EXW27" s="1"/>
      <c r="EXX27" s="1"/>
      <c r="EXY27" s="1"/>
      <c r="EXZ27" s="1"/>
      <c r="EYA27" s="1"/>
      <c r="EYB27" s="1"/>
      <c r="EYC27" s="1"/>
      <c r="EYD27" s="1"/>
      <c r="EYE27" s="1"/>
      <c r="EYF27" s="1"/>
      <c r="EYG27" s="1"/>
      <c r="EYH27" s="1"/>
      <c r="EYI27" s="1"/>
      <c r="EYJ27" s="1"/>
      <c r="EYK27" s="1"/>
      <c r="EYL27" s="1"/>
      <c r="EYM27" s="1"/>
      <c r="EYN27" s="1"/>
      <c r="EYO27" s="1"/>
      <c r="EYP27" s="1"/>
      <c r="EYQ27" s="1"/>
      <c r="EYR27" s="1"/>
      <c r="EYS27" s="1"/>
      <c r="EYT27" s="1"/>
      <c r="EYU27" s="1"/>
      <c r="EYV27" s="1"/>
      <c r="EYW27" s="1"/>
      <c r="EYX27" s="1"/>
      <c r="EYY27" s="1"/>
      <c r="EYZ27" s="1"/>
      <c r="EZA27" s="1"/>
      <c r="EZB27" s="1"/>
      <c r="EZC27" s="1"/>
      <c r="EZD27" s="1"/>
      <c r="EZE27" s="1"/>
      <c r="EZF27" s="1"/>
      <c r="EZG27" s="1"/>
      <c r="EZH27" s="1"/>
      <c r="EZI27" s="1"/>
      <c r="EZJ27" s="1"/>
      <c r="EZK27" s="1"/>
      <c r="EZL27" s="1"/>
      <c r="EZM27" s="1"/>
      <c r="EZN27" s="1"/>
      <c r="EZO27" s="1"/>
      <c r="EZP27" s="1"/>
      <c r="EZQ27" s="1"/>
      <c r="EZR27" s="1"/>
      <c r="EZS27" s="1"/>
      <c r="EZT27" s="1"/>
      <c r="EZU27" s="1"/>
      <c r="EZV27" s="1"/>
      <c r="EZW27" s="1"/>
      <c r="EZX27" s="1"/>
      <c r="EZY27" s="1"/>
      <c r="EZZ27" s="1"/>
      <c r="FAA27" s="1"/>
      <c r="FAB27" s="1"/>
      <c r="FAC27" s="1"/>
      <c r="FAD27" s="1"/>
      <c r="FAE27" s="1"/>
      <c r="FAF27" s="1"/>
      <c r="FAG27" s="1"/>
      <c r="FAH27" s="1"/>
      <c r="FAI27" s="1"/>
      <c r="FAJ27" s="1"/>
      <c r="FAK27" s="1"/>
      <c r="FAL27" s="1"/>
      <c r="FAM27" s="1"/>
      <c r="FAN27" s="1"/>
      <c r="FAO27" s="1"/>
      <c r="FAP27" s="1"/>
      <c r="FAQ27" s="1"/>
      <c r="FAR27" s="1"/>
      <c r="FAS27" s="1"/>
      <c r="FAT27" s="1"/>
      <c r="FAU27" s="1"/>
      <c r="FAV27" s="1"/>
      <c r="FAW27" s="1"/>
      <c r="FAX27" s="1"/>
      <c r="FAY27" s="1"/>
      <c r="FAZ27" s="1"/>
      <c r="FBA27" s="1"/>
      <c r="FBB27" s="1"/>
      <c r="FBC27" s="1"/>
      <c r="FBD27" s="1"/>
      <c r="FBE27" s="1"/>
      <c r="FBF27" s="1"/>
      <c r="FBG27" s="1"/>
      <c r="FBH27" s="1"/>
      <c r="FBI27" s="1"/>
      <c r="FBJ27" s="1"/>
      <c r="FBK27" s="1"/>
      <c r="FBL27" s="1"/>
      <c r="FBM27" s="1"/>
      <c r="FBN27" s="1"/>
      <c r="FBO27" s="1"/>
      <c r="FBP27" s="1"/>
      <c r="FBQ27" s="1"/>
      <c r="FBR27" s="1"/>
      <c r="FBS27" s="1"/>
      <c r="FBT27" s="1"/>
      <c r="FBU27" s="1"/>
      <c r="FBV27" s="1"/>
      <c r="FBW27" s="1"/>
      <c r="FBX27" s="1"/>
      <c r="FBY27" s="1"/>
      <c r="FBZ27" s="1"/>
      <c r="FCA27" s="1"/>
      <c r="FCB27" s="1"/>
      <c r="FCC27" s="1"/>
      <c r="FCD27" s="1"/>
      <c r="FCE27" s="1"/>
      <c r="FCF27" s="1"/>
      <c r="FCG27" s="1"/>
      <c r="FCH27" s="1"/>
      <c r="FCI27" s="1"/>
      <c r="FCJ27" s="1"/>
      <c r="FCK27" s="1"/>
      <c r="FCL27" s="1"/>
      <c r="FCM27" s="1"/>
      <c r="FCN27" s="1"/>
      <c r="FCO27" s="1"/>
      <c r="FCP27" s="1"/>
      <c r="FCQ27" s="1"/>
      <c r="FCR27" s="1"/>
      <c r="FCS27" s="1"/>
      <c r="FCT27" s="1"/>
      <c r="FCU27" s="1"/>
      <c r="FCV27" s="1"/>
      <c r="FCW27" s="1"/>
      <c r="FCX27" s="1"/>
      <c r="FCY27" s="1"/>
      <c r="FCZ27" s="1"/>
      <c r="FDA27" s="1"/>
      <c r="FDB27" s="1"/>
      <c r="FDC27" s="1"/>
      <c r="FDD27" s="1"/>
      <c r="FDE27" s="1"/>
      <c r="FDF27" s="1"/>
      <c r="FDG27" s="1"/>
      <c r="FDH27" s="1"/>
      <c r="FDI27" s="1"/>
      <c r="FDJ27" s="1"/>
      <c r="FDK27" s="1"/>
      <c r="FDL27" s="1"/>
      <c r="FDM27" s="1"/>
      <c r="FDN27" s="1"/>
      <c r="FDO27" s="1"/>
      <c r="FDP27" s="1"/>
      <c r="FDQ27" s="1"/>
      <c r="FDR27" s="1"/>
      <c r="FDS27" s="1"/>
      <c r="FDT27" s="1"/>
      <c r="FDU27" s="1"/>
      <c r="FDV27" s="1"/>
      <c r="FDW27" s="1"/>
      <c r="FDX27" s="1"/>
      <c r="FDY27" s="1"/>
      <c r="FDZ27" s="1"/>
      <c r="FEA27" s="1"/>
      <c r="FEB27" s="1"/>
      <c r="FEC27" s="1"/>
      <c r="FED27" s="1"/>
      <c r="FEE27" s="1"/>
      <c r="FEF27" s="1"/>
      <c r="FEG27" s="1"/>
      <c r="FEH27" s="1"/>
      <c r="FEI27" s="1"/>
      <c r="FEJ27" s="1"/>
      <c r="FEK27" s="1"/>
      <c r="FEL27" s="1"/>
      <c r="FEM27" s="1"/>
      <c r="FEN27" s="1"/>
      <c r="FEO27" s="1"/>
      <c r="FEP27" s="1"/>
      <c r="FEQ27" s="1"/>
      <c r="FER27" s="1"/>
      <c r="FES27" s="1"/>
      <c r="FET27" s="1"/>
      <c r="FEU27" s="1"/>
      <c r="FEV27" s="1"/>
      <c r="FEW27" s="1"/>
      <c r="FEX27" s="1"/>
      <c r="FEY27" s="1"/>
      <c r="FEZ27" s="1"/>
      <c r="FFA27" s="1"/>
      <c r="FFB27" s="1"/>
      <c r="FFC27" s="1"/>
      <c r="FFD27" s="1"/>
      <c r="FFE27" s="1"/>
      <c r="FFF27" s="1"/>
      <c r="FFG27" s="1"/>
      <c r="FFH27" s="1"/>
      <c r="FFI27" s="1"/>
      <c r="FFJ27" s="1"/>
      <c r="FFK27" s="1"/>
      <c r="FFL27" s="1"/>
      <c r="FFM27" s="1"/>
      <c r="FFN27" s="1"/>
      <c r="FFO27" s="1"/>
      <c r="FFP27" s="1"/>
      <c r="FFQ27" s="1"/>
      <c r="FFR27" s="1"/>
      <c r="FFS27" s="1"/>
      <c r="FFT27" s="1"/>
      <c r="FFU27" s="1"/>
      <c r="FFV27" s="1"/>
      <c r="FFW27" s="1"/>
      <c r="FFX27" s="1"/>
      <c r="FFY27" s="1"/>
      <c r="FFZ27" s="1"/>
      <c r="FGA27" s="1"/>
      <c r="FGB27" s="1"/>
      <c r="FGC27" s="1"/>
      <c r="FGD27" s="1"/>
      <c r="FGE27" s="1"/>
      <c r="FGF27" s="1"/>
      <c r="FGG27" s="1"/>
      <c r="FGH27" s="1"/>
      <c r="FGI27" s="1"/>
      <c r="FGJ27" s="1"/>
      <c r="FGK27" s="1"/>
      <c r="FGL27" s="1"/>
      <c r="FGM27" s="1"/>
      <c r="FGN27" s="1"/>
      <c r="FGO27" s="1"/>
      <c r="FGP27" s="1"/>
      <c r="FGQ27" s="1"/>
      <c r="FGR27" s="1"/>
      <c r="FGS27" s="1"/>
      <c r="FGT27" s="1"/>
      <c r="FGU27" s="1"/>
      <c r="FGV27" s="1"/>
      <c r="FGW27" s="1"/>
      <c r="FGX27" s="1"/>
      <c r="FGY27" s="1"/>
      <c r="FGZ27" s="1"/>
      <c r="FHA27" s="1"/>
      <c r="FHB27" s="1"/>
      <c r="FHC27" s="1"/>
      <c r="FHD27" s="1"/>
      <c r="FHE27" s="1"/>
      <c r="FHF27" s="1"/>
      <c r="FHG27" s="1"/>
      <c r="FHH27" s="1"/>
      <c r="FHI27" s="1"/>
      <c r="FHJ27" s="1"/>
      <c r="FHK27" s="1"/>
      <c r="FHL27" s="1"/>
      <c r="FHM27" s="1"/>
      <c r="FHN27" s="1"/>
      <c r="FHO27" s="1"/>
      <c r="FHP27" s="1"/>
      <c r="FHQ27" s="1"/>
      <c r="FHR27" s="1"/>
      <c r="FHS27" s="1"/>
      <c r="FHT27" s="1"/>
      <c r="FHU27" s="1"/>
      <c r="FHV27" s="1"/>
      <c r="FHW27" s="1"/>
      <c r="FHX27" s="1"/>
      <c r="FHY27" s="1"/>
      <c r="FHZ27" s="1"/>
      <c r="FIA27" s="1"/>
      <c r="FIB27" s="1"/>
      <c r="FIC27" s="1"/>
      <c r="FID27" s="1"/>
      <c r="FIE27" s="1"/>
      <c r="FIF27" s="1"/>
      <c r="FIG27" s="1"/>
      <c r="FIH27" s="1"/>
      <c r="FII27" s="1"/>
      <c r="FIJ27" s="1"/>
      <c r="FIK27" s="1"/>
      <c r="FIL27" s="1"/>
      <c r="FIM27" s="1"/>
      <c r="FIN27" s="1"/>
      <c r="FIO27" s="1"/>
      <c r="FIP27" s="1"/>
      <c r="FIQ27" s="1"/>
      <c r="FIR27" s="1"/>
      <c r="FIS27" s="1"/>
      <c r="FIT27" s="1"/>
      <c r="FIU27" s="1"/>
      <c r="FIV27" s="1"/>
      <c r="FIW27" s="1"/>
      <c r="FIX27" s="1"/>
      <c r="FIY27" s="1"/>
      <c r="FIZ27" s="1"/>
      <c r="FJA27" s="1"/>
      <c r="FJB27" s="1"/>
      <c r="FJC27" s="1"/>
      <c r="FJD27" s="1"/>
      <c r="FJE27" s="1"/>
      <c r="FJF27" s="1"/>
      <c r="FJG27" s="1"/>
      <c r="FJH27" s="1"/>
      <c r="FJI27" s="1"/>
      <c r="FJJ27" s="1"/>
      <c r="FJK27" s="1"/>
      <c r="FJL27" s="1"/>
      <c r="FJM27" s="1"/>
      <c r="FJN27" s="1"/>
      <c r="FJO27" s="1"/>
      <c r="FJP27" s="1"/>
      <c r="FJQ27" s="1"/>
      <c r="FJR27" s="1"/>
      <c r="FJS27" s="1"/>
      <c r="FJT27" s="1"/>
      <c r="FJU27" s="1"/>
      <c r="FJV27" s="1"/>
      <c r="FJW27" s="1"/>
      <c r="FJX27" s="1"/>
      <c r="FJY27" s="1"/>
      <c r="FJZ27" s="1"/>
      <c r="FKA27" s="1"/>
      <c r="FKB27" s="1"/>
      <c r="FKC27" s="1"/>
      <c r="FKD27" s="1"/>
      <c r="FKE27" s="1"/>
      <c r="FKF27" s="1"/>
      <c r="FKG27" s="1"/>
      <c r="FKH27" s="1"/>
      <c r="FKI27" s="1"/>
      <c r="FKJ27" s="1"/>
      <c r="FKK27" s="1"/>
      <c r="FKL27" s="1"/>
      <c r="FKM27" s="1"/>
      <c r="FKN27" s="1"/>
      <c r="FKO27" s="1"/>
      <c r="FKP27" s="1"/>
      <c r="FKQ27" s="1"/>
      <c r="FKR27" s="1"/>
      <c r="FKS27" s="1"/>
      <c r="FKT27" s="1"/>
      <c r="FKU27" s="1"/>
      <c r="FKV27" s="1"/>
      <c r="FKW27" s="1"/>
      <c r="FKX27" s="1"/>
      <c r="FKY27" s="1"/>
      <c r="FKZ27" s="1"/>
      <c r="FLA27" s="1"/>
      <c r="FLB27" s="1"/>
      <c r="FLC27" s="1"/>
      <c r="FLD27" s="1"/>
      <c r="FLE27" s="1"/>
      <c r="FLF27" s="1"/>
      <c r="FLG27" s="1"/>
      <c r="FLH27" s="1"/>
      <c r="FLI27" s="1"/>
      <c r="FLJ27" s="1"/>
      <c r="FLK27" s="1"/>
      <c r="FLL27" s="1"/>
      <c r="FLM27" s="1"/>
      <c r="FLN27" s="1"/>
      <c r="FLO27" s="1"/>
      <c r="FLP27" s="1"/>
      <c r="FLQ27" s="1"/>
      <c r="FLR27" s="1"/>
      <c r="FLS27" s="1"/>
      <c r="FLT27" s="1"/>
      <c r="FLU27" s="1"/>
      <c r="FLV27" s="1"/>
      <c r="FLW27" s="1"/>
      <c r="FLX27" s="1"/>
      <c r="FLY27" s="1"/>
      <c r="FLZ27" s="1"/>
      <c r="FMA27" s="1"/>
      <c r="FMB27" s="1"/>
      <c r="FMC27" s="1"/>
      <c r="FMD27" s="1"/>
      <c r="FME27" s="1"/>
      <c r="FMF27" s="1"/>
      <c r="FMG27" s="1"/>
      <c r="FMH27" s="1"/>
      <c r="FMI27" s="1"/>
      <c r="FMJ27" s="1"/>
      <c r="FMK27" s="1"/>
      <c r="FML27" s="1"/>
      <c r="FMM27" s="1"/>
      <c r="FMN27" s="1"/>
      <c r="FMO27" s="1"/>
      <c r="FMP27" s="1"/>
      <c r="FMQ27" s="1"/>
      <c r="FMR27" s="1"/>
      <c r="FMS27" s="1"/>
      <c r="FMT27" s="1"/>
      <c r="FMU27" s="1"/>
      <c r="FMV27" s="1"/>
      <c r="FMW27" s="1"/>
      <c r="FMX27" s="1"/>
      <c r="FMY27" s="1"/>
      <c r="FMZ27" s="1"/>
      <c r="FNA27" s="1"/>
      <c r="FNB27" s="1"/>
      <c r="FNC27" s="1"/>
      <c r="FND27" s="1"/>
      <c r="FNE27" s="1"/>
      <c r="FNF27" s="1"/>
      <c r="FNG27" s="1"/>
      <c r="FNH27" s="1"/>
      <c r="FNI27" s="1"/>
      <c r="FNJ27" s="1"/>
      <c r="FNK27" s="1"/>
      <c r="FNL27" s="1"/>
      <c r="FNM27" s="1"/>
      <c r="FNN27" s="1"/>
      <c r="FNO27" s="1"/>
      <c r="FNP27" s="1"/>
      <c r="FNQ27" s="1"/>
      <c r="FNR27" s="1"/>
      <c r="FNS27" s="1"/>
      <c r="FNT27" s="1"/>
      <c r="FNU27" s="1"/>
      <c r="FNV27" s="1"/>
      <c r="FNW27" s="1"/>
      <c r="FNX27" s="1"/>
      <c r="FNY27" s="1"/>
      <c r="FNZ27" s="1"/>
      <c r="FOA27" s="1"/>
      <c r="FOB27" s="1"/>
      <c r="FOC27" s="1"/>
      <c r="FOD27" s="1"/>
      <c r="FOE27" s="1"/>
      <c r="FOF27" s="1"/>
      <c r="FOG27" s="1"/>
      <c r="FOH27" s="1"/>
      <c r="FOI27" s="1"/>
      <c r="FOJ27" s="1"/>
      <c r="FOK27" s="1"/>
      <c r="FOL27" s="1"/>
      <c r="FOM27" s="1"/>
      <c r="FON27" s="1"/>
      <c r="FOO27" s="1"/>
      <c r="FOP27" s="1"/>
      <c r="FOQ27" s="1"/>
      <c r="FOR27" s="1"/>
      <c r="FOS27" s="1"/>
      <c r="FOT27" s="1"/>
      <c r="FOU27" s="1"/>
      <c r="FOV27" s="1"/>
      <c r="FOW27" s="1"/>
      <c r="FOX27" s="1"/>
      <c r="FOY27" s="1"/>
      <c r="FOZ27" s="1"/>
      <c r="FPA27" s="1"/>
      <c r="FPB27" s="1"/>
      <c r="FPC27" s="1"/>
      <c r="FPD27" s="1"/>
      <c r="FPE27" s="1"/>
      <c r="FPF27" s="1"/>
      <c r="FPG27" s="1"/>
      <c r="FPH27" s="1"/>
      <c r="FPI27" s="1"/>
      <c r="FPJ27" s="1"/>
      <c r="FPK27" s="1"/>
      <c r="FPL27" s="1"/>
      <c r="FPM27" s="1"/>
      <c r="FPN27" s="1"/>
      <c r="FPO27" s="1"/>
      <c r="FPP27" s="1"/>
      <c r="FPQ27" s="1"/>
      <c r="FPR27" s="1"/>
      <c r="FPS27" s="1"/>
      <c r="FPT27" s="1"/>
      <c r="FPU27" s="1"/>
      <c r="FPV27" s="1"/>
      <c r="FPW27" s="1"/>
      <c r="FPX27" s="1"/>
      <c r="FPY27" s="1"/>
      <c r="FPZ27" s="1"/>
      <c r="FQA27" s="1"/>
      <c r="FQB27" s="1"/>
      <c r="FQC27" s="1"/>
      <c r="FQD27" s="1"/>
      <c r="FQE27" s="1"/>
      <c r="FQF27" s="1"/>
      <c r="FQG27" s="1"/>
      <c r="FQH27" s="1"/>
      <c r="FQI27" s="1"/>
      <c r="FQJ27" s="1"/>
      <c r="FQK27" s="1"/>
      <c r="FQL27" s="1"/>
      <c r="FQM27" s="1"/>
      <c r="FQN27" s="1"/>
      <c r="FQO27" s="1"/>
      <c r="FQP27" s="1"/>
      <c r="FQQ27" s="1"/>
      <c r="FQR27" s="1"/>
      <c r="FQS27" s="1"/>
      <c r="FQT27" s="1"/>
      <c r="FQU27" s="1"/>
      <c r="FQV27" s="1"/>
      <c r="FQW27" s="1"/>
      <c r="FQX27" s="1"/>
      <c r="FQY27" s="1"/>
      <c r="FQZ27" s="1"/>
      <c r="FRA27" s="1"/>
      <c r="FRB27" s="1"/>
      <c r="FRC27" s="1"/>
      <c r="FRD27" s="1"/>
      <c r="FRE27" s="1"/>
      <c r="FRF27" s="1"/>
      <c r="FRG27" s="1"/>
      <c r="FRH27" s="1"/>
      <c r="FRI27" s="1"/>
      <c r="FRJ27" s="1"/>
      <c r="FRK27" s="1"/>
      <c r="FRL27" s="1"/>
      <c r="FRM27" s="1"/>
      <c r="FRN27" s="1"/>
      <c r="FRO27" s="1"/>
      <c r="FRP27" s="1"/>
      <c r="FRQ27" s="1"/>
      <c r="FRR27" s="1"/>
      <c r="FRS27" s="1"/>
      <c r="FRT27" s="1"/>
      <c r="FRU27" s="1"/>
      <c r="FRV27" s="1"/>
      <c r="FRW27" s="1"/>
      <c r="FRX27" s="1"/>
      <c r="FRY27" s="1"/>
      <c r="FRZ27" s="1"/>
      <c r="FSA27" s="1"/>
      <c r="FSB27" s="1"/>
      <c r="FSC27" s="1"/>
      <c r="FSD27" s="1"/>
      <c r="FSE27" s="1"/>
      <c r="FSF27" s="1"/>
      <c r="FSG27" s="1"/>
      <c r="FSH27" s="1"/>
      <c r="FSI27" s="1"/>
      <c r="FSJ27" s="1"/>
      <c r="FSK27" s="1"/>
      <c r="FSL27" s="1"/>
      <c r="FSM27" s="1"/>
      <c r="FSN27" s="1"/>
      <c r="FSO27" s="1"/>
      <c r="FSP27" s="1"/>
      <c r="FSQ27" s="1"/>
      <c r="FSR27" s="1"/>
      <c r="FSS27" s="1"/>
      <c r="FST27" s="1"/>
      <c r="FSU27" s="1"/>
      <c r="FSV27" s="1"/>
      <c r="FSW27" s="1"/>
      <c r="FSX27" s="1"/>
      <c r="FSY27" s="1"/>
      <c r="FSZ27" s="1"/>
      <c r="FTA27" s="1"/>
      <c r="FTB27" s="1"/>
      <c r="FTC27" s="1"/>
      <c r="FTD27" s="1"/>
      <c r="FTE27" s="1"/>
      <c r="FTF27" s="1"/>
      <c r="FTG27" s="1"/>
      <c r="FTH27" s="1"/>
      <c r="FTI27" s="1"/>
      <c r="FTJ27" s="1"/>
      <c r="FTK27" s="1"/>
      <c r="FTL27" s="1"/>
      <c r="FTM27" s="1"/>
      <c r="FTN27" s="1"/>
      <c r="FTO27" s="1"/>
      <c r="FTP27" s="1"/>
      <c r="FTQ27" s="1"/>
      <c r="FTR27" s="1"/>
      <c r="FTS27" s="1"/>
      <c r="FTT27" s="1"/>
      <c r="FTU27" s="1"/>
      <c r="FTV27" s="1"/>
      <c r="FTW27" s="1"/>
      <c r="FTX27" s="1"/>
      <c r="FTY27" s="1"/>
      <c r="FTZ27" s="1"/>
      <c r="FUA27" s="1"/>
      <c r="FUB27" s="1"/>
      <c r="FUC27" s="1"/>
      <c r="FUD27" s="1"/>
      <c r="FUE27" s="1"/>
      <c r="FUF27" s="1"/>
      <c r="FUG27" s="1"/>
      <c r="FUH27" s="1"/>
      <c r="FUI27" s="1"/>
      <c r="FUJ27" s="1"/>
      <c r="FUK27" s="1"/>
      <c r="FUL27" s="1"/>
      <c r="FUM27" s="1"/>
      <c r="FUN27" s="1"/>
      <c r="FUO27" s="1"/>
      <c r="FUP27" s="1"/>
      <c r="FUQ27" s="1"/>
      <c r="FUR27" s="1"/>
      <c r="FUS27" s="1"/>
      <c r="FUT27" s="1"/>
      <c r="FUU27" s="1"/>
      <c r="FUV27" s="1"/>
      <c r="FUW27" s="1"/>
      <c r="FUX27" s="1"/>
      <c r="FUY27" s="1"/>
      <c r="FUZ27" s="1"/>
      <c r="FVA27" s="1"/>
      <c r="FVB27" s="1"/>
      <c r="FVC27" s="1"/>
      <c r="FVD27" s="1"/>
      <c r="FVE27" s="1"/>
      <c r="FVF27" s="1"/>
      <c r="FVG27" s="1"/>
      <c r="FVH27" s="1"/>
      <c r="FVI27" s="1"/>
      <c r="FVJ27" s="1"/>
      <c r="FVK27" s="1"/>
      <c r="FVL27" s="1"/>
      <c r="FVM27" s="1"/>
      <c r="FVN27" s="1"/>
      <c r="FVO27" s="1"/>
      <c r="FVP27" s="1"/>
      <c r="FVQ27" s="1"/>
      <c r="FVR27" s="1"/>
      <c r="FVS27" s="1"/>
      <c r="FVT27" s="1"/>
      <c r="FVU27" s="1"/>
      <c r="FVV27" s="1"/>
      <c r="FVW27" s="1"/>
      <c r="FVX27" s="1"/>
      <c r="FVY27" s="1"/>
      <c r="FVZ27" s="1"/>
      <c r="FWA27" s="1"/>
      <c r="FWB27" s="1"/>
      <c r="FWC27" s="1"/>
      <c r="FWD27" s="1"/>
      <c r="FWE27" s="1"/>
      <c r="FWF27" s="1"/>
      <c r="FWG27" s="1"/>
      <c r="FWH27" s="1"/>
      <c r="FWI27" s="1"/>
      <c r="FWJ27" s="1"/>
      <c r="FWK27" s="1"/>
      <c r="FWL27" s="1"/>
      <c r="FWM27" s="1"/>
      <c r="FWN27" s="1"/>
      <c r="FWO27" s="1"/>
      <c r="FWP27" s="1"/>
      <c r="FWQ27" s="1"/>
      <c r="FWR27" s="1"/>
      <c r="FWS27" s="1"/>
      <c r="FWT27" s="1"/>
      <c r="FWU27" s="1"/>
      <c r="FWV27" s="1"/>
      <c r="FWW27" s="1"/>
      <c r="FWX27" s="1"/>
      <c r="FWY27" s="1"/>
      <c r="FWZ27" s="1"/>
      <c r="FXA27" s="1"/>
      <c r="FXB27" s="1"/>
      <c r="FXC27" s="1"/>
      <c r="FXD27" s="1"/>
      <c r="FXE27" s="1"/>
      <c r="FXF27" s="1"/>
      <c r="FXG27" s="1"/>
      <c r="FXH27" s="1"/>
      <c r="FXI27" s="1"/>
      <c r="FXJ27" s="1"/>
      <c r="FXK27" s="1"/>
      <c r="FXL27" s="1"/>
      <c r="FXM27" s="1"/>
      <c r="FXN27" s="1"/>
      <c r="FXO27" s="1"/>
      <c r="FXP27" s="1"/>
      <c r="FXQ27" s="1"/>
      <c r="FXR27" s="1"/>
      <c r="FXS27" s="1"/>
      <c r="FXT27" s="1"/>
      <c r="FXU27" s="1"/>
      <c r="FXV27" s="1"/>
      <c r="FXW27" s="1"/>
      <c r="FXX27" s="1"/>
      <c r="FXY27" s="1"/>
      <c r="FXZ27" s="1"/>
      <c r="FYA27" s="1"/>
      <c r="FYB27" s="1"/>
      <c r="FYC27" s="1"/>
      <c r="FYD27" s="1"/>
      <c r="FYE27" s="1"/>
      <c r="FYF27" s="1"/>
      <c r="FYG27" s="1"/>
      <c r="FYH27" s="1"/>
      <c r="FYI27" s="1"/>
      <c r="FYJ27" s="1"/>
      <c r="FYK27" s="1"/>
      <c r="FYL27" s="1"/>
      <c r="FYM27" s="1"/>
      <c r="FYN27" s="1"/>
      <c r="FYO27" s="1"/>
      <c r="FYP27" s="1"/>
      <c r="FYQ27" s="1"/>
      <c r="FYR27" s="1"/>
      <c r="FYS27" s="1"/>
      <c r="FYT27" s="1"/>
      <c r="FYU27" s="1"/>
      <c r="FYV27" s="1"/>
      <c r="FYW27" s="1"/>
      <c r="FYX27" s="1"/>
      <c r="FYY27" s="1"/>
      <c r="FYZ27" s="1"/>
      <c r="FZA27" s="1"/>
      <c r="FZB27" s="1"/>
      <c r="FZC27" s="1"/>
      <c r="FZD27" s="1"/>
      <c r="FZE27" s="1"/>
      <c r="FZF27" s="1"/>
      <c r="FZG27" s="1"/>
      <c r="FZH27" s="1"/>
      <c r="FZI27" s="1"/>
      <c r="FZJ27" s="1"/>
      <c r="FZK27" s="1"/>
      <c r="FZL27" s="1"/>
      <c r="FZM27" s="1"/>
      <c r="FZN27" s="1"/>
      <c r="FZO27" s="1"/>
      <c r="FZP27" s="1"/>
      <c r="FZQ27" s="1"/>
      <c r="FZR27" s="1"/>
      <c r="FZS27" s="1"/>
      <c r="FZT27" s="1"/>
      <c r="FZU27" s="1"/>
      <c r="FZV27" s="1"/>
      <c r="FZW27" s="1"/>
      <c r="FZX27" s="1"/>
      <c r="FZY27" s="1"/>
      <c r="FZZ27" s="1"/>
      <c r="GAA27" s="1"/>
      <c r="GAB27" s="1"/>
      <c r="GAC27" s="1"/>
      <c r="GAD27" s="1"/>
      <c r="GAE27" s="1"/>
      <c r="GAF27" s="1"/>
      <c r="GAG27" s="1"/>
      <c r="GAH27" s="1"/>
      <c r="GAI27" s="1"/>
      <c r="GAJ27" s="1"/>
      <c r="GAK27" s="1"/>
      <c r="GAL27" s="1"/>
      <c r="GAM27" s="1"/>
      <c r="GAN27" s="1"/>
      <c r="GAO27" s="1"/>
      <c r="GAP27" s="1"/>
      <c r="GAQ27" s="1"/>
      <c r="GAR27" s="1"/>
      <c r="GAS27" s="1"/>
      <c r="GAT27" s="1"/>
      <c r="GAU27" s="1"/>
      <c r="GAV27" s="1"/>
      <c r="GAW27" s="1"/>
      <c r="GAX27" s="1"/>
      <c r="GAY27" s="1"/>
      <c r="GAZ27" s="1"/>
      <c r="GBA27" s="1"/>
      <c r="GBB27" s="1"/>
      <c r="GBC27" s="1"/>
      <c r="GBD27" s="1"/>
      <c r="GBE27" s="1"/>
      <c r="GBF27" s="1"/>
      <c r="GBG27" s="1"/>
      <c r="GBH27" s="1"/>
      <c r="GBI27" s="1"/>
      <c r="GBJ27" s="1"/>
      <c r="GBK27" s="1"/>
      <c r="GBL27" s="1"/>
      <c r="GBM27" s="1"/>
      <c r="GBN27" s="1"/>
      <c r="GBO27" s="1"/>
      <c r="GBP27" s="1"/>
      <c r="GBQ27" s="1"/>
      <c r="GBR27" s="1"/>
      <c r="GBS27" s="1"/>
      <c r="GBT27" s="1"/>
      <c r="GBU27" s="1"/>
      <c r="GBV27" s="1"/>
      <c r="GBW27" s="1"/>
      <c r="GBX27" s="1"/>
      <c r="GBY27" s="1"/>
      <c r="GBZ27" s="1"/>
      <c r="GCA27" s="1"/>
      <c r="GCB27" s="1"/>
      <c r="GCC27" s="1"/>
      <c r="GCD27" s="1"/>
      <c r="GCE27" s="1"/>
      <c r="GCF27" s="1"/>
      <c r="GCG27" s="1"/>
      <c r="GCH27" s="1"/>
      <c r="GCI27" s="1"/>
      <c r="GCJ27" s="1"/>
      <c r="GCK27" s="1"/>
      <c r="GCL27" s="1"/>
      <c r="GCM27" s="1"/>
      <c r="GCN27" s="1"/>
      <c r="GCO27" s="1"/>
      <c r="GCP27" s="1"/>
      <c r="GCQ27" s="1"/>
      <c r="GCR27" s="1"/>
      <c r="GCS27" s="1"/>
      <c r="GCT27" s="1"/>
      <c r="GCU27" s="1"/>
      <c r="GCV27" s="1"/>
      <c r="GCW27" s="1"/>
      <c r="GCX27" s="1"/>
      <c r="GCY27" s="1"/>
      <c r="GCZ27" s="1"/>
      <c r="GDA27" s="1"/>
      <c r="GDB27" s="1"/>
      <c r="GDC27" s="1"/>
      <c r="GDD27" s="1"/>
      <c r="GDE27" s="1"/>
      <c r="GDF27" s="1"/>
      <c r="GDG27" s="1"/>
      <c r="GDH27" s="1"/>
      <c r="GDI27" s="1"/>
      <c r="GDJ27" s="1"/>
      <c r="GDK27" s="1"/>
      <c r="GDL27" s="1"/>
      <c r="GDM27" s="1"/>
      <c r="GDN27" s="1"/>
      <c r="GDO27" s="1"/>
      <c r="GDP27" s="1"/>
      <c r="GDQ27" s="1"/>
      <c r="GDR27" s="1"/>
      <c r="GDS27" s="1"/>
      <c r="GDT27" s="1"/>
      <c r="GDU27" s="1"/>
      <c r="GDV27" s="1"/>
      <c r="GDW27" s="1"/>
      <c r="GDX27" s="1"/>
      <c r="GDY27" s="1"/>
      <c r="GDZ27" s="1"/>
      <c r="GEA27" s="1"/>
      <c r="GEB27" s="1"/>
      <c r="GEC27" s="1"/>
      <c r="GED27" s="1"/>
      <c r="GEE27" s="1"/>
      <c r="GEF27" s="1"/>
      <c r="GEG27" s="1"/>
      <c r="GEH27" s="1"/>
      <c r="GEI27" s="1"/>
      <c r="GEJ27" s="1"/>
      <c r="GEK27" s="1"/>
      <c r="GEL27" s="1"/>
      <c r="GEM27" s="1"/>
      <c r="GEN27" s="1"/>
      <c r="GEO27" s="1"/>
      <c r="GEP27" s="1"/>
      <c r="GEQ27" s="1"/>
      <c r="GER27" s="1"/>
      <c r="GES27" s="1"/>
      <c r="GET27" s="1"/>
      <c r="GEU27" s="1"/>
      <c r="GEV27" s="1"/>
      <c r="GEW27" s="1"/>
      <c r="GEX27" s="1"/>
      <c r="GEY27" s="1"/>
      <c r="GEZ27" s="1"/>
      <c r="GFA27" s="1"/>
      <c r="GFB27" s="1"/>
      <c r="GFC27" s="1"/>
      <c r="GFD27" s="1"/>
      <c r="GFE27" s="1"/>
      <c r="GFF27" s="1"/>
      <c r="GFG27" s="1"/>
      <c r="GFH27" s="1"/>
      <c r="GFI27" s="1"/>
      <c r="GFJ27" s="1"/>
      <c r="GFK27" s="1"/>
      <c r="GFL27" s="1"/>
      <c r="GFM27" s="1"/>
      <c r="GFN27" s="1"/>
      <c r="GFO27" s="1"/>
      <c r="GFP27" s="1"/>
      <c r="GFQ27" s="1"/>
      <c r="GFR27" s="1"/>
      <c r="GFS27" s="1"/>
      <c r="GFT27" s="1"/>
      <c r="GFU27" s="1"/>
      <c r="GFV27" s="1"/>
      <c r="GFW27" s="1"/>
      <c r="GFX27" s="1"/>
      <c r="GFY27" s="1"/>
      <c r="GFZ27" s="1"/>
      <c r="GGA27" s="1"/>
      <c r="GGB27" s="1"/>
      <c r="GGC27" s="1"/>
      <c r="GGD27" s="1"/>
      <c r="GGE27" s="1"/>
      <c r="GGF27" s="1"/>
      <c r="GGG27" s="1"/>
      <c r="GGH27" s="1"/>
      <c r="GGI27" s="1"/>
      <c r="GGJ27" s="1"/>
      <c r="GGK27" s="1"/>
      <c r="GGL27" s="1"/>
      <c r="GGM27" s="1"/>
      <c r="GGN27" s="1"/>
      <c r="GGO27" s="1"/>
      <c r="GGP27" s="1"/>
      <c r="GGQ27" s="1"/>
      <c r="GGR27" s="1"/>
      <c r="GGS27" s="1"/>
      <c r="GGT27" s="1"/>
      <c r="GGU27" s="1"/>
      <c r="GGV27" s="1"/>
      <c r="GGW27" s="1"/>
      <c r="GGX27" s="1"/>
      <c r="GGY27" s="1"/>
      <c r="GGZ27" s="1"/>
      <c r="GHA27" s="1"/>
      <c r="GHB27" s="1"/>
      <c r="GHC27" s="1"/>
      <c r="GHD27" s="1"/>
      <c r="GHE27" s="1"/>
      <c r="GHF27" s="1"/>
      <c r="GHG27" s="1"/>
      <c r="GHH27" s="1"/>
      <c r="GHI27" s="1"/>
      <c r="GHJ27" s="1"/>
      <c r="GHK27" s="1"/>
      <c r="GHL27" s="1"/>
      <c r="GHM27" s="1"/>
      <c r="GHN27" s="1"/>
      <c r="GHO27" s="1"/>
      <c r="GHP27" s="1"/>
      <c r="GHQ27" s="1"/>
      <c r="GHR27" s="1"/>
      <c r="GHS27" s="1"/>
      <c r="GHT27" s="1"/>
      <c r="GHU27" s="1"/>
      <c r="GHV27" s="1"/>
      <c r="GHW27" s="1"/>
      <c r="GHX27" s="1"/>
      <c r="GHY27" s="1"/>
      <c r="GHZ27" s="1"/>
      <c r="GIA27" s="1"/>
      <c r="GIB27" s="1"/>
      <c r="GIC27" s="1"/>
      <c r="GID27" s="1"/>
      <c r="GIE27" s="1"/>
      <c r="GIF27" s="1"/>
      <c r="GIG27" s="1"/>
      <c r="GIH27" s="1"/>
      <c r="GII27" s="1"/>
      <c r="GIJ27" s="1"/>
      <c r="GIK27" s="1"/>
      <c r="GIL27" s="1"/>
      <c r="GIM27" s="1"/>
      <c r="GIN27" s="1"/>
      <c r="GIO27" s="1"/>
      <c r="GIP27" s="1"/>
      <c r="GIQ27" s="1"/>
      <c r="GIR27" s="1"/>
      <c r="GIS27" s="1"/>
      <c r="GIT27" s="1"/>
      <c r="GIU27" s="1"/>
      <c r="GIV27" s="1"/>
      <c r="GIW27" s="1"/>
      <c r="GIX27" s="1"/>
      <c r="GIY27" s="1"/>
      <c r="GIZ27" s="1"/>
      <c r="GJA27" s="1"/>
      <c r="GJB27" s="1"/>
      <c r="GJC27" s="1"/>
      <c r="GJD27" s="1"/>
      <c r="GJE27" s="1"/>
      <c r="GJF27" s="1"/>
      <c r="GJG27" s="1"/>
      <c r="GJH27" s="1"/>
      <c r="GJI27" s="1"/>
      <c r="GJJ27" s="1"/>
      <c r="GJK27" s="1"/>
      <c r="GJL27" s="1"/>
      <c r="GJM27" s="1"/>
      <c r="GJN27" s="1"/>
      <c r="GJO27" s="1"/>
      <c r="GJP27" s="1"/>
      <c r="GJQ27" s="1"/>
      <c r="GJR27" s="1"/>
      <c r="GJS27" s="1"/>
      <c r="GJT27" s="1"/>
      <c r="GJU27" s="1"/>
      <c r="GJV27" s="1"/>
      <c r="GJW27" s="1"/>
      <c r="GJX27" s="1"/>
      <c r="GJY27" s="1"/>
      <c r="GJZ27" s="1"/>
      <c r="GKA27" s="1"/>
      <c r="GKB27" s="1"/>
      <c r="GKC27" s="1"/>
      <c r="GKD27" s="1"/>
      <c r="GKE27" s="1"/>
      <c r="GKF27" s="1"/>
      <c r="GKG27" s="1"/>
      <c r="GKH27" s="1"/>
      <c r="GKI27" s="1"/>
      <c r="GKJ27" s="1"/>
      <c r="GKK27" s="1"/>
      <c r="GKL27" s="1"/>
      <c r="GKM27" s="1"/>
      <c r="GKN27" s="1"/>
      <c r="GKO27" s="1"/>
      <c r="GKP27" s="1"/>
      <c r="GKQ27" s="1"/>
      <c r="GKR27" s="1"/>
      <c r="GKS27" s="1"/>
      <c r="GKT27" s="1"/>
      <c r="GKU27" s="1"/>
      <c r="GKV27" s="1"/>
      <c r="GKW27" s="1"/>
      <c r="GKX27" s="1"/>
      <c r="GKY27" s="1"/>
      <c r="GKZ27" s="1"/>
      <c r="GLA27" s="1"/>
      <c r="GLB27" s="1"/>
      <c r="GLC27" s="1"/>
      <c r="GLD27" s="1"/>
      <c r="GLE27" s="1"/>
      <c r="GLF27" s="1"/>
      <c r="GLG27" s="1"/>
      <c r="GLH27" s="1"/>
      <c r="GLI27" s="1"/>
      <c r="GLJ27" s="1"/>
      <c r="GLK27" s="1"/>
      <c r="GLL27" s="1"/>
      <c r="GLM27" s="1"/>
      <c r="GLN27" s="1"/>
      <c r="GLO27" s="1"/>
      <c r="GLP27" s="1"/>
      <c r="GLQ27" s="1"/>
      <c r="GLR27" s="1"/>
      <c r="GLS27" s="1"/>
      <c r="GLT27" s="1"/>
      <c r="GLU27" s="1"/>
      <c r="GLV27" s="1"/>
      <c r="GLW27" s="1"/>
      <c r="GLX27" s="1"/>
      <c r="GLY27" s="1"/>
      <c r="GLZ27" s="1"/>
      <c r="GMA27" s="1"/>
      <c r="GMB27" s="1"/>
      <c r="GMC27" s="1"/>
      <c r="GMD27" s="1"/>
      <c r="GME27" s="1"/>
      <c r="GMF27" s="1"/>
      <c r="GMG27" s="1"/>
      <c r="GMH27" s="1"/>
      <c r="GMI27" s="1"/>
      <c r="GMJ27" s="1"/>
      <c r="GMK27" s="1"/>
      <c r="GML27" s="1"/>
      <c r="GMM27" s="1"/>
      <c r="GMN27" s="1"/>
      <c r="GMO27" s="1"/>
      <c r="GMP27" s="1"/>
      <c r="GMQ27" s="1"/>
      <c r="GMR27" s="1"/>
      <c r="GMS27" s="1"/>
      <c r="GMT27" s="1"/>
      <c r="GMU27" s="1"/>
      <c r="GMV27" s="1"/>
      <c r="GMW27" s="1"/>
      <c r="GMX27" s="1"/>
      <c r="GMY27" s="1"/>
      <c r="GMZ27" s="1"/>
      <c r="GNA27" s="1"/>
      <c r="GNB27" s="1"/>
      <c r="GNC27" s="1"/>
      <c r="GND27" s="1"/>
      <c r="GNE27" s="1"/>
      <c r="GNF27" s="1"/>
      <c r="GNG27" s="1"/>
      <c r="GNH27" s="1"/>
      <c r="GNI27" s="1"/>
      <c r="GNJ27" s="1"/>
      <c r="GNK27" s="1"/>
      <c r="GNL27" s="1"/>
      <c r="GNM27" s="1"/>
      <c r="GNN27" s="1"/>
      <c r="GNO27" s="1"/>
      <c r="GNP27" s="1"/>
      <c r="GNQ27" s="1"/>
      <c r="GNR27" s="1"/>
      <c r="GNS27" s="1"/>
      <c r="GNT27" s="1"/>
      <c r="GNU27" s="1"/>
      <c r="GNV27" s="1"/>
      <c r="GNW27" s="1"/>
      <c r="GNX27" s="1"/>
      <c r="GNY27" s="1"/>
      <c r="GNZ27" s="1"/>
      <c r="GOA27" s="1"/>
      <c r="GOB27" s="1"/>
      <c r="GOC27" s="1"/>
      <c r="GOD27" s="1"/>
      <c r="GOE27" s="1"/>
      <c r="GOF27" s="1"/>
      <c r="GOG27" s="1"/>
      <c r="GOH27" s="1"/>
      <c r="GOI27" s="1"/>
      <c r="GOJ27" s="1"/>
      <c r="GOK27" s="1"/>
      <c r="GOL27" s="1"/>
      <c r="GOM27" s="1"/>
      <c r="GON27" s="1"/>
      <c r="GOO27" s="1"/>
      <c r="GOP27" s="1"/>
      <c r="GOQ27" s="1"/>
      <c r="GOR27" s="1"/>
      <c r="GOS27" s="1"/>
      <c r="GOT27" s="1"/>
      <c r="GOU27" s="1"/>
      <c r="GOV27" s="1"/>
      <c r="GOW27" s="1"/>
      <c r="GOX27" s="1"/>
      <c r="GOY27" s="1"/>
      <c r="GOZ27" s="1"/>
      <c r="GPA27" s="1"/>
      <c r="GPB27" s="1"/>
      <c r="GPC27" s="1"/>
      <c r="GPD27" s="1"/>
      <c r="GPE27" s="1"/>
      <c r="GPF27" s="1"/>
      <c r="GPG27" s="1"/>
      <c r="GPH27" s="1"/>
      <c r="GPI27" s="1"/>
      <c r="GPJ27" s="1"/>
      <c r="GPK27" s="1"/>
      <c r="GPL27" s="1"/>
      <c r="GPM27" s="1"/>
      <c r="GPN27" s="1"/>
      <c r="GPO27" s="1"/>
      <c r="GPP27" s="1"/>
      <c r="GPQ27" s="1"/>
      <c r="GPR27" s="1"/>
      <c r="GPS27" s="1"/>
      <c r="GPT27" s="1"/>
      <c r="GPU27" s="1"/>
      <c r="GPV27" s="1"/>
      <c r="GPW27" s="1"/>
      <c r="GPX27" s="1"/>
      <c r="GPY27" s="1"/>
      <c r="GPZ27" s="1"/>
      <c r="GQA27" s="1"/>
      <c r="GQB27" s="1"/>
      <c r="GQC27" s="1"/>
      <c r="GQD27" s="1"/>
      <c r="GQE27" s="1"/>
      <c r="GQF27" s="1"/>
      <c r="GQG27" s="1"/>
      <c r="GQH27" s="1"/>
      <c r="GQI27" s="1"/>
      <c r="GQJ27" s="1"/>
      <c r="GQK27" s="1"/>
      <c r="GQL27" s="1"/>
      <c r="GQM27" s="1"/>
      <c r="GQN27" s="1"/>
      <c r="GQO27" s="1"/>
      <c r="GQP27" s="1"/>
      <c r="GQQ27" s="1"/>
      <c r="GQR27" s="1"/>
      <c r="GQS27" s="1"/>
      <c r="GQT27" s="1"/>
      <c r="GQU27" s="1"/>
      <c r="GQV27" s="1"/>
      <c r="GQW27" s="1"/>
      <c r="GQX27" s="1"/>
      <c r="GQY27" s="1"/>
      <c r="GQZ27" s="1"/>
      <c r="GRA27" s="1"/>
      <c r="GRB27" s="1"/>
      <c r="GRC27" s="1"/>
      <c r="GRD27" s="1"/>
      <c r="GRE27" s="1"/>
      <c r="GRF27" s="1"/>
      <c r="GRG27" s="1"/>
      <c r="GRH27" s="1"/>
      <c r="GRI27" s="1"/>
      <c r="GRJ27" s="1"/>
      <c r="GRK27" s="1"/>
      <c r="GRL27" s="1"/>
      <c r="GRM27" s="1"/>
      <c r="GRN27" s="1"/>
      <c r="GRO27" s="1"/>
      <c r="GRP27" s="1"/>
      <c r="GRQ27" s="1"/>
      <c r="GRR27" s="1"/>
      <c r="GRS27" s="1"/>
      <c r="GRT27" s="1"/>
      <c r="GRU27" s="1"/>
      <c r="GRV27" s="1"/>
      <c r="GRW27" s="1"/>
      <c r="GRX27" s="1"/>
      <c r="GRY27" s="1"/>
      <c r="GRZ27" s="1"/>
      <c r="GSA27" s="1"/>
      <c r="GSB27" s="1"/>
      <c r="GSC27" s="1"/>
      <c r="GSD27" s="1"/>
      <c r="GSE27" s="1"/>
      <c r="GSF27" s="1"/>
      <c r="GSG27" s="1"/>
      <c r="GSH27" s="1"/>
      <c r="GSI27" s="1"/>
      <c r="GSJ27" s="1"/>
      <c r="GSK27" s="1"/>
      <c r="GSL27" s="1"/>
      <c r="GSM27" s="1"/>
      <c r="GSN27" s="1"/>
      <c r="GSO27" s="1"/>
      <c r="GSP27" s="1"/>
      <c r="GSQ27" s="1"/>
      <c r="GSR27" s="1"/>
      <c r="GSS27" s="1"/>
      <c r="GST27" s="1"/>
      <c r="GSU27" s="1"/>
      <c r="GSV27" s="1"/>
      <c r="GSW27" s="1"/>
      <c r="GSX27" s="1"/>
      <c r="GSY27" s="1"/>
      <c r="GSZ27" s="1"/>
      <c r="GTA27" s="1"/>
      <c r="GTB27" s="1"/>
      <c r="GTC27" s="1"/>
      <c r="GTD27" s="1"/>
      <c r="GTE27" s="1"/>
      <c r="GTF27" s="1"/>
      <c r="GTG27" s="1"/>
      <c r="GTH27" s="1"/>
      <c r="GTI27" s="1"/>
      <c r="GTJ27" s="1"/>
      <c r="GTK27" s="1"/>
      <c r="GTL27" s="1"/>
      <c r="GTM27" s="1"/>
      <c r="GTN27" s="1"/>
      <c r="GTO27" s="1"/>
      <c r="GTP27" s="1"/>
      <c r="GTQ27" s="1"/>
      <c r="GTR27" s="1"/>
      <c r="GTS27" s="1"/>
      <c r="GTT27" s="1"/>
      <c r="GTU27" s="1"/>
      <c r="GTV27" s="1"/>
      <c r="GTW27" s="1"/>
      <c r="GTX27" s="1"/>
      <c r="GTY27" s="1"/>
      <c r="GTZ27" s="1"/>
      <c r="GUA27" s="1"/>
      <c r="GUB27" s="1"/>
      <c r="GUC27" s="1"/>
      <c r="GUD27" s="1"/>
      <c r="GUE27" s="1"/>
      <c r="GUF27" s="1"/>
      <c r="GUG27" s="1"/>
      <c r="GUH27" s="1"/>
      <c r="GUI27" s="1"/>
      <c r="GUJ27" s="1"/>
      <c r="GUK27" s="1"/>
      <c r="GUL27" s="1"/>
      <c r="GUM27" s="1"/>
      <c r="GUN27" s="1"/>
      <c r="GUO27" s="1"/>
      <c r="GUP27" s="1"/>
      <c r="GUQ27" s="1"/>
      <c r="GUR27" s="1"/>
      <c r="GUS27" s="1"/>
      <c r="GUT27" s="1"/>
      <c r="GUU27" s="1"/>
      <c r="GUV27" s="1"/>
      <c r="GUW27" s="1"/>
      <c r="GUX27" s="1"/>
      <c r="GUY27" s="1"/>
      <c r="GUZ27" s="1"/>
      <c r="GVA27" s="1"/>
      <c r="GVB27" s="1"/>
      <c r="GVC27" s="1"/>
      <c r="GVD27" s="1"/>
      <c r="GVE27" s="1"/>
      <c r="GVF27" s="1"/>
      <c r="GVG27" s="1"/>
      <c r="GVH27" s="1"/>
      <c r="GVI27" s="1"/>
      <c r="GVJ27" s="1"/>
      <c r="GVK27" s="1"/>
      <c r="GVL27" s="1"/>
      <c r="GVM27" s="1"/>
      <c r="GVN27" s="1"/>
      <c r="GVO27" s="1"/>
      <c r="GVP27" s="1"/>
      <c r="GVQ27" s="1"/>
      <c r="GVR27" s="1"/>
      <c r="GVS27" s="1"/>
      <c r="GVT27" s="1"/>
      <c r="GVU27" s="1"/>
      <c r="GVV27" s="1"/>
      <c r="GVW27" s="1"/>
      <c r="GVX27" s="1"/>
      <c r="GVY27" s="1"/>
      <c r="GVZ27" s="1"/>
      <c r="GWA27" s="1"/>
      <c r="GWB27" s="1"/>
      <c r="GWC27" s="1"/>
      <c r="GWD27" s="1"/>
      <c r="GWE27" s="1"/>
      <c r="GWF27" s="1"/>
      <c r="GWG27" s="1"/>
      <c r="GWH27" s="1"/>
      <c r="GWI27" s="1"/>
      <c r="GWJ27" s="1"/>
      <c r="GWK27" s="1"/>
      <c r="GWL27" s="1"/>
      <c r="GWM27" s="1"/>
      <c r="GWN27" s="1"/>
      <c r="GWO27" s="1"/>
      <c r="GWP27" s="1"/>
      <c r="GWQ27" s="1"/>
      <c r="GWR27" s="1"/>
      <c r="GWS27" s="1"/>
      <c r="GWT27" s="1"/>
      <c r="GWU27" s="1"/>
      <c r="GWV27" s="1"/>
      <c r="GWW27" s="1"/>
      <c r="GWX27" s="1"/>
      <c r="GWY27" s="1"/>
      <c r="GWZ27" s="1"/>
      <c r="GXA27" s="1"/>
      <c r="GXB27" s="1"/>
      <c r="GXC27" s="1"/>
      <c r="GXD27" s="1"/>
      <c r="GXE27" s="1"/>
      <c r="GXF27" s="1"/>
      <c r="GXG27" s="1"/>
      <c r="GXH27" s="1"/>
      <c r="GXI27" s="1"/>
      <c r="GXJ27" s="1"/>
      <c r="GXK27" s="1"/>
      <c r="GXL27" s="1"/>
      <c r="GXM27" s="1"/>
      <c r="GXN27" s="1"/>
      <c r="GXO27" s="1"/>
      <c r="GXP27" s="1"/>
      <c r="GXQ27" s="1"/>
      <c r="GXR27" s="1"/>
      <c r="GXS27" s="1"/>
      <c r="GXT27" s="1"/>
      <c r="GXU27" s="1"/>
      <c r="GXV27" s="1"/>
      <c r="GXW27" s="1"/>
      <c r="GXX27" s="1"/>
      <c r="GXY27" s="1"/>
      <c r="GXZ27" s="1"/>
      <c r="GYA27" s="1"/>
      <c r="GYB27" s="1"/>
      <c r="GYC27" s="1"/>
      <c r="GYD27" s="1"/>
      <c r="GYE27" s="1"/>
      <c r="GYF27" s="1"/>
      <c r="GYG27" s="1"/>
      <c r="GYH27" s="1"/>
      <c r="GYI27" s="1"/>
      <c r="GYJ27" s="1"/>
      <c r="GYK27" s="1"/>
      <c r="GYL27" s="1"/>
      <c r="GYM27" s="1"/>
      <c r="GYN27" s="1"/>
      <c r="GYO27" s="1"/>
      <c r="GYP27" s="1"/>
      <c r="GYQ27" s="1"/>
      <c r="GYR27" s="1"/>
      <c r="GYS27" s="1"/>
      <c r="GYT27" s="1"/>
      <c r="GYU27" s="1"/>
      <c r="GYV27" s="1"/>
      <c r="GYW27" s="1"/>
      <c r="GYX27" s="1"/>
      <c r="GYY27" s="1"/>
      <c r="GYZ27" s="1"/>
      <c r="GZA27" s="1"/>
      <c r="GZB27" s="1"/>
      <c r="GZC27" s="1"/>
      <c r="GZD27" s="1"/>
      <c r="GZE27" s="1"/>
      <c r="GZF27" s="1"/>
      <c r="GZG27" s="1"/>
      <c r="GZH27" s="1"/>
      <c r="GZI27" s="1"/>
      <c r="GZJ27" s="1"/>
      <c r="GZK27" s="1"/>
      <c r="GZL27" s="1"/>
      <c r="GZM27" s="1"/>
      <c r="GZN27" s="1"/>
      <c r="GZO27" s="1"/>
      <c r="GZP27" s="1"/>
      <c r="GZQ27" s="1"/>
      <c r="GZR27" s="1"/>
      <c r="GZS27" s="1"/>
      <c r="GZT27" s="1"/>
      <c r="GZU27" s="1"/>
      <c r="GZV27" s="1"/>
      <c r="GZW27" s="1"/>
      <c r="GZX27" s="1"/>
      <c r="GZY27" s="1"/>
      <c r="GZZ27" s="1"/>
      <c r="HAA27" s="1"/>
      <c r="HAB27" s="1"/>
      <c r="HAC27" s="1"/>
      <c r="HAD27" s="1"/>
      <c r="HAE27" s="1"/>
      <c r="HAF27" s="1"/>
      <c r="HAG27" s="1"/>
      <c r="HAH27" s="1"/>
      <c r="HAI27" s="1"/>
      <c r="HAJ27" s="1"/>
      <c r="HAK27" s="1"/>
      <c r="HAL27" s="1"/>
      <c r="HAM27" s="1"/>
      <c r="HAN27" s="1"/>
      <c r="HAO27" s="1"/>
      <c r="HAP27" s="1"/>
      <c r="HAQ27" s="1"/>
      <c r="HAR27" s="1"/>
      <c r="HAS27" s="1"/>
      <c r="HAT27" s="1"/>
      <c r="HAU27" s="1"/>
      <c r="HAV27" s="1"/>
      <c r="HAW27" s="1"/>
      <c r="HAX27" s="1"/>
      <c r="HAY27" s="1"/>
      <c r="HAZ27" s="1"/>
      <c r="HBA27" s="1"/>
      <c r="HBB27" s="1"/>
      <c r="HBC27" s="1"/>
      <c r="HBD27" s="1"/>
      <c r="HBE27" s="1"/>
      <c r="HBF27" s="1"/>
      <c r="HBG27" s="1"/>
      <c r="HBH27" s="1"/>
      <c r="HBI27" s="1"/>
      <c r="HBJ27" s="1"/>
      <c r="HBK27" s="1"/>
      <c r="HBL27" s="1"/>
      <c r="HBM27" s="1"/>
      <c r="HBN27" s="1"/>
      <c r="HBO27" s="1"/>
      <c r="HBP27" s="1"/>
      <c r="HBQ27" s="1"/>
      <c r="HBR27" s="1"/>
      <c r="HBS27" s="1"/>
      <c r="HBT27" s="1"/>
      <c r="HBU27" s="1"/>
      <c r="HBV27" s="1"/>
      <c r="HBW27" s="1"/>
      <c r="HBX27" s="1"/>
      <c r="HBY27" s="1"/>
      <c r="HBZ27" s="1"/>
      <c r="HCA27" s="1"/>
      <c r="HCB27" s="1"/>
      <c r="HCC27" s="1"/>
      <c r="HCD27" s="1"/>
      <c r="HCE27" s="1"/>
      <c r="HCF27" s="1"/>
      <c r="HCG27" s="1"/>
      <c r="HCH27" s="1"/>
      <c r="HCI27" s="1"/>
      <c r="HCJ27" s="1"/>
      <c r="HCK27" s="1"/>
      <c r="HCL27" s="1"/>
      <c r="HCM27" s="1"/>
      <c r="HCN27" s="1"/>
      <c r="HCO27" s="1"/>
      <c r="HCP27" s="1"/>
      <c r="HCQ27" s="1"/>
      <c r="HCR27" s="1"/>
      <c r="HCS27" s="1"/>
      <c r="HCT27" s="1"/>
      <c r="HCU27" s="1"/>
      <c r="HCV27" s="1"/>
      <c r="HCW27" s="1"/>
      <c r="HCX27" s="1"/>
      <c r="HCY27" s="1"/>
      <c r="HCZ27" s="1"/>
      <c r="HDA27" s="1"/>
      <c r="HDB27" s="1"/>
      <c r="HDC27" s="1"/>
      <c r="HDD27" s="1"/>
      <c r="HDE27" s="1"/>
      <c r="HDF27" s="1"/>
      <c r="HDG27" s="1"/>
      <c r="HDH27" s="1"/>
      <c r="HDI27" s="1"/>
      <c r="HDJ27" s="1"/>
      <c r="HDK27" s="1"/>
      <c r="HDL27" s="1"/>
      <c r="HDM27" s="1"/>
      <c r="HDN27" s="1"/>
      <c r="HDO27" s="1"/>
      <c r="HDP27" s="1"/>
      <c r="HDQ27" s="1"/>
      <c r="HDR27" s="1"/>
      <c r="HDS27" s="1"/>
      <c r="HDT27" s="1"/>
      <c r="HDU27" s="1"/>
      <c r="HDV27" s="1"/>
      <c r="HDW27" s="1"/>
      <c r="HDX27" s="1"/>
      <c r="HDY27" s="1"/>
      <c r="HDZ27" s="1"/>
      <c r="HEA27" s="1"/>
      <c r="HEB27" s="1"/>
      <c r="HEC27" s="1"/>
      <c r="HED27" s="1"/>
      <c r="HEE27" s="1"/>
      <c r="HEF27" s="1"/>
      <c r="HEG27" s="1"/>
      <c r="HEH27" s="1"/>
      <c r="HEI27" s="1"/>
      <c r="HEJ27" s="1"/>
      <c r="HEK27" s="1"/>
      <c r="HEL27" s="1"/>
      <c r="HEM27" s="1"/>
      <c r="HEN27" s="1"/>
      <c r="HEO27" s="1"/>
      <c r="HEP27" s="1"/>
      <c r="HEQ27" s="1"/>
      <c r="HER27" s="1"/>
      <c r="HES27" s="1"/>
      <c r="HET27" s="1"/>
      <c r="HEU27" s="1"/>
      <c r="HEV27" s="1"/>
      <c r="HEW27" s="1"/>
      <c r="HEX27" s="1"/>
      <c r="HEY27" s="1"/>
      <c r="HEZ27" s="1"/>
      <c r="HFA27" s="1"/>
      <c r="HFB27" s="1"/>
      <c r="HFC27" s="1"/>
      <c r="HFD27" s="1"/>
      <c r="HFE27" s="1"/>
      <c r="HFF27" s="1"/>
      <c r="HFG27" s="1"/>
      <c r="HFH27" s="1"/>
      <c r="HFI27" s="1"/>
      <c r="HFJ27" s="1"/>
      <c r="HFK27" s="1"/>
      <c r="HFL27" s="1"/>
      <c r="HFM27" s="1"/>
      <c r="HFN27" s="1"/>
      <c r="HFO27" s="1"/>
      <c r="HFP27" s="1"/>
      <c r="HFQ27" s="1"/>
      <c r="HFR27" s="1"/>
      <c r="HFS27" s="1"/>
      <c r="HFT27" s="1"/>
      <c r="HFU27" s="1"/>
      <c r="HFV27" s="1"/>
      <c r="HFW27" s="1"/>
      <c r="HFX27" s="1"/>
      <c r="HFY27" s="1"/>
      <c r="HFZ27" s="1"/>
      <c r="HGA27" s="1"/>
      <c r="HGB27" s="1"/>
      <c r="HGC27" s="1"/>
      <c r="HGD27" s="1"/>
      <c r="HGE27" s="1"/>
      <c r="HGF27" s="1"/>
      <c r="HGG27" s="1"/>
      <c r="HGH27" s="1"/>
      <c r="HGI27" s="1"/>
      <c r="HGJ27" s="1"/>
      <c r="HGK27" s="1"/>
      <c r="HGL27" s="1"/>
      <c r="HGM27" s="1"/>
      <c r="HGN27" s="1"/>
      <c r="HGO27" s="1"/>
      <c r="HGP27" s="1"/>
      <c r="HGQ27" s="1"/>
      <c r="HGR27" s="1"/>
      <c r="HGS27" s="1"/>
      <c r="HGT27" s="1"/>
      <c r="HGU27" s="1"/>
      <c r="HGV27" s="1"/>
      <c r="HGW27" s="1"/>
      <c r="HGX27" s="1"/>
      <c r="HGY27" s="1"/>
      <c r="HGZ27" s="1"/>
      <c r="HHA27" s="1"/>
      <c r="HHB27" s="1"/>
      <c r="HHC27" s="1"/>
      <c r="HHD27" s="1"/>
      <c r="HHE27" s="1"/>
      <c r="HHF27" s="1"/>
      <c r="HHG27" s="1"/>
      <c r="HHH27" s="1"/>
      <c r="HHI27" s="1"/>
      <c r="HHJ27" s="1"/>
      <c r="HHK27" s="1"/>
      <c r="HHL27" s="1"/>
      <c r="HHM27" s="1"/>
      <c r="HHN27" s="1"/>
      <c r="HHO27" s="1"/>
      <c r="HHP27" s="1"/>
      <c r="HHQ27" s="1"/>
      <c r="HHR27" s="1"/>
      <c r="HHS27" s="1"/>
      <c r="HHT27" s="1"/>
      <c r="HHU27" s="1"/>
      <c r="HHV27" s="1"/>
      <c r="HHW27" s="1"/>
      <c r="HHX27" s="1"/>
      <c r="HHY27" s="1"/>
      <c r="HHZ27" s="1"/>
      <c r="HIA27" s="1"/>
      <c r="HIB27" s="1"/>
      <c r="HIC27" s="1"/>
      <c r="HID27" s="1"/>
      <c r="HIE27" s="1"/>
      <c r="HIF27" s="1"/>
      <c r="HIG27" s="1"/>
      <c r="HIH27" s="1"/>
      <c r="HII27" s="1"/>
      <c r="HIJ27" s="1"/>
      <c r="HIK27" s="1"/>
      <c r="HIL27" s="1"/>
      <c r="HIM27" s="1"/>
      <c r="HIN27" s="1"/>
      <c r="HIO27" s="1"/>
      <c r="HIP27" s="1"/>
      <c r="HIQ27" s="1"/>
      <c r="HIR27" s="1"/>
      <c r="HIS27" s="1"/>
      <c r="HIT27" s="1"/>
      <c r="HIU27" s="1"/>
      <c r="HIV27" s="1"/>
      <c r="HIW27" s="1"/>
      <c r="HIX27" s="1"/>
      <c r="HIY27" s="1"/>
      <c r="HIZ27" s="1"/>
      <c r="HJA27" s="1"/>
      <c r="HJB27" s="1"/>
      <c r="HJC27" s="1"/>
      <c r="HJD27" s="1"/>
      <c r="HJE27" s="1"/>
      <c r="HJF27" s="1"/>
      <c r="HJG27" s="1"/>
      <c r="HJH27" s="1"/>
      <c r="HJI27" s="1"/>
      <c r="HJJ27" s="1"/>
      <c r="HJK27" s="1"/>
      <c r="HJL27" s="1"/>
      <c r="HJM27" s="1"/>
      <c r="HJN27" s="1"/>
      <c r="HJO27" s="1"/>
      <c r="HJP27" s="1"/>
      <c r="HJQ27" s="1"/>
      <c r="HJR27" s="1"/>
      <c r="HJS27" s="1"/>
      <c r="HJT27" s="1"/>
      <c r="HJU27" s="1"/>
      <c r="HJV27" s="1"/>
      <c r="HJW27" s="1"/>
      <c r="HJX27" s="1"/>
      <c r="HJY27" s="1"/>
      <c r="HJZ27" s="1"/>
      <c r="HKA27" s="1"/>
      <c r="HKB27" s="1"/>
      <c r="HKC27" s="1"/>
      <c r="HKD27" s="1"/>
      <c r="HKE27" s="1"/>
      <c r="HKF27" s="1"/>
      <c r="HKG27" s="1"/>
      <c r="HKH27" s="1"/>
      <c r="HKI27" s="1"/>
      <c r="HKJ27" s="1"/>
      <c r="HKK27" s="1"/>
      <c r="HKL27" s="1"/>
      <c r="HKM27" s="1"/>
      <c r="HKN27" s="1"/>
      <c r="HKO27" s="1"/>
      <c r="HKP27" s="1"/>
      <c r="HKQ27" s="1"/>
      <c r="HKR27" s="1"/>
      <c r="HKS27" s="1"/>
      <c r="HKT27" s="1"/>
      <c r="HKU27" s="1"/>
      <c r="HKV27" s="1"/>
      <c r="HKW27" s="1"/>
      <c r="HKX27" s="1"/>
      <c r="HKY27" s="1"/>
      <c r="HKZ27" s="1"/>
      <c r="HLA27" s="1"/>
      <c r="HLB27" s="1"/>
      <c r="HLC27" s="1"/>
      <c r="HLD27" s="1"/>
      <c r="HLE27" s="1"/>
      <c r="HLF27" s="1"/>
      <c r="HLG27" s="1"/>
      <c r="HLH27" s="1"/>
      <c r="HLI27" s="1"/>
      <c r="HLJ27" s="1"/>
      <c r="HLK27" s="1"/>
      <c r="HLL27" s="1"/>
      <c r="HLM27" s="1"/>
      <c r="HLN27" s="1"/>
      <c r="HLO27" s="1"/>
      <c r="HLP27" s="1"/>
      <c r="HLQ27" s="1"/>
      <c r="HLR27" s="1"/>
      <c r="HLS27" s="1"/>
      <c r="HLT27" s="1"/>
      <c r="HLU27" s="1"/>
      <c r="HLV27" s="1"/>
      <c r="HLW27" s="1"/>
      <c r="HLX27" s="1"/>
      <c r="HLY27" s="1"/>
      <c r="HLZ27" s="1"/>
      <c r="HMA27" s="1"/>
      <c r="HMB27" s="1"/>
      <c r="HMC27" s="1"/>
      <c r="HMD27" s="1"/>
      <c r="HME27" s="1"/>
      <c r="HMF27" s="1"/>
      <c r="HMG27" s="1"/>
      <c r="HMH27" s="1"/>
      <c r="HMI27" s="1"/>
      <c r="HMJ27" s="1"/>
      <c r="HMK27" s="1"/>
      <c r="HML27" s="1"/>
      <c r="HMM27" s="1"/>
      <c r="HMN27" s="1"/>
      <c r="HMO27" s="1"/>
      <c r="HMP27" s="1"/>
      <c r="HMQ27" s="1"/>
      <c r="HMR27" s="1"/>
      <c r="HMS27" s="1"/>
      <c r="HMT27" s="1"/>
      <c r="HMU27" s="1"/>
      <c r="HMV27" s="1"/>
      <c r="HMW27" s="1"/>
      <c r="HMX27" s="1"/>
      <c r="HMY27" s="1"/>
      <c r="HMZ27" s="1"/>
      <c r="HNA27" s="1"/>
      <c r="HNB27" s="1"/>
      <c r="HNC27" s="1"/>
      <c r="HND27" s="1"/>
      <c r="HNE27" s="1"/>
      <c r="HNF27" s="1"/>
      <c r="HNG27" s="1"/>
      <c r="HNH27" s="1"/>
      <c r="HNI27" s="1"/>
      <c r="HNJ27" s="1"/>
      <c r="HNK27" s="1"/>
      <c r="HNL27" s="1"/>
      <c r="HNM27" s="1"/>
      <c r="HNN27" s="1"/>
      <c r="HNO27" s="1"/>
      <c r="HNP27" s="1"/>
      <c r="HNQ27" s="1"/>
      <c r="HNR27" s="1"/>
      <c r="HNS27" s="1"/>
      <c r="HNT27" s="1"/>
      <c r="HNU27" s="1"/>
      <c r="HNV27" s="1"/>
      <c r="HNW27" s="1"/>
      <c r="HNX27" s="1"/>
      <c r="HNY27" s="1"/>
      <c r="HNZ27" s="1"/>
      <c r="HOA27" s="1"/>
      <c r="HOB27" s="1"/>
      <c r="HOC27" s="1"/>
      <c r="HOD27" s="1"/>
      <c r="HOE27" s="1"/>
      <c r="HOF27" s="1"/>
      <c r="HOG27" s="1"/>
      <c r="HOH27" s="1"/>
      <c r="HOI27" s="1"/>
      <c r="HOJ27" s="1"/>
      <c r="HOK27" s="1"/>
      <c r="HOL27" s="1"/>
      <c r="HOM27" s="1"/>
      <c r="HON27" s="1"/>
      <c r="HOO27" s="1"/>
      <c r="HOP27" s="1"/>
      <c r="HOQ27" s="1"/>
      <c r="HOR27" s="1"/>
      <c r="HOS27" s="1"/>
      <c r="HOT27" s="1"/>
      <c r="HOU27" s="1"/>
      <c r="HOV27" s="1"/>
      <c r="HOW27" s="1"/>
      <c r="HOX27" s="1"/>
      <c r="HOY27" s="1"/>
      <c r="HOZ27" s="1"/>
      <c r="HPA27" s="1"/>
      <c r="HPB27" s="1"/>
      <c r="HPC27" s="1"/>
      <c r="HPD27" s="1"/>
      <c r="HPE27" s="1"/>
      <c r="HPF27" s="1"/>
      <c r="HPG27" s="1"/>
      <c r="HPH27" s="1"/>
      <c r="HPI27" s="1"/>
      <c r="HPJ27" s="1"/>
      <c r="HPK27" s="1"/>
      <c r="HPL27" s="1"/>
      <c r="HPM27" s="1"/>
      <c r="HPN27" s="1"/>
      <c r="HPO27" s="1"/>
      <c r="HPP27" s="1"/>
      <c r="HPQ27" s="1"/>
      <c r="HPR27" s="1"/>
      <c r="HPS27" s="1"/>
      <c r="HPT27" s="1"/>
      <c r="HPU27" s="1"/>
      <c r="HPV27" s="1"/>
      <c r="HPW27" s="1"/>
      <c r="HPX27" s="1"/>
      <c r="HPY27" s="1"/>
      <c r="HPZ27" s="1"/>
      <c r="HQA27" s="1"/>
      <c r="HQB27" s="1"/>
      <c r="HQC27" s="1"/>
      <c r="HQD27" s="1"/>
      <c r="HQE27" s="1"/>
      <c r="HQF27" s="1"/>
      <c r="HQG27" s="1"/>
      <c r="HQH27" s="1"/>
      <c r="HQI27" s="1"/>
      <c r="HQJ27" s="1"/>
      <c r="HQK27" s="1"/>
      <c r="HQL27" s="1"/>
      <c r="HQM27" s="1"/>
      <c r="HQN27" s="1"/>
      <c r="HQO27" s="1"/>
      <c r="HQP27" s="1"/>
      <c r="HQQ27" s="1"/>
      <c r="HQR27" s="1"/>
      <c r="HQS27" s="1"/>
      <c r="HQT27" s="1"/>
      <c r="HQU27" s="1"/>
      <c r="HQV27" s="1"/>
      <c r="HQW27" s="1"/>
      <c r="HQX27" s="1"/>
      <c r="HQY27" s="1"/>
      <c r="HQZ27" s="1"/>
      <c r="HRA27" s="1"/>
      <c r="HRB27" s="1"/>
      <c r="HRC27" s="1"/>
      <c r="HRD27" s="1"/>
      <c r="HRE27" s="1"/>
      <c r="HRF27" s="1"/>
      <c r="HRG27" s="1"/>
      <c r="HRH27" s="1"/>
      <c r="HRI27" s="1"/>
      <c r="HRJ27" s="1"/>
      <c r="HRK27" s="1"/>
      <c r="HRL27" s="1"/>
      <c r="HRM27" s="1"/>
      <c r="HRN27" s="1"/>
      <c r="HRO27" s="1"/>
      <c r="HRP27" s="1"/>
      <c r="HRQ27" s="1"/>
      <c r="HRR27" s="1"/>
      <c r="HRS27" s="1"/>
      <c r="HRT27" s="1"/>
      <c r="HRU27" s="1"/>
      <c r="HRV27" s="1"/>
      <c r="HRW27" s="1"/>
      <c r="HRX27" s="1"/>
      <c r="HRY27" s="1"/>
      <c r="HRZ27" s="1"/>
      <c r="HSA27" s="1"/>
      <c r="HSB27" s="1"/>
      <c r="HSC27" s="1"/>
      <c r="HSD27" s="1"/>
      <c r="HSE27" s="1"/>
      <c r="HSF27" s="1"/>
      <c r="HSG27" s="1"/>
      <c r="HSH27" s="1"/>
      <c r="HSI27" s="1"/>
      <c r="HSJ27" s="1"/>
      <c r="HSK27" s="1"/>
      <c r="HSL27" s="1"/>
      <c r="HSM27" s="1"/>
      <c r="HSN27" s="1"/>
      <c r="HSO27" s="1"/>
      <c r="HSP27" s="1"/>
      <c r="HSQ27" s="1"/>
      <c r="HSR27" s="1"/>
      <c r="HSS27" s="1"/>
      <c r="HST27" s="1"/>
      <c r="HSU27" s="1"/>
      <c r="HSV27" s="1"/>
      <c r="HSW27" s="1"/>
      <c r="HSX27" s="1"/>
      <c r="HSY27" s="1"/>
      <c r="HSZ27" s="1"/>
      <c r="HTA27" s="1"/>
      <c r="HTB27" s="1"/>
      <c r="HTC27" s="1"/>
      <c r="HTD27" s="1"/>
      <c r="HTE27" s="1"/>
      <c r="HTF27" s="1"/>
      <c r="HTG27" s="1"/>
      <c r="HTH27" s="1"/>
      <c r="HTI27" s="1"/>
      <c r="HTJ27" s="1"/>
      <c r="HTK27" s="1"/>
      <c r="HTL27" s="1"/>
      <c r="HTM27" s="1"/>
      <c r="HTN27" s="1"/>
      <c r="HTO27" s="1"/>
      <c r="HTP27" s="1"/>
      <c r="HTQ27" s="1"/>
      <c r="HTR27" s="1"/>
      <c r="HTS27" s="1"/>
      <c r="HTT27" s="1"/>
      <c r="HTU27" s="1"/>
      <c r="HTV27" s="1"/>
      <c r="HTW27" s="1"/>
      <c r="HTX27" s="1"/>
      <c r="HTY27" s="1"/>
      <c r="HTZ27" s="1"/>
      <c r="HUA27" s="1"/>
      <c r="HUB27" s="1"/>
      <c r="HUC27" s="1"/>
      <c r="HUD27" s="1"/>
      <c r="HUE27" s="1"/>
      <c r="HUF27" s="1"/>
      <c r="HUG27" s="1"/>
      <c r="HUH27" s="1"/>
      <c r="HUI27" s="1"/>
      <c r="HUJ27" s="1"/>
      <c r="HUK27" s="1"/>
      <c r="HUL27" s="1"/>
      <c r="HUM27" s="1"/>
      <c r="HUN27" s="1"/>
      <c r="HUO27" s="1"/>
      <c r="HUP27" s="1"/>
      <c r="HUQ27" s="1"/>
      <c r="HUR27" s="1"/>
      <c r="HUS27" s="1"/>
      <c r="HUT27" s="1"/>
      <c r="HUU27" s="1"/>
      <c r="HUV27" s="1"/>
      <c r="HUW27" s="1"/>
      <c r="HUX27" s="1"/>
      <c r="HUY27" s="1"/>
      <c r="HUZ27" s="1"/>
      <c r="HVA27" s="1"/>
      <c r="HVB27" s="1"/>
      <c r="HVC27" s="1"/>
      <c r="HVD27" s="1"/>
      <c r="HVE27" s="1"/>
      <c r="HVF27" s="1"/>
      <c r="HVG27" s="1"/>
      <c r="HVH27" s="1"/>
      <c r="HVI27" s="1"/>
      <c r="HVJ27" s="1"/>
      <c r="HVK27" s="1"/>
      <c r="HVL27" s="1"/>
      <c r="HVM27" s="1"/>
      <c r="HVN27" s="1"/>
      <c r="HVO27" s="1"/>
      <c r="HVP27" s="1"/>
      <c r="HVQ27" s="1"/>
      <c r="HVR27" s="1"/>
      <c r="HVS27" s="1"/>
      <c r="HVT27" s="1"/>
      <c r="HVU27" s="1"/>
      <c r="HVV27" s="1"/>
      <c r="HVW27" s="1"/>
      <c r="HVX27" s="1"/>
      <c r="HVY27" s="1"/>
      <c r="HVZ27" s="1"/>
      <c r="HWA27" s="1"/>
      <c r="HWB27" s="1"/>
      <c r="HWC27" s="1"/>
      <c r="HWD27" s="1"/>
      <c r="HWE27" s="1"/>
      <c r="HWF27" s="1"/>
      <c r="HWG27" s="1"/>
      <c r="HWH27" s="1"/>
      <c r="HWI27" s="1"/>
      <c r="HWJ27" s="1"/>
      <c r="HWK27" s="1"/>
      <c r="HWL27" s="1"/>
      <c r="HWM27" s="1"/>
      <c r="HWN27" s="1"/>
      <c r="HWO27" s="1"/>
      <c r="HWP27" s="1"/>
      <c r="HWQ27" s="1"/>
      <c r="HWR27" s="1"/>
      <c r="HWS27" s="1"/>
      <c r="HWT27" s="1"/>
      <c r="HWU27" s="1"/>
      <c r="HWV27" s="1"/>
      <c r="HWW27" s="1"/>
      <c r="HWX27" s="1"/>
      <c r="HWY27" s="1"/>
      <c r="HWZ27" s="1"/>
      <c r="HXA27" s="1"/>
      <c r="HXB27" s="1"/>
      <c r="HXC27" s="1"/>
      <c r="HXD27" s="1"/>
      <c r="HXE27" s="1"/>
      <c r="HXF27" s="1"/>
      <c r="HXG27" s="1"/>
      <c r="HXH27" s="1"/>
      <c r="HXI27" s="1"/>
      <c r="HXJ27" s="1"/>
      <c r="HXK27" s="1"/>
      <c r="HXL27" s="1"/>
      <c r="HXM27" s="1"/>
      <c r="HXN27" s="1"/>
      <c r="HXO27" s="1"/>
      <c r="HXP27" s="1"/>
      <c r="HXQ27" s="1"/>
      <c r="HXR27" s="1"/>
      <c r="HXS27" s="1"/>
      <c r="HXT27" s="1"/>
      <c r="HXU27" s="1"/>
      <c r="HXV27" s="1"/>
      <c r="HXW27" s="1"/>
      <c r="HXX27" s="1"/>
      <c r="HXY27" s="1"/>
      <c r="HXZ27" s="1"/>
      <c r="HYA27" s="1"/>
      <c r="HYB27" s="1"/>
      <c r="HYC27" s="1"/>
      <c r="HYD27" s="1"/>
      <c r="HYE27" s="1"/>
      <c r="HYF27" s="1"/>
      <c r="HYG27" s="1"/>
      <c r="HYH27" s="1"/>
      <c r="HYI27" s="1"/>
      <c r="HYJ27" s="1"/>
      <c r="HYK27" s="1"/>
      <c r="HYL27" s="1"/>
      <c r="HYM27" s="1"/>
      <c r="HYN27" s="1"/>
      <c r="HYO27" s="1"/>
      <c r="HYP27" s="1"/>
      <c r="HYQ27" s="1"/>
      <c r="HYR27" s="1"/>
      <c r="HYS27" s="1"/>
      <c r="HYT27" s="1"/>
      <c r="HYU27" s="1"/>
      <c r="HYV27" s="1"/>
      <c r="HYW27" s="1"/>
      <c r="HYX27" s="1"/>
      <c r="HYY27" s="1"/>
      <c r="HYZ27" s="1"/>
      <c r="HZA27" s="1"/>
      <c r="HZB27" s="1"/>
      <c r="HZC27" s="1"/>
      <c r="HZD27" s="1"/>
      <c r="HZE27" s="1"/>
      <c r="HZF27" s="1"/>
      <c r="HZG27" s="1"/>
      <c r="HZH27" s="1"/>
      <c r="HZI27" s="1"/>
      <c r="HZJ27" s="1"/>
      <c r="HZK27" s="1"/>
      <c r="HZL27" s="1"/>
      <c r="HZM27" s="1"/>
      <c r="HZN27" s="1"/>
      <c r="HZO27" s="1"/>
      <c r="HZP27" s="1"/>
      <c r="HZQ27" s="1"/>
      <c r="HZR27" s="1"/>
      <c r="HZS27" s="1"/>
      <c r="HZT27" s="1"/>
      <c r="HZU27" s="1"/>
      <c r="HZV27" s="1"/>
      <c r="HZW27" s="1"/>
      <c r="HZX27" s="1"/>
      <c r="HZY27" s="1"/>
      <c r="HZZ27" s="1"/>
      <c r="IAA27" s="1"/>
      <c r="IAB27" s="1"/>
      <c r="IAC27" s="1"/>
      <c r="IAD27" s="1"/>
      <c r="IAE27" s="1"/>
      <c r="IAF27" s="1"/>
      <c r="IAG27" s="1"/>
      <c r="IAH27" s="1"/>
      <c r="IAI27" s="1"/>
      <c r="IAJ27" s="1"/>
      <c r="IAK27" s="1"/>
      <c r="IAL27" s="1"/>
      <c r="IAM27" s="1"/>
      <c r="IAN27" s="1"/>
      <c r="IAO27" s="1"/>
      <c r="IAP27" s="1"/>
      <c r="IAQ27" s="1"/>
      <c r="IAR27" s="1"/>
      <c r="IAS27" s="1"/>
      <c r="IAT27" s="1"/>
      <c r="IAU27" s="1"/>
      <c r="IAV27" s="1"/>
      <c r="IAW27" s="1"/>
      <c r="IAX27" s="1"/>
      <c r="IAY27" s="1"/>
      <c r="IAZ27" s="1"/>
      <c r="IBA27" s="1"/>
      <c r="IBB27" s="1"/>
      <c r="IBC27" s="1"/>
      <c r="IBD27" s="1"/>
      <c r="IBE27" s="1"/>
      <c r="IBF27" s="1"/>
      <c r="IBG27" s="1"/>
      <c r="IBH27" s="1"/>
      <c r="IBI27" s="1"/>
      <c r="IBJ27" s="1"/>
      <c r="IBK27" s="1"/>
      <c r="IBL27" s="1"/>
      <c r="IBM27" s="1"/>
      <c r="IBN27" s="1"/>
      <c r="IBO27" s="1"/>
      <c r="IBP27" s="1"/>
      <c r="IBQ27" s="1"/>
      <c r="IBR27" s="1"/>
      <c r="IBS27" s="1"/>
      <c r="IBT27" s="1"/>
      <c r="IBU27" s="1"/>
      <c r="IBV27" s="1"/>
      <c r="IBW27" s="1"/>
      <c r="IBX27" s="1"/>
      <c r="IBY27" s="1"/>
      <c r="IBZ27" s="1"/>
      <c r="ICA27" s="1"/>
      <c r="ICB27" s="1"/>
      <c r="ICC27" s="1"/>
      <c r="ICD27" s="1"/>
      <c r="ICE27" s="1"/>
      <c r="ICF27" s="1"/>
      <c r="ICG27" s="1"/>
      <c r="ICH27" s="1"/>
      <c r="ICI27" s="1"/>
      <c r="ICJ27" s="1"/>
      <c r="ICK27" s="1"/>
      <c r="ICL27" s="1"/>
      <c r="ICM27" s="1"/>
      <c r="ICN27" s="1"/>
      <c r="ICO27" s="1"/>
      <c r="ICP27" s="1"/>
      <c r="ICQ27" s="1"/>
      <c r="ICR27" s="1"/>
      <c r="ICS27" s="1"/>
      <c r="ICT27" s="1"/>
      <c r="ICU27" s="1"/>
      <c r="ICV27" s="1"/>
      <c r="ICW27" s="1"/>
      <c r="ICX27" s="1"/>
      <c r="ICY27" s="1"/>
      <c r="ICZ27" s="1"/>
      <c r="IDA27" s="1"/>
      <c r="IDB27" s="1"/>
      <c r="IDC27" s="1"/>
      <c r="IDD27" s="1"/>
      <c r="IDE27" s="1"/>
      <c r="IDF27" s="1"/>
      <c r="IDG27" s="1"/>
      <c r="IDH27" s="1"/>
      <c r="IDI27" s="1"/>
      <c r="IDJ27" s="1"/>
      <c r="IDK27" s="1"/>
      <c r="IDL27" s="1"/>
      <c r="IDM27" s="1"/>
      <c r="IDN27" s="1"/>
      <c r="IDO27" s="1"/>
      <c r="IDP27" s="1"/>
      <c r="IDQ27" s="1"/>
      <c r="IDR27" s="1"/>
      <c r="IDS27" s="1"/>
      <c r="IDT27" s="1"/>
      <c r="IDU27" s="1"/>
      <c r="IDV27" s="1"/>
      <c r="IDW27" s="1"/>
      <c r="IDX27" s="1"/>
      <c r="IDY27" s="1"/>
      <c r="IDZ27" s="1"/>
      <c r="IEA27" s="1"/>
      <c r="IEB27" s="1"/>
      <c r="IEC27" s="1"/>
      <c r="IED27" s="1"/>
      <c r="IEE27" s="1"/>
      <c r="IEF27" s="1"/>
      <c r="IEG27" s="1"/>
      <c r="IEH27" s="1"/>
      <c r="IEI27" s="1"/>
      <c r="IEJ27" s="1"/>
      <c r="IEK27" s="1"/>
      <c r="IEL27" s="1"/>
      <c r="IEM27" s="1"/>
      <c r="IEN27" s="1"/>
      <c r="IEO27" s="1"/>
      <c r="IEP27" s="1"/>
      <c r="IEQ27" s="1"/>
      <c r="IER27" s="1"/>
      <c r="IES27" s="1"/>
      <c r="IET27" s="1"/>
      <c r="IEU27" s="1"/>
      <c r="IEV27" s="1"/>
      <c r="IEW27" s="1"/>
      <c r="IEX27" s="1"/>
      <c r="IEY27" s="1"/>
      <c r="IEZ27" s="1"/>
      <c r="IFA27" s="1"/>
      <c r="IFB27" s="1"/>
      <c r="IFC27" s="1"/>
      <c r="IFD27" s="1"/>
      <c r="IFE27" s="1"/>
      <c r="IFF27" s="1"/>
      <c r="IFG27" s="1"/>
      <c r="IFH27" s="1"/>
      <c r="IFI27" s="1"/>
      <c r="IFJ27" s="1"/>
      <c r="IFK27" s="1"/>
      <c r="IFL27" s="1"/>
      <c r="IFM27" s="1"/>
      <c r="IFN27" s="1"/>
      <c r="IFO27" s="1"/>
      <c r="IFP27" s="1"/>
      <c r="IFQ27" s="1"/>
      <c r="IFR27" s="1"/>
      <c r="IFS27" s="1"/>
      <c r="IFT27" s="1"/>
      <c r="IFU27" s="1"/>
      <c r="IFV27" s="1"/>
      <c r="IFW27" s="1"/>
      <c r="IFX27" s="1"/>
      <c r="IFY27" s="1"/>
      <c r="IFZ27" s="1"/>
      <c r="IGA27" s="1"/>
      <c r="IGB27" s="1"/>
      <c r="IGC27" s="1"/>
      <c r="IGD27" s="1"/>
      <c r="IGE27" s="1"/>
      <c r="IGF27" s="1"/>
      <c r="IGG27" s="1"/>
      <c r="IGH27" s="1"/>
      <c r="IGI27" s="1"/>
      <c r="IGJ27" s="1"/>
      <c r="IGK27" s="1"/>
      <c r="IGL27" s="1"/>
      <c r="IGM27" s="1"/>
      <c r="IGN27" s="1"/>
      <c r="IGO27" s="1"/>
      <c r="IGP27" s="1"/>
      <c r="IGQ27" s="1"/>
      <c r="IGR27" s="1"/>
      <c r="IGS27" s="1"/>
      <c r="IGT27" s="1"/>
      <c r="IGU27" s="1"/>
      <c r="IGV27" s="1"/>
      <c r="IGW27" s="1"/>
      <c r="IGX27" s="1"/>
      <c r="IGY27" s="1"/>
      <c r="IGZ27" s="1"/>
      <c r="IHA27" s="1"/>
      <c r="IHB27" s="1"/>
      <c r="IHC27" s="1"/>
      <c r="IHD27" s="1"/>
      <c r="IHE27" s="1"/>
      <c r="IHF27" s="1"/>
      <c r="IHG27" s="1"/>
      <c r="IHH27" s="1"/>
      <c r="IHI27" s="1"/>
      <c r="IHJ27" s="1"/>
      <c r="IHK27" s="1"/>
      <c r="IHL27" s="1"/>
      <c r="IHM27" s="1"/>
      <c r="IHN27" s="1"/>
      <c r="IHO27" s="1"/>
      <c r="IHP27" s="1"/>
      <c r="IHQ27" s="1"/>
      <c r="IHR27" s="1"/>
      <c r="IHS27" s="1"/>
      <c r="IHT27" s="1"/>
      <c r="IHU27" s="1"/>
      <c r="IHV27" s="1"/>
      <c r="IHW27" s="1"/>
      <c r="IHX27" s="1"/>
      <c r="IHY27" s="1"/>
      <c r="IHZ27" s="1"/>
      <c r="IIA27" s="1"/>
      <c r="IIB27" s="1"/>
      <c r="IIC27" s="1"/>
      <c r="IID27" s="1"/>
      <c r="IIE27" s="1"/>
      <c r="IIF27" s="1"/>
      <c r="IIG27" s="1"/>
      <c r="IIH27" s="1"/>
      <c r="III27" s="1"/>
      <c r="IIJ27" s="1"/>
      <c r="IIK27" s="1"/>
      <c r="IIL27" s="1"/>
      <c r="IIM27" s="1"/>
      <c r="IIN27" s="1"/>
      <c r="IIO27" s="1"/>
      <c r="IIP27" s="1"/>
      <c r="IIQ27" s="1"/>
      <c r="IIR27" s="1"/>
      <c r="IIS27" s="1"/>
      <c r="IIT27" s="1"/>
      <c r="IIU27" s="1"/>
      <c r="IIV27" s="1"/>
      <c r="IIW27" s="1"/>
      <c r="IIX27" s="1"/>
      <c r="IIY27" s="1"/>
      <c r="IIZ27" s="1"/>
      <c r="IJA27" s="1"/>
      <c r="IJB27" s="1"/>
      <c r="IJC27" s="1"/>
      <c r="IJD27" s="1"/>
      <c r="IJE27" s="1"/>
      <c r="IJF27" s="1"/>
      <c r="IJG27" s="1"/>
      <c r="IJH27" s="1"/>
      <c r="IJI27" s="1"/>
      <c r="IJJ27" s="1"/>
      <c r="IJK27" s="1"/>
      <c r="IJL27" s="1"/>
      <c r="IJM27" s="1"/>
      <c r="IJN27" s="1"/>
      <c r="IJO27" s="1"/>
      <c r="IJP27" s="1"/>
      <c r="IJQ27" s="1"/>
      <c r="IJR27" s="1"/>
      <c r="IJS27" s="1"/>
      <c r="IJT27" s="1"/>
      <c r="IJU27" s="1"/>
      <c r="IJV27" s="1"/>
      <c r="IJW27" s="1"/>
      <c r="IJX27" s="1"/>
      <c r="IJY27" s="1"/>
      <c r="IJZ27" s="1"/>
      <c r="IKA27" s="1"/>
      <c r="IKB27" s="1"/>
      <c r="IKC27" s="1"/>
      <c r="IKD27" s="1"/>
      <c r="IKE27" s="1"/>
      <c r="IKF27" s="1"/>
      <c r="IKG27" s="1"/>
      <c r="IKH27" s="1"/>
      <c r="IKI27" s="1"/>
      <c r="IKJ27" s="1"/>
      <c r="IKK27" s="1"/>
      <c r="IKL27" s="1"/>
      <c r="IKM27" s="1"/>
      <c r="IKN27" s="1"/>
      <c r="IKO27" s="1"/>
      <c r="IKP27" s="1"/>
      <c r="IKQ27" s="1"/>
      <c r="IKR27" s="1"/>
      <c r="IKS27" s="1"/>
      <c r="IKT27" s="1"/>
      <c r="IKU27" s="1"/>
      <c r="IKV27" s="1"/>
      <c r="IKW27" s="1"/>
      <c r="IKX27" s="1"/>
      <c r="IKY27" s="1"/>
      <c r="IKZ27" s="1"/>
      <c r="ILA27" s="1"/>
      <c r="ILB27" s="1"/>
      <c r="ILC27" s="1"/>
      <c r="ILD27" s="1"/>
      <c r="ILE27" s="1"/>
      <c r="ILF27" s="1"/>
      <c r="ILG27" s="1"/>
      <c r="ILH27" s="1"/>
      <c r="ILI27" s="1"/>
      <c r="ILJ27" s="1"/>
      <c r="ILK27" s="1"/>
      <c r="ILL27" s="1"/>
      <c r="ILM27" s="1"/>
      <c r="ILN27" s="1"/>
      <c r="ILO27" s="1"/>
      <c r="ILP27" s="1"/>
      <c r="ILQ27" s="1"/>
      <c r="ILR27" s="1"/>
      <c r="ILS27" s="1"/>
      <c r="ILT27" s="1"/>
      <c r="ILU27" s="1"/>
      <c r="ILV27" s="1"/>
      <c r="ILW27" s="1"/>
      <c r="ILX27" s="1"/>
      <c r="ILY27" s="1"/>
      <c r="ILZ27" s="1"/>
      <c r="IMA27" s="1"/>
      <c r="IMB27" s="1"/>
      <c r="IMC27" s="1"/>
      <c r="IMD27" s="1"/>
      <c r="IME27" s="1"/>
      <c r="IMF27" s="1"/>
      <c r="IMG27" s="1"/>
      <c r="IMH27" s="1"/>
      <c r="IMI27" s="1"/>
      <c r="IMJ27" s="1"/>
      <c r="IMK27" s="1"/>
      <c r="IML27" s="1"/>
      <c r="IMM27" s="1"/>
      <c r="IMN27" s="1"/>
      <c r="IMO27" s="1"/>
      <c r="IMP27" s="1"/>
      <c r="IMQ27" s="1"/>
      <c r="IMR27" s="1"/>
      <c r="IMS27" s="1"/>
      <c r="IMT27" s="1"/>
      <c r="IMU27" s="1"/>
      <c r="IMV27" s="1"/>
      <c r="IMW27" s="1"/>
      <c r="IMX27" s="1"/>
      <c r="IMY27" s="1"/>
      <c r="IMZ27" s="1"/>
      <c r="INA27" s="1"/>
      <c r="INB27" s="1"/>
      <c r="INC27" s="1"/>
      <c r="IND27" s="1"/>
      <c r="INE27" s="1"/>
      <c r="INF27" s="1"/>
      <c r="ING27" s="1"/>
      <c r="INH27" s="1"/>
      <c r="INI27" s="1"/>
      <c r="INJ27" s="1"/>
      <c r="INK27" s="1"/>
      <c r="INL27" s="1"/>
      <c r="INM27" s="1"/>
      <c r="INN27" s="1"/>
      <c r="INO27" s="1"/>
      <c r="INP27" s="1"/>
      <c r="INQ27" s="1"/>
      <c r="INR27" s="1"/>
      <c r="INS27" s="1"/>
      <c r="INT27" s="1"/>
      <c r="INU27" s="1"/>
      <c r="INV27" s="1"/>
      <c r="INW27" s="1"/>
      <c r="INX27" s="1"/>
      <c r="INY27" s="1"/>
      <c r="INZ27" s="1"/>
      <c r="IOA27" s="1"/>
      <c r="IOB27" s="1"/>
      <c r="IOC27" s="1"/>
      <c r="IOD27" s="1"/>
      <c r="IOE27" s="1"/>
      <c r="IOF27" s="1"/>
      <c r="IOG27" s="1"/>
      <c r="IOH27" s="1"/>
      <c r="IOI27" s="1"/>
      <c r="IOJ27" s="1"/>
      <c r="IOK27" s="1"/>
      <c r="IOL27" s="1"/>
      <c r="IOM27" s="1"/>
      <c r="ION27" s="1"/>
      <c r="IOO27" s="1"/>
      <c r="IOP27" s="1"/>
      <c r="IOQ27" s="1"/>
      <c r="IOR27" s="1"/>
      <c r="IOS27" s="1"/>
      <c r="IOT27" s="1"/>
      <c r="IOU27" s="1"/>
      <c r="IOV27" s="1"/>
      <c r="IOW27" s="1"/>
      <c r="IOX27" s="1"/>
      <c r="IOY27" s="1"/>
      <c r="IOZ27" s="1"/>
      <c r="IPA27" s="1"/>
      <c r="IPB27" s="1"/>
      <c r="IPC27" s="1"/>
      <c r="IPD27" s="1"/>
      <c r="IPE27" s="1"/>
      <c r="IPF27" s="1"/>
      <c r="IPG27" s="1"/>
      <c r="IPH27" s="1"/>
      <c r="IPI27" s="1"/>
      <c r="IPJ27" s="1"/>
      <c r="IPK27" s="1"/>
      <c r="IPL27" s="1"/>
      <c r="IPM27" s="1"/>
      <c r="IPN27" s="1"/>
      <c r="IPO27" s="1"/>
      <c r="IPP27" s="1"/>
      <c r="IPQ27" s="1"/>
      <c r="IPR27" s="1"/>
      <c r="IPS27" s="1"/>
      <c r="IPT27" s="1"/>
      <c r="IPU27" s="1"/>
      <c r="IPV27" s="1"/>
      <c r="IPW27" s="1"/>
      <c r="IPX27" s="1"/>
      <c r="IPY27" s="1"/>
      <c r="IPZ27" s="1"/>
      <c r="IQA27" s="1"/>
      <c r="IQB27" s="1"/>
      <c r="IQC27" s="1"/>
      <c r="IQD27" s="1"/>
      <c r="IQE27" s="1"/>
      <c r="IQF27" s="1"/>
      <c r="IQG27" s="1"/>
      <c r="IQH27" s="1"/>
      <c r="IQI27" s="1"/>
      <c r="IQJ27" s="1"/>
      <c r="IQK27" s="1"/>
      <c r="IQL27" s="1"/>
      <c r="IQM27" s="1"/>
      <c r="IQN27" s="1"/>
      <c r="IQO27" s="1"/>
      <c r="IQP27" s="1"/>
      <c r="IQQ27" s="1"/>
      <c r="IQR27" s="1"/>
      <c r="IQS27" s="1"/>
      <c r="IQT27" s="1"/>
      <c r="IQU27" s="1"/>
      <c r="IQV27" s="1"/>
      <c r="IQW27" s="1"/>
      <c r="IQX27" s="1"/>
      <c r="IQY27" s="1"/>
      <c r="IQZ27" s="1"/>
      <c r="IRA27" s="1"/>
      <c r="IRB27" s="1"/>
      <c r="IRC27" s="1"/>
      <c r="IRD27" s="1"/>
      <c r="IRE27" s="1"/>
      <c r="IRF27" s="1"/>
      <c r="IRG27" s="1"/>
      <c r="IRH27" s="1"/>
      <c r="IRI27" s="1"/>
      <c r="IRJ27" s="1"/>
      <c r="IRK27" s="1"/>
      <c r="IRL27" s="1"/>
      <c r="IRM27" s="1"/>
      <c r="IRN27" s="1"/>
      <c r="IRO27" s="1"/>
      <c r="IRP27" s="1"/>
      <c r="IRQ27" s="1"/>
      <c r="IRR27" s="1"/>
      <c r="IRS27" s="1"/>
      <c r="IRT27" s="1"/>
      <c r="IRU27" s="1"/>
      <c r="IRV27" s="1"/>
      <c r="IRW27" s="1"/>
      <c r="IRX27" s="1"/>
      <c r="IRY27" s="1"/>
      <c r="IRZ27" s="1"/>
      <c r="ISA27" s="1"/>
      <c r="ISB27" s="1"/>
      <c r="ISC27" s="1"/>
      <c r="ISD27" s="1"/>
      <c r="ISE27" s="1"/>
      <c r="ISF27" s="1"/>
      <c r="ISG27" s="1"/>
      <c r="ISH27" s="1"/>
      <c r="ISI27" s="1"/>
      <c r="ISJ27" s="1"/>
      <c r="ISK27" s="1"/>
      <c r="ISL27" s="1"/>
      <c r="ISM27" s="1"/>
      <c r="ISN27" s="1"/>
      <c r="ISO27" s="1"/>
      <c r="ISP27" s="1"/>
      <c r="ISQ27" s="1"/>
      <c r="ISR27" s="1"/>
      <c r="ISS27" s="1"/>
      <c r="IST27" s="1"/>
      <c r="ISU27" s="1"/>
      <c r="ISV27" s="1"/>
      <c r="ISW27" s="1"/>
      <c r="ISX27" s="1"/>
      <c r="ISY27" s="1"/>
      <c r="ISZ27" s="1"/>
      <c r="ITA27" s="1"/>
      <c r="ITB27" s="1"/>
      <c r="ITC27" s="1"/>
      <c r="ITD27" s="1"/>
      <c r="ITE27" s="1"/>
      <c r="ITF27" s="1"/>
      <c r="ITG27" s="1"/>
      <c r="ITH27" s="1"/>
      <c r="ITI27" s="1"/>
      <c r="ITJ27" s="1"/>
      <c r="ITK27" s="1"/>
      <c r="ITL27" s="1"/>
      <c r="ITM27" s="1"/>
      <c r="ITN27" s="1"/>
      <c r="ITO27" s="1"/>
      <c r="ITP27" s="1"/>
      <c r="ITQ27" s="1"/>
      <c r="ITR27" s="1"/>
      <c r="ITS27" s="1"/>
      <c r="ITT27" s="1"/>
      <c r="ITU27" s="1"/>
      <c r="ITV27" s="1"/>
      <c r="ITW27" s="1"/>
      <c r="ITX27" s="1"/>
      <c r="ITY27" s="1"/>
      <c r="ITZ27" s="1"/>
      <c r="IUA27" s="1"/>
      <c r="IUB27" s="1"/>
      <c r="IUC27" s="1"/>
      <c r="IUD27" s="1"/>
      <c r="IUE27" s="1"/>
      <c r="IUF27" s="1"/>
      <c r="IUG27" s="1"/>
      <c r="IUH27" s="1"/>
      <c r="IUI27" s="1"/>
      <c r="IUJ27" s="1"/>
      <c r="IUK27" s="1"/>
      <c r="IUL27" s="1"/>
      <c r="IUM27" s="1"/>
      <c r="IUN27" s="1"/>
      <c r="IUO27" s="1"/>
      <c r="IUP27" s="1"/>
      <c r="IUQ27" s="1"/>
      <c r="IUR27" s="1"/>
      <c r="IUS27" s="1"/>
      <c r="IUT27" s="1"/>
      <c r="IUU27" s="1"/>
      <c r="IUV27" s="1"/>
      <c r="IUW27" s="1"/>
      <c r="IUX27" s="1"/>
      <c r="IUY27" s="1"/>
      <c r="IUZ27" s="1"/>
      <c r="IVA27" s="1"/>
      <c r="IVB27" s="1"/>
      <c r="IVC27" s="1"/>
      <c r="IVD27" s="1"/>
      <c r="IVE27" s="1"/>
      <c r="IVF27" s="1"/>
      <c r="IVG27" s="1"/>
      <c r="IVH27" s="1"/>
      <c r="IVI27" s="1"/>
      <c r="IVJ27" s="1"/>
      <c r="IVK27" s="1"/>
      <c r="IVL27" s="1"/>
      <c r="IVM27" s="1"/>
      <c r="IVN27" s="1"/>
      <c r="IVO27" s="1"/>
      <c r="IVP27" s="1"/>
      <c r="IVQ27" s="1"/>
      <c r="IVR27" s="1"/>
      <c r="IVS27" s="1"/>
      <c r="IVT27" s="1"/>
      <c r="IVU27" s="1"/>
      <c r="IVV27" s="1"/>
      <c r="IVW27" s="1"/>
      <c r="IVX27" s="1"/>
      <c r="IVY27" s="1"/>
      <c r="IVZ27" s="1"/>
      <c r="IWA27" s="1"/>
      <c r="IWB27" s="1"/>
      <c r="IWC27" s="1"/>
      <c r="IWD27" s="1"/>
      <c r="IWE27" s="1"/>
      <c r="IWF27" s="1"/>
      <c r="IWG27" s="1"/>
      <c r="IWH27" s="1"/>
      <c r="IWI27" s="1"/>
      <c r="IWJ27" s="1"/>
      <c r="IWK27" s="1"/>
      <c r="IWL27" s="1"/>
      <c r="IWM27" s="1"/>
      <c r="IWN27" s="1"/>
      <c r="IWO27" s="1"/>
      <c r="IWP27" s="1"/>
      <c r="IWQ27" s="1"/>
      <c r="IWR27" s="1"/>
      <c r="IWS27" s="1"/>
      <c r="IWT27" s="1"/>
      <c r="IWU27" s="1"/>
      <c r="IWV27" s="1"/>
      <c r="IWW27" s="1"/>
      <c r="IWX27" s="1"/>
      <c r="IWY27" s="1"/>
      <c r="IWZ27" s="1"/>
      <c r="IXA27" s="1"/>
      <c r="IXB27" s="1"/>
      <c r="IXC27" s="1"/>
      <c r="IXD27" s="1"/>
      <c r="IXE27" s="1"/>
      <c r="IXF27" s="1"/>
      <c r="IXG27" s="1"/>
      <c r="IXH27" s="1"/>
      <c r="IXI27" s="1"/>
      <c r="IXJ27" s="1"/>
      <c r="IXK27" s="1"/>
      <c r="IXL27" s="1"/>
      <c r="IXM27" s="1"/>
      <c r="IXN27" s="1"/>
      <c r="IXO27" s="1"/>
      <c r="IXP27" s="1"/>
      <c r="IXQ27" s="1"/>
      <c r="IXR27" s="1"/>
      <c r="IXS27" s="1"/>
      <c r="IXT27" s="1"/>
      <c r="IXU27" s="1"/>
      <c r="IXV27" s="1"/>
      <c r="IXW27" s="1"/>
      <c r="IXX27" s="1"/>
      <c r="IXY27" s="1"/>
      <c r="IXZ27" s="1"/>
      <c r="IYA27" s="1"/>
      <c r="IYB27" s="1"/>
      <c r="IYC27" s="1"/>
      <c r="IYD27" s="1"/>
      <c r="IYE27" s="1"/>
      <c r="IYF27" s="1"/>
      <c r="IYG27" s="1"/>
      <c r="IYH27" s="1"/>
      <c r="IYI27" s="1"/>
      <c r="IYJ27" s="1"/>
      <c r="IYK27" s="1"/>
      <c r="IYL27" s="1"/>
      <c r="IYM27" s="1"/>
      <c r="IYN27" s="1"/>
      <c r="IYO27" s="1"/>
      <c r="IYP27" s="1"/>
      <c r="IYQ27" s="1"/>
      <c r="IYR27" s="1"/>
      <c r="IYS27" s="1"/>
      <c r="IYT27" s="1"/>
      <c r="IYU27" s="1"/>
      <c r="IYV27" s="1"/>
      <c r="IYW27" s="1"/>
      <c r="IYX27" s="1"/>
      <c r="IYY27" s="1"/>
      <c r="IYZ27" s="1"/>
      <c r="IZA27" s="1"/>
      <c r="IZB27" s="1"/>
      <c r="IZC27" s="1"/>
      <c r="IZD27" s="1"/>
      <c r="IZE27" s="1"/>
      <c r="IZF27" s="1"/>
      <c r="IZG27" s="1"/>
      <c r="IZH27" s="1"/>
      <c r="IZI27" s="1"/>
      <c r="IZJ27" s="1"/>
      <c r="IZK27" s="1"/>
      <c r="IZL27" s="1"/>
      <c r="IZM27" s="1"/>
      <c r="IZN27" s="1"/>
      <c r="IZO27" s="1"/>
      <c r="IZP27" s="1"/>
      <c r="IZQ27" s="1"/>
      <c r="IZR27" s="1"/>
      <c r="IZS27" s="1"/>
      <c r="IZT27" s="1"/>
      <c r="IZU27" s="1"/>
      <c r="IZV27" s="1"/>
      <c r="IZW27" s="1"/>
      <c r="IZX27" s="1"/>
      <c r="IZY27" s="1"/>
      <c r="IZZ27" s="1"/>
      <c r="JAA27" s="1"/>
      <c r="JAB27" s="1"/>
      <c r="JAC27" s="1"/>
      <c r="JAD27" s="1"/>
      <c r="JAE27" s="1"/>
      <c r="JAF27" s="1"/>
      <c r="JAG27" s="1"/>
      <c r="JAH27" s="1"/>
      <c r="JAI27" s="1"/>
      <c r="JAJ27" s="1"/>
      <c r="JAK27" s="1"/>
      <c r="JAL27" s="1"/>
      <c r="JAM27" s="1"/>
      <c r="JAN27" s="1"/>
      <c r="JAO27" s="1"/>
      <c r="JAP27" s="1"/>
      <c r="JAQ27" s="1"/>
      <c r="JAR27" s="1"/>
      <c r="JAS27" s="1"/>
      <c r="JAT27" s="1"/>
      <c r="JAU27" s="1"/>
      <c r="JAV27" s="1"/>
      <c r="JAW27" s="1"/>
      <c r="JAX27" s="1"/>
      <c r="JAY27" s="1"/>
      <c r="JAZ27" s="1"/>
      <c r="JBA27" s="1"/>
      <c r="JBB27" s="1"/>
      <c r="JBC27" s="1"/>
      <c r="JBD27" s="1"/>
      <c r="JBE27" s="1"/>
      <c r="JBF27" s="1"/>
      <c r="JBG27" s="1"/>
      <c r="JBH27" s="1"/>
      <c r="JBI27" s="1"/>
      <c r="JBJ27" s="1"/>
      <c r="JBK27" s="1"/>
      <c r="JBL27" s="1"/>
      <c r="JBM27" s="1"/>
      <c r="JBN27" s="1"/>
      <c r="JBO27" s="1"/>
      <c r="JBP27" s="1"/>
      <c r="JBQ27" s="1"/>
      <c r="JBR27" s="1"/>
      <c r="JBS27" s="1"/>
      <c r="JBT27" s="1"/>
      <c r="JBU27" s="1"/>
      <c r="JBV27" s="1"/>
      <c r="JBW27" s="1"/>
      <c r="JBX27" s="1"/>
      <c r="JBY27" s="1"/>
      <c r="JBZ27" s="1"/>
      <c r="JCA27" s="1"/>
      <c r="JCB27" s="1"/>
      <c r="JCC27" s="1"/>
      <c r="JCD27" s="1"/>
      <c r="JCE27" s="1"/>
      <c r="JCF27" s="1"/>
      <c r="JCG27" s="1"/>
      <c r="JCH27" s="1"/>
      <c r="JCI27" s="1"/>
      <c r="JCJ27" s="1"/>
      <c r="JCK27" s="1"/>
      <c r="JCL27" s="1"/>
      <c r="JCM27" s="1"/>
      <c r="JCN27" s="1"/>
      <c r="JCO27" s="1"/>
      <c r="JCP27" s="1"/>
      <c r="JCQ27" s="1"/>
      <c r="JCR27" s="1"/>
      <c r="JCS27" s="1"/>
      <c r="JCT27" s="1"/>
      <c r="JCU27" s="1"/>
      <c r="JCV27" s="1"/>
      <c r="JCW27" s="1"/>
      <c r="JCX27" s="1"/>
      <c r="JCY27" s="1"/>
      <c r="JCZ27" s="1"/>
      <c r="JDA27" s="1"/>
      <c r="JDB27" s="1"/>
      <c r="JDC27" s="1"/>
      <c r="JDD27" s="1"/>
      <c r="JDE27" s="1"/>
      <c r="JDF27" s="1"/>
      <c r="JDG27" s="1"/>
      <c r="JDH27" s="1"/>
      <c r="JDI27" s="1"/>
      <c r="JDJ27" s="1"/>
      <c r="JDK27" s="1"/>
      <c r="JDL27" s="1"/>
      <c r="JDM27" s="1"/>
      <c r="JDN27" s="1"/>
      <c r="JDO27" s="1"/>
      <c r="JDP27" s="1"/>
      <c r="JDQ27" s="1"/>
      <c r="JDR27" s="1"/>
      <c r="JDS27" s="1"/>
      <c r="JDT27" s="1"/>
      <c r="JDU27" s="1"/>
      <c r="JDV27" s="1"/>
      <c r="JDW27" s="1"/>
      <c r="JDX27" s="1"/>
      <c r="JDY27" s="1"/>
      <c r="JDZ27" s="1"/>
      <c r="JEA27" s="1"/>
      <c r="JEB27" s="1"/>
      <c r="JEC27" s="1"/>
      <c r="JED27" s="1"/>
      <c r="JEE27" s="1"/>
      <c r="JEF27" s="1"/>
      <c r="JEG27" s="1"/>
      <c r="JEH27" s="1"/>
      <c r="JEI27" s="1"/>
      <c r="JEJ27" s="1"/>
      <c r="JEK27" s="1"/>
      <c r="JEL27" s="1"/>
      <c r="JEM27" s="1"/>
      <c r="JEN27" s="1"/>
      <c r="JEO27" s="1"/>
      <c r="JEP27" s="1"/>
      <c r="JEQ27" s="1"/>
      <c r="JER27" s="1"/>
      <c r="JES27" s="1"/>
      <c r="JET27" s="1"/>
      <c r="JEU27" s="1"/>
      <c r="JEV27" s="1"/>
      <c r="JEW27" s="1"/>
      <c r="JEX27" s="1"/>
      <c r="JEY27" s="1"/>
      <c r="JEZ27" s="1"/>
      <c r="JFA27" s="1"/>
      <c r="JFB27" s="1"/>
      <c r="JFC27" s="1"/>
      <c r="JFD27" s="1"/>
      <c r="JFE27" s="1"/>
      <c r="JFF27" s="1"/>
      <c r="JFG27" s="1"/>
      <c r="JFH27" s="1"/>
      <c r="JFI27" s="1"/>
      <c r="JFJ27" s="1"/>
      <c r="JFK27" s="1"/>
      <c r="JFL27" s="1"/>
      <c r="JFM27" s="1"/>
      <c r="JFN27" s="1"/>
      <c r="JFO27" s="1"/>
      <c r="JFP27" s="1"/>
      <c r="JFQ27" s="1"/>
      <c r="JFR27" s="1"/>
      <c r="JFS27" s="1"/>
      <c r="JFT27" s="1"/>
      <c r="JFU27" s="1"/>
      <c r="JFV27" s="1"/>
      <c r="JFW27" s="1"/>
      <c r="JFX27" s="1"/>
      <c r="JFY27" s="1"/>
      <c r="JFZ27" s="1"/>
      <c r="JGA27" s="1"/>
      <c r="JGB27" s="1"/>
      <c r="JGC27" s="1"/>
      <c r="JGD27" s="1"/>
      <c r="JGE27" s="1"/>
      <c r="JGF27" s="1"/>
      <c r="JGG27" s="1"/>
      <c r="JGH27" s="1"/>
      <c r="JGI27" s="1"/>
      <c r="JGJ27" s="1"/>
      <c r="JGK27" s="1"/>
      <c r="JGL27" s="1"/>
      <c r="JGM27" s="1"/>
      <c r="JGN27" s="1"/>
      <c r="JGO27" s="1"/>
      <c r="JGP27" s="1"/>
      <c r="JGQ27" s="1"/>
      <c r="JGR27" s="1"/>
      <c r="JGS27" s="1"/>
      <c r="JGT27" s="1"/>
      <c r="JGU27" s="1"/>
      <c r="JGV27" s="1"/>
      <c r="JGW27" s="1"/>
      <c r="JGX27" s="1"/>
      <c r="JGY27" s="1"/>
      <c r="JGZ27" s="1"/>
      <c r="JHA27" s="1"/>
      <c r="JHB27" s="1"/>
      <c r="JHC27" s="1"/>
      <c r="JHD27" s="1"/>
      <c r="JHE27" s="1"/>
      <c r="JHF27" s="1"/>
      <c r="JHG27" s="1"/>
      <c r="JHH27" s="1"/>
      <c r="JHI27" s="1"/>
      <c r="JHJ27" s="1"/>
      <c r="JHK27" s="1"/>
      <c r="JHL27" s="1"/>
      <c r="JHM27" s="1"/>
      <c r="JHN27" s="1"/>
      <c r="JHO27" s="1"/>
      <c r="JHP27" s="1"/>
      <c r="JHQ27" s="1"/>
      <c r="JHR27" s="1"/>
      <c r="JHS27" s="1"/>
      <c r="JHT27" s="1"/>
      <c r="JHU27" s="1"/>
      <c r="JHV27" s="1"/>
      <c r="JHW27" s="1"/>
      <c r="JHX27" s="1"/>
      <c r="JHY27" s="1"/>
      <c r="JHZ27" s="1"/>
      <c r="JIA27" s="1"/>
      <c r="JIB27" s="1"/>
      <c r="JIC27" s="1"/>
      <c r="JID27" s="1"/>
      <c r="JIE27" s="1"/>
      <c r="JIF27" s="1"/>
      <c r="JIG27" s="1"/>
      <c r="JIH27" s="1"/>
      <c r="JII27" s="1"/>
      <c r="JIJ27" s="1"/>
      <c r="JIK27" s="1"/>
      <c r="JIL27" s="1"/>
      <c r="JIM27" s="1"/>
      <c r="JIN27" s="1"/>
      <c r="JIO27" s="1"/>
      <c r="JIP27" s="1"/>
      <c r="JIQ27" s="1"/>
      <c r="JIR27" s="1"/>
      <c r="JIS27" s="1"/>
      <c r="JIT27" s="1"/>
      <c r="JIU27" s="1"/>
      <c r="JIV27" s="1"/>
      <c r="JIW27" s="1"/>
      <c r="JIX27" s="1"/>
      <c r="JIY27" s="1"/>
      <c r="JIZ27" s="1"/>
      <c r="JJA27" s="1"/>
      <c r="JJB27" s="1"/>
      <c r="JJC27" s="1"/>
      <c r="JJD27" s="1"/>
      <c r="JJE27" s="1"/>
      <c r="JJF27" s="1"/>
      <c r="JJG27" s="1"/>
      <c r="JJH27" s="1"/>
      <c r="JJI27" s="1"/>
      <c r="JJJ27" s="1"/>
      <c r="JJK27" s="1"/>
      <c r="JJL27" s="1"/>
      <c r="JJM27" s="1"/>
      <c r="JJN27" s="1"/>
      <c r="JJO27" s="1"/>
      <c r="JJP27" s="1"/>
      <c r="JJQ27" s="1"/>
      <c r="JJR27" s="1"/>
      <c r="JJS27" s="1"/>
      <c r="JJT27" s="1"/>
      <c r="JJU27" s="1"/>
      <c r="JJV27" s="1"/>
      <c r="JJW27" s="1"/>
      <c r="JJX27" s="1"/>
      <c r="JJY27" s="1"/>
      <c r="JJZ27" s="1"/>
      <c r="JKA27" s="1"/>
      <c r="JKB27" s="1"/>
      <c r="JKC27" s="1"/>
      <c r="JKD27" s="1"/>
      <c r="JKE27" s="1"/>
      <c r="JKF27" s="1"/>
      <c r="JKG27" s="1"/>
      <c r="JKH27" s="1"/>
      <c r="JKI27" s="1"/>
      <c r="JKJ27" s="1"/>
      <c r="JKK27" s="1"/>
      <c r="JKL27" s="1"/>
      <c r="JKM27" s="1"/>
      <c r="JKN27" s="1"/>
      <c r="JKO27" s="1"/>
      <c r="JKP27" s="1"/>
      <c r="JKQ27" s="1"/>
      <c r="JKR27" s="1"/>
      <c r="JKS27" s="1"/>
      <c r="JKT27" s="1"/>
      <c r="JKU27" s="1"/>
      <c r="JKV27" s="1"/>
      <c r="JKW27" s="1"/>
      <c r="JKX27" s="1"/>
      <c r="JKY27" s="1"/>
      <c r="JKZ27" s="1"/>
      <c r="JLA27" s="1"/>
      <c r="JLB27" s="1"/>
      <c r="JLC27" s="1"/>
      <c r="JLD27" s="1"/>
      <c r="JLE27" s="1"/>
      <c r="JLF27" s="1"/>
      <c r="JLG27" s="1"/>
      <c r="JLH27" s="1"/>
      <c r="JLI27" s="1"/>
      <c r="JLJ27" s="1"/>
      <c r="JLK27" s="1"/>
      <c r="JLL27" s="1"/>
      <c r="JLM27" s="1"/>
      <c r="JLN27" s="1"/>
      <c r="JLO27" s="1"/>
      <c r="JLP27" s="1"/>
      <c r="JLQ27" s="1"/>
      <c r="JLR27" s="1"/>
      <c r="JLS27" s="1"/>
      <c r="JLT27" s="1"/>
      <c r="JLU27" s="1"/>
      <c r="JLV27" s="1"/>
      <c r="JLW27" s="1"/>
      <c r="JLX27" s="1"/>
      <c r="JLY27" s="1"/>
      <c r="JLZ27" s="1"/>
      <c r="JMA27" s="1"/>
      <c r="JMB27" s="1"/>
      <c r="JMC27" s="1"/>
      <c r="JMD27" s="1"/>
      <c r="JME27" s="1"/>
      <c r="JMF27" s="1"/>
      <c r="JMG27" s="1"/>
      <c r="JMH27" s="1"/>
      <c r="JMI27" s="1"/>
      <c r="JMJ27" s="1"/>
      <c r="JMK27" s="1"/>
      <c r="JML27" s="1"/>
      <c r="JMM27" s="1"/>
      <c r="JMN27" s="1"/>
      <c r="JMO27" s="1"/>
      <c r="JMP27" s="1"/>
      <c r="JMQ27" s="1"/>
      <c r="JMR27" s="1"/>
      <c r="JMS27" s="1"/>
      <c r="JMT27" s="1"/>
      <c r="JMU27" s="1"/>
      <c r="JMV27" s="1"/>
      <c r="JMW27" s="1"/>
      <c r="JMX27" s="1"/>
      <c r="JMY27" s="1"/>
      <c r="JMZ27" s="1"/>
      <c r="JNA27" s="1"/>
      <c r="JNB27" s="1"/>
      <c r="JNC27" s="1"/>
      <c r="JND27" s="1"/>
      <c r="JNE27" s="1"/>
      <c r="JNF27" s="1"/>
      <c r="JNG27" s="1"/>
      <c r="JNH27" s="1"/>
      <c r="JNI27" s="1"/>
      <c r="JNJ27" s="1"/>
      <c r="JNK27" s="1"/>
      <c r="JNL27" s="1"/>
      <c r="JNM27" s="1"/>
      <c r="JNN27" s="1"/>
      <c r="JNO27" s="1"/>
      <c r="JNP27" s="1"/>
      <c r="JNQ27" s="1"/>
      <c r="JNR27" s="1"/>
      <c r="JNS27" s="1"/>
      <c r="JNT27" s="1"/>
      <c r="JNU27" s="1"/>
      <c r="JNV27" s="1"/>
      <c r="JNW27" s="1"/>
      <c r="JNX27" s="1"/>
      <c r="JNY27" s="1"/>
      <c r="JNZ27" s="1"/>
      <c r="JOA27" s="1"/>
      <c r="JOB27" s="1"/>
      <c r="JOC27" s="1"/>
      <c r="JOD27" s="1"/>
      <c r="JOE27" s="1"/>
      <c r="JOF27" s="1"/>
      <c r="JOG27" s="1"/>
      <c r="JOH27" s="1"/>
      <c r="JOI27" s="1"/>
      <c r="JOJ27" s="1"/>
      <c r="JOK27" s="1"/>
      <c r="JOL27" s="1"/>
      <c r="JOM27" s="1"/>
      <c r="JON27" s="1"/>
      <c r="JOO27" s="1"/>
      <c r="JOP27" s="1"/>
      <c r="JOQ27" s="1"/>
      <c r="JOR27" s="1"/>
      <c r="JOS27" s="1"/>
      <c r="JOT27" s="1"/>
      <c r="JOU27" s="1"/>
      <c r="JOV27" s="1"/>
      <c r="JOW27" s="1"/>
      <c r="JOX27" s="1"/>
      <c r="JOY27" s="1"/>
      <c r="JOZ27" s="1"/>
      <c r="JPA27" s="1"/>
      <c r="JPB27" s="1"/>
      <c r="JPC27" s="1"/>
      <c r="JPD27" s="1"/>
      <c r="JPE27" s="1"/>
      <c r="JPF27" s="1"/>
      <c r="JPG27" s="1"/>
      <c r="JPH27" s="1"/>
      <c r="JPI27" s="1"/>
      <c r="JPJ27" s="1"/>
      <c r="JPK27" s="1"/>
      <c r="JPL27" s="1"/>
      <c r="JPM27" s="1"/>
      <c r="JPN27" s="1"/>
      <c r="JPO27" s="1"/>
      <c r="JPP27" s="1"/>
      <c r="JPQ27" s="1"/>
      <c r="JPR27" s="1"/>
      <c r="JPS27" s="1"/>
      <c r="JPT27" s="1"/>
      <c r="JPU27" s="1"/>
      <c r="JPV27" s="1"/>
      <c r="JPW27" s="1"/>
      <c r="JPX27" s="1"/>
      <c r="JPY27" s="1"/>
      <c r="JPZ27" s="1"/>
      <c r="JQA27" s="1"/>
      <c r="JQB27" s="1"/>
      <c r="JQC27" s="1"/>
      <c r="JQD27" s="1"/>
      <c r="JQE27" s="1"/>
      <c r="JQF27" s="1"/>
      <c r="JQG27" s="1"/>
      <c r="JQH27" s="1"/>
      <c r="JQI27" s="1"/>
      <c r="JQJ27" s="1"/>
      <c r="JQK27" s="1"/>
      <c r="JQL27" s="1"/>
      <c r="JQM27" s="1"/>
      <c r="JQN27" s="1"/>
      <c r="JQO27" s="1"/>
      <c r="JQP27" s="1"/>
      <c r="JQQ27" s="1"/>
      <c r="JQR27" s="1"/>
      <c r="JQS27" s="1"/>
      <c r="JQT27" s="1"/>
      <c r="JQU27" s="1"/>
      <c r="JQV27" s="1"/>
      <c r="JQW27" s="1"/>
      <c r="JQX27" s="1"/>
      <c r="JQY27" s="1"/>
      <c r="JQZ27" s="1"/>
      <c r="JRA27" s="1"/>
      <c r="JRB27" s="1"/>
      <c r="JRC27" s="1"/>
      <c r="JRD27" s="1"/>
      <c r="JRE27" s="1"/>
      <c r="JRF27" s="1"/>
      <c r="JRG27" s="1"/>
      <c r="JRH27" s="1"/>
      <c r="JRI27" s="1"/>
      <c r="JRJ27" s="1"/>
      <c r="JRK27" s="1"/>
      <c r="JRL27" s="1"/>
      <c r="JRM27" s="1"/>
      <c r="JRN27" s="1"/>
      <c r="JRO27" s="1"/>
      <c r="JRP27" s="1"/>
      <c r="JRQ27" s="1"/>
      <c r="JRR27" s="1"/>
      <c r="JRS27" s="1"/>
      <c r="JRT27" s="1"/>
      <c r="JRU27" s="1"/>
      <c r="JRV27" s="1"/>
      <c r="JRW27" s="1"/>
      <c r="JRX27" s="1"/>
      <c r="JRY27" s="1"/>
      <c r="JRZ27" s="1"/>
      <c r="JSA27" s="1"/>
      <c r="JSB27" s="1"/>
      <c r="JSC27" s="1"/>
      <c r="JSD27" s="1"/>
      <c r="JSE27" s="1"/>
      <c r="JSF27" s="1"/>
      <c r="JSG27" s="1"/>
      <c r="JSH27" s="1"/>
      <c r="JSI27" s="1"/>
      <c r="JSJ27" s="1"/>
      <c r="JSK27" s="1"/>
      <c r="JSL27" s="1"/>
      <c r="JSM27" s="1"/>
      <c r="JSN27" s="1"/>
      <c r="JSO27" s="1"/>
      <c r="JSP27" s="1"/>
      <c r="JSQ27" s="1"/>
      <c r="JSR27" s="1"/>
      <c r="JSS27" s="1"/>
      <c r="JST27" s="1"/>
      <c r="JSU27" s="1"/>
      <c r="JSV27" s="1"/>
      <c r="JSW27" s="1"/>
      <c r="JSX27" s="1"/>
      <c r="JSY27" s="1"/>
      <c r="JSZ27" s="1"/>
      <c r="JTA27" s="1"/>
      <c r="JTB27" s="1"/>
      <c r="JTC27" s="1"/>
      <c r="JTD27" s="1"/>
      <c r="JTE27" s="1"/>
      <c r="JTF27" s="1"/>
      <c r="JTG27" s="1"/>
      <c r="JTH27" s="1"/>
      <c r="JTI27" s="1"/>
      <c r="JTJ27" s="1"/>
      <c r="JTK27" s="1"/>
      <c r="JTL27" s="1"/>
      <c r="JTM27" s="1"/>
      <c r="JTN27" s="1"/>
      <c r="JTO27" s="1"/>
      <c r="JTP27" s="1"/>
      <c r="JTQ27" s="1"/>
      <c r="JTR27" s="1"/>
      <c r="JTS27" s="1"/>
      <c r="JTT27" s="1"/>
      <c r="JTU27" s="1"/>
      <c r="JTV27" s="1"/>
      <c r="JTW27" s="1"/>
      <c r="JTX27" s="1"/>
      <c r="JTY27" s="1"/>
      <c r="JTZ27" s="1"/>
      <c r="JUA27" s="1"/>
      <c r="JUB27" s="1"/>
      <c r="JUC27" s="1"/>
      <c r="JUD27" s="1"/>
      <c r="JUE27" s="1"/>
      <c r="JUF27" s="1"/>
      <c r="JUG27" s="1"/>
      <c r="JUH27" s="1"/>
      <c r="JUI27" s="1"/>
      <c r="JUJ27" s="1"/>
      <c r="JUK27" s="1"/>
      <c r="JUL27" s="1"/>
      <c r="JUM27" s="1"/>
      <c r="JUN27" s="1"/>
      <c r="JUO27" s="1"/>
      <c r="JUP27" s="1"/>
      <c r="JUQ27" s="1"/>
      <c r="JUR27" s="1"/>
      <c r="JUS27" s="1"/>
      <c r="JUT27" s="1"/>
      <c r="JUU27" s="1"/>
      <c r="JUV27" s="1"/>
      <c r="JUW27" s="1"/>
      <c r="JUX27" s="1"/>
      <c r="JUY27" s="1"/>
      <c r="JUZ27" s="1"/>
      <c r="JVA27" s="1"/>
      <c r="JVB27" s="1"/>
      <c r="JVC27" s="1"/>
      <c r="JVD27" s="1"/>
      <c r="JVE27" s="1"/>
      <c r="JVF27" s="1"/>
      <c r="JVG27" s="1"/>
      <c r="JVH27" s="1"/>
      <c r="JVI27" s="1"/>
      <c r="JVJ27" s="1"/>
      <c r="JVK27" s="1"/>
      <c r="JVL27" s="1"/>
      <c r="JVM27" s="1"/>
      <c r="JVN27" s="1"/>
      <c r="JVO27" s="1"/>
      <c r="JVP27" s="1"/>
      <c r="JVQ27" s="1"/>
      <c r="JVR27" s="1"/>
      <c r="JVS27" s="1"/>
      <c r="JVT27" s="1"/>
      <c r="JVU27" s="1"/>
      <c r="JVV27" s="1"/>
      <c r="JVW27" s="1"/>
      <c r="JVX27" s="1"/>
      <c r="JVY27" s="1"/>
      <c r="JVZ27" s="1"/>
      <c r="JWA27" s="1"/>
      <c r="JWB27" s="1"/>
      <c r="JWC27" s="1"/>
      <c r="JWD27" s="1"/>
      <c r="JWE27" s="1"/>
      <c r="JWF27" s="1"/>
      <c r="JWG27" s="1"/>
      <c r="JWH27" s="1"/>
      <c r="JWI27" s="1"/>
      <c r="JWJ27" s="1"/>
      <c r="JWK27" s="1"/>
      <c r="JWL27" s="1"/>
      <c r="JWM27" s="1"/>
      <c r="JWN27" s="1"/>
      <c r="JWO27" s="1"/>
      <c r="JWP27" s="1"/>
      <c r="JWQ27" s="1"/>
      <c r="JWR27" s="1"/>
      <c r="JWS27" s="1"/>
      <c r="JWT27" s="1"/>
      <c r="JWU27" s="1"/>
      <c r="JWV27" s="1"/>
      <c r="JWW27" s="1"/>
      <c r="JWX27" s="1"/>
      <c r="JWY27" s="1"/>
      <c r="JWZ27" s="1"/>
      <c r="JXA27" s="1"/>
      <c r="JXB27" s="1"/>
      <c r="JXC27" s="1"/>
      <c r="JXD27" s="1"/>
      <c r="JXE27" s="1"/>
      <c r="JXF27" s="1"/>
      <c r="JXG27" s="1"/>
      <c r="JXH27" s="1"/>
      <c r="JXI27" s="1"/>
      <c r="JXJ27" s="1"/>
      <c r="JXK27" s="1"/>
      <c r="JXL27" s="1"/>
      <c r="JXM27" s="1"/>
      <c r="JXN27" s="1"/>
      <c r="JXO27" s="1"/>
      <c r="JXP27" s="1"/>
      <c r="JXQ27" s="1"/>
      <c r="JXR27" s="1"/>
      <c r="JXS27" s="1"/>
      <c r="JXT27" s="1"/>
      <c r="JXU27" s="1"/>
      <c r="JXV27" s="1"/>
      <c r="JXW27" s="1"/>
      <c r="JXX27" s="1"/>
      <c r="JXY27" s="1"/>
      <c r="JXZ27" s="1"/>
      <c r="JYA27" s="1"/>
      <c r="JYB27" s="1"/>
      <c r="JYC27" s="1"/>
      <c r="JYD27" s="1"/>
      <c r="JYE27" s="1"/>
      <c r="JYF27" s="1"/>
      <c r="JYG27" s="1"/>
      <c r="JYH27" s="1"/>
      <c r="JYI27" s="1"/>
      <c r="JYJ27" s="1"/>
      <c r="JYK27" s="1"/>
      <c r="JYL27" s="1"/>
      <c r="JYM27" s="1"/>
      <c r="JYN27" s="1"/>
      <c r="JYO27" s="1"/>
      <c r="JYP27" s="1"/>
      <c r="JYQ27" s="1"/>
      <c r="JYR27" s="1"/>
      <c r="JYS27" s="1"/>
      <c r="JYT27" s="1"/>
      <c r="JYU27" s="1"/>
      <c r="JYV27" s="1"/>
      <c r="JYW27" s="1"/>
      <c r="JYX27" s="1"/>
      <c r="JYY27" s="1"/>
      <c r="JYZ27" s="1"/>
      <c r="JZA27" s="1"/>
      <c r="JZB27" s="1"/>
      <c r="JZC27" s="1"/>
      <c r="JZD27" s="1"/>
      <c r="JZE27" s="1"/>
      <c r="JZF27" s="1"/>
      <c r="JZG27" s="1"/>
      <c r="JZH27" s="1"/>
      <c r="JZI27" s="1"/>
      <c r="JZJ27" s="1"/>
      <c r="JZK27" s="1"/>
      <c r="JZL27" s="1"/>
      <c r="JZM27" s="1"/>
      <c r="JZN27" s="1"/>
      <c r="JZO27" s="1"/>
      <c r="JZP27" s="1"/>
      <c r="JZQ27" s="1"/>
      <c r="JZR27" s="1"/>
      <c r="JZS27" s="1"/>
      <c r="JZT27" s="1"/>
      <c r="JZU27" s="1"/>
      <c r="JZV27" s="1"/>
      <c r="JZW27" s="1"/>
      <c r="JZX27" s="1"/>
      <c r="JZY27" s="1"/>
      <c r="JZZ27" s="1"/>
      <c r="KAA27" s="1"/>
      <c r="KAB27" s="1"/>
      <c r="KAC27" s="1"/>
      <c r="KAD27" s="1"/>
      <c r="KAE27" s="1"/>
      <c r="KAF27" s="1"/>
      <c r="KAG27" s="1"/>
      <c r="KAH27" s="1"/>
      <c r="KAI27" s="1"/>
      <c r="KAJ27" s="1"/>
      <c r="KAK27" s="1"/>
      <c r="KAL27" s="1"/>
      <c r="KAM27" s="1"/>
      <c r="KAN27" s="1"/>
      <c r="KAO27" s="1"/>
      <c r="KAP27" s="1"/>
      <c r="KAQ27" s="1"/>
      <c r="KAR27" s="1"/>
      <c r="KAS27" s="1"/>
      <c r="KAT27" s="1"/>
      <c r="KAU27" s="1"/>
      <c r="KAV27" s="1"/>
      <c r="KAW27" s="1"/>
      <c r="KAX27" s="1"/>
      <c r="KAY27" s="1"/>
      <c r="KAZ27" s="1"/>
      <c r="KBA27" s="1"/>
      <c r="KBB27" s="1"/>
      <c r="KBC27" s="1"/>
      <c r="KBD27" s="1"/>
      <c r="KBE27" s="1"/>
      <c r="KBF27" s="1"/>
      <c r="KBG27" s="1"/>
      <c r="KBH27" s="1"/>
      <c r="KBI27" s="1"/>
      <c r="KBJ27" s="1"/>
      <c r="KBK27" s="1"/>
      <c r="KBL27" s="1"/>
      <c r="KBM27" s="1"/>
      <c r="KBN27" s="1"/>
      <c r="KBO27" s="1"/>
      <c r="KBP27" s="1"/>
      <c r="KBQ27" s="1"/>
      <c r="KBR27" s="1"/>
      <c r="KBS27" s="1"/>
      <c r="KBT27" s="1"/>
      <c r="KBU27" s="1"/>
      <c r="KBV27" s="1"/>
      <c r="KBW27" s="1"/>
      <c r="KBX27" s="1"/>
      <c r="KBY27" s="1"/>
      <c r="KBZ27" s="1"/>
      <c r="KCA27" s="1"/>
      <c r="KCB27" s="1"/>
      <c r="KCC27" s="1"/>
      <c r="KCD27" s="1"/>
      <c r="KCE27" s="1"/>
      <c r="KCF27" s="1"/>
      <c r="KCG27" s="1"/>
      <c r="KCH27" s="1"/>
      <c r="KCI27" s="1"/>
      <c r="KCJ27" s="1"/>
      <c r="KCK27" s="1"/>
      <c r="KCL27" s="1"/>
      <c r="KCM27" s="1"/>
      <c r="KCN27" s="1"/>
      <c r="KCO27" s="1"/>
      <c r="KCP27" s="1"/>
      <c r="KCQ27" s="1"/>
      <c r="KCR27" s="1"/>
      <c r="KCS27" s="1"/>
      <c r="KCT27" s="1"/>
      <c r="KCU27" s="1"/>
      <c r="KCV27" s="1"/>
      <c r="KCW27" s="1"/>
      <c r="KCX27" s="1"/>
      <c r="KCY27" s="1"/>
      <c r="KCZ27" s="1"/>
      <c r="KDA27" s="1"/>
      <c r="KDB27" s="1"/>
      <c r="KDC27" s="1"/>
      <c r="KDD27" s="1"/>
      <c r="KDE27" s="1"/>
      <c r="KDF27" s="1"/>
      <c r="KDG27" s="1"/>
      <c r="KDH27" s="1"/>
      <c r="KDI27" s="1"/>
      <c r="KDJ27" s="1"/>
      <c r="KDK27" s="1"/>
      <c r="KDL27" s="1"/>
      <c r="KDM27" s="1"/>
      <c r="KDN27" s="1"/>
      <c r="KDO27" s="1"/>
      <c r="KDP27" s="1"/>
      <c r="KDQ27" s="1"/>
      <c r="KDR27" s="1"/>
      <c r="KDS27" s="1"/>
      <c r="KDT27" s="1"/>
      <c r="KDU27" s="1"/>
      <c r="KDV27" s="1"/>
      <c r="KDW27" s="1"/>
      <c r="KDX27" s="1"/>
      <c r="KDY27" s="1"/>
      <c r="KDZ27" s="1"/>
      <c r="KEA27" s="1"/>
      <c r="KEB27" s="1"/>
      <c r="KEC27" s="1"/>
      <c r="KED27" s="1"/>
      <c r="KEE27" s="1"/>
      <c r="KEF27" s="1"/>
      <c r="KEG27" s="1"/>
      <c r="KEH27" s="1"/>
      <c r="KEI27" s="1"/>
      <c r="KEJ27" s="1"/>
      <c r="KEK27" s="1"/>
      <c r="KEL27" s="1"/>
      <c r="KEM27" s="1"/>
      <c r="KEN27" s="1"/>
      <c r="KEO27" s="1"/>
      <c r="KEP27" s="1"/>
      <c r="KEQ27" s="1"/>
      <c r="KER27" s="1"/>
      <c r="KES27" s="1"/>
      <c r="KET27" s="1"/>
      <c r="KEU27" s="1"/>
      <c r="KEV27" s="1"/>
      <c r="KEW27" s="1"/>
      <c r="KEX27" s="1"/>
      <c r="KEY27" s="1"/>
      <c r="KEZ27" s="1"/>
      <c r="KFA27" s="1"/>
      <c r="KFB27" s="1"/>
      <c r="KFC27" s="1"/>
      <c r="KFD27" s="1"/>
      <c r="KFE27" s="1"/>
      <c r="KFF27" s="1"/>
      <c r="KFG27" s="1"/>
      <c r="KFH27" s="1"/>
      <c r="KFI27" s="1"/>
      <c r="KFJ27" s="1"/>
      <c r="KFK27" s="1"/>
      <c r="KFL27" s="1"/>
      <c r="KFM27" s="1"/>
      <c r="KFN27" s="1"/>
      <c r="KFO27" s="1"/>
      <c r="KFP27" s="1"/>
      <c r="KFQ27" s="1"/>
      <c r="KFR27" s="1"/>
      <c r="KFS27" s="1"/>
      <c r="KFT27" s="1"/>
      <c r="KFU27" s="1"/>
      <c r="KFV27" s="1"/>
      <c r="KFW27" s="1"/>
      <c r="KFX27" s="1"/>
      <c r="KFY27" s="1"/>
      <c r="KFZ27" s="1"/>
      <c r="KGA27" s="1"/>
      <c r="KGB27" s="1"/>
      <c r="KGC27" s="1"/>
      <c r="KGD27" s="1"/>
      <c r="KGE27" s="1"/>
      <c r="KGF27" s="1"/>
      <c r="KGG27" s="1"/>
      <c r="KGH27" s="1"/>
      <c r="KGI27" s="1"/>
      <c r="KGJ27" s="1"/>
      <c r="KGK27" s="1"/>
      <c r="KGL27" s="1"/>
      <c r="KGM27" s="1"/>
      <c r="KGN27" s="1"/>
      <c r="KGO27" s="1"/>
      <c r="KGP27" s="1"/>
      <c r="KGQ27" s="1"/>
      <c r="KGR27" s="1"/>
      <c r="KGS27" s="1"/>
      <c r="KGT27" s="1"/>
      <c r="KGU27" s="1"/>
      <c r="KGV27" s="1"/>
      <c r="KGW27" s="1"/>
      <c r="KGX27" s="1"/>
      <c r="KGY27" s="1"/>
      <c r="KGZ27" s="1"/>
      <c r="KHA27" s="1"/>
      <c r="KHB27" s="1"/>
      <c r="KHC27" s="1"/>
      <c r="KHD27" s="1"/>
      <c r="KHE27" s="1"/>
      <c r="KHF27" s="1"/>
      <c r="KHG27" s="1"/>
      <c r="KHH27" s="1"/>
      <c r="KHI27" s="1"/>
      <c r="KHJ27" s="1"/>
      <c r="KHK27" s="1"/>
      <c r="KHL27" s="1"/>
      <c r="KHM27" s="1"/>
      <c r="KHN27" s="1"/>
      <c r="KHO27" s="1"/>
      <c r="KHP27" s="1"/>
      <c r="KHQ27" s="1"/>
      <c r="KHR27" s="1"/>
      <c r="KHS27" s="1"/>
      <c r="KHT27" s="1"/>
      <c r="KHU27" s="1"/>
      <c r="KHV27" s="1"/>
      <c r="KHW27" s="1"/>
      <c r="KHX27" s="1"/>
      <c r="KHY27" s="1"/>
      <c r="KHZ27" s="1"/>
      <c r="KIA27" s="1"/>
      <c r="KIB27" s="1"/>
      <c r="KIC27" s="1"/>
      <c r="KID27" s="1"/>
      <c r="KIE27" s="1"/>
      <c r="KIF27" s="1"/>
      <c r="KIG27" s="1"/>
      <c r="KIH27" s="1"/>
      <c r="KII27" s="1"/>
      <c r="KIJ27" s="1"/>
      <c r="KIK27" s="1"/>
      <c r="KIL27" s="1"/>
      <c r="KIM27" s="1"/>
      <c r="KIN27" s="1"/>
      <c r="KIO27" s="1"/>
      <c r="KIP27" s="1"/>
      <c r="KIQ27" s="1"/>
      <c r="KIR27" s="1"/>
      <c r="KIS27" s="1"/>
      <c r="KIT27" s="1"/>
      <c r="KIU27" s="1"/>
      <c r="KIV27" s="1"/>
      <c r="KIW27" s="1"/>
      <c r="KIX27" s="1"/>
      <c r="KIY27" s="1"/>
      <c r="KIZ27" s="1"/>
      <c r="KJA27" s="1"/>
      <c r="KJB27" s="1"/>
      <c r="KJC27" s="1"/>
      <c r="KJD27" s="1"/>
      <c r="KJE27" s="1"/>
      <c r="KJF27" s="1"/>
      <c r="KJG27" s="1"/>
      <c r="KJH27" s="1"/>
      <c r="KJI27" s="1"/>
      <c r="KJJ27" s="1"/>
      <c r="KJK27" s="1"/>
      <c r="KJL27" s="1"/>
      <c r="KJM27" s="1"/>
      <c r="KJN27" s="1"/>
      <c r="KJO27" s="1"/>
      <c r="KJP27" s="1"/>
      <c r="KJQ27" s="1"/>
      <c r="KJR27" s="1"/>
      <c r="KJS27" s="1"/>
      <c r="KJT27" s="1"/>
      <c r="KJU27" s="1"/>
      <c r="KJV27" s="1"/>
      <c r="KJW27" s="1"/>
      <c r="KJX27" s="1"/>
      <c r="KJY27" s="1"/>
      <c r="KJZ27" s="1"/>
      <c r="KKA27" s="1"/>
      <c r="KKB27" s="1"/>
      <c r="KKC27" s="1"/>
      <c r="KKD27" s="1"/>
      <c r="KKE27" s="1"/>
      <c r="KKF27" s="1"/>
      <c r="KKG27" s="1"/>
      <c r="KKH27" s="1"/>
      <c r="KKI27" s="1"/>
      <c r="KKJ27" s="1"/>
      <c r="KKK27" s="1"/>
      <c r="KKL27" s="1"/>
      <c r="KKM27" s="1"/>
      <c r="KKN27" s="1"/>
      <c r="KKO27" s="1"/>
      <c r="KKP27" s="1"/>
      <c r="KKQ27" s="1"/>
      <c r="KKR27" s="1"/>
      <c r="KKS27" s="1"/>
      <c r="KKT27" s="1"/>
      <c r="KKU27" s="1"/>
      <c r="KKV27" s="1"/>
      <c r="KKW27" s="1"/>
      <c r="KKX27" s="1"/>
      <c r="KKY27" s="1"/>
      <c r="KKZ27" s="1"/>
      <c r="KLA27" s="1"/>
      <c r="KLB27" s="1"/>
      <c r="KLC27" s="1"/>
      <c r="KLD27" s="1"/>
      <c r="KLE27" s="1"/>
      <c r="KLF27" s="1"/>
      <c r="KLG27" s="1"/>
      <c r="KLH27" s="1"/>
      <c r="KLI27" s="1"/>
      <c r="KLJ27" s="1"/>
      <c r="KLK27" s="1"/>
      <c r="KLL27" s="1"/>
      <c r="KLM27" s="1"/>
      <c r="KLN27" s="1"/>
      <c r="KLO27" s="1"/>
      <c r="KLP27" s="1"/>
      <c r="KLQ27" s="1"/>
      <c r="KLR27" s="1"/>
      <c r="KLS27" s="1"/>
      <c r="KLT27" s="1"/>
      <c r="KLU27" s="1"/>
      <c r="KLV27" s="1"/>
      <c r="KLW27" s="1"/>
      <c r="KLX27" s="1"/>
      <c r="KLY27" s="1"/>
      <c r="KLZ27" s="1"/>
      <c r="KMA27" s="1"/>
      <c r="KMB27" s="1"/>
      <c r="KMC27" s="1"/>
      <c r="KMD27" s="1"/>
      <c r="KME27" s="1"/>
      <c r="KMF27" s="1"/>
      <c r="KMG27" s="1"/>
      <c r="KMH27" s="1"/>
      <c r="KMI27" s="1"/>
      <c r="KMJ27" s="1"/>
      <c r="KMK27" s="1"/>
      <c r="KML27" s="1"/>
      <c r="KMM27" s="1"/>
      <c r="KMN27" s="1"/>
      <c r="KMO27" s="1"/>
      <c r="KMP27" s="1"/>
      <c r="KMQ27" s="1"/>
      <c r="KMR27" s="1"/>
      <c r="KMS27" s="1"/>
      <c r="KMT27" s="1"/>
      <c r="KMU27" s="1"/>
      <c r="KMV27" s="1"/>
      <c r="KMW27" s="1"/>
      <c r="KMX27" s="1"/>
      <c r="KMY27" s="1"/>
      <c r="KMZ27" s="1"/>
      <c r="KNA27" s="1"/>
      <c r="KNB27" s="1"/>
      <c r="KNC27" s="1"/>
      <c r="KND27" s="1"/>
      <c r="KNE27" s="1"/>
      <c r="KNF27" s="1"/>
      <c r="KNG27" s="1"/>
      <c r="KNH27" s="1"/>
      <c r="KNI27" s="1"/>
      <c r="KNJ27" s="1"/>
      <c r="KNK27" s="1"/>
      <c r="KNL27" s="1"/>
      <c r="KNM27" s="1"/>
      <c r="KNN27" s="1"/>
      <c r="KNO27" s="1"/>
      <c r="KNP27" s="1"/>
      <c r="KNQ27" s="1"/>
      <c r="KNR27" s="1"/>
      <c r="KNS27" s="1"/>
      <c r="KNT27" s="1"/>
      <c r="KNU27" s="1"/>
      <c r="KNV27" s="1"/>
      <c r="KNW27" s="1"/>
      <c r="KNX27" s="1"/>
      <c r="KNY27" s="1"/>
      <c r="KNZ27" s="1"/>
      <c r="KOA27" s="1"/>
      <c r="KOB27" s="1"/>
      <c r="KOC27" s="1"/>
      <c r="KOD27" s="1"/>
      <c r="KOE27" s="1"/>
      <c r="KOF27" s="1"/>
      <c r="KOG27" s="1"/>
      <c r="KOH27" s="1"/>
      <c r="KOI27" s="1"/>
      <c r="KOJ27" s="1"/>
      <c r="KOK27" s="1"/>
      <c r="KOL27" s="1"/>
      <c r="KOM27" s="1"/>
      <c r="KON27" s="1"/>
      <c r="KOO27" s="1"/>
      <c r="KOP27" s="1"/>
      <c r="KOQ27" s="1"/>
      <c r="KOR27" s="1"/>
      <c r="KOS27" s="1"/>
      <c r="KOT27" s="1"/>
      <c r="KOU27" s="1"/>
      <c r="KOV27" s="1"/>
      <c r="KOW27" s="1"/>
      <c r="KOX27" s="1"/>
      <c r="KOY27" s="1"/>
      <c r="KOZ27" s="1"/>
      <c r="KPA27" s="1"/>
      <c r="KPB27" s="1"/>
      <c r="KPC27" s="1"/>
      <c r="KPD27" s="1"/>
      <c r="KPE27" s="1"/>
      <c r="KPF27" s="1"/>
      <c r="KPG27" s="1"/>
      <c r="KPH27" s="1"/>
      <c r="KPI27" s="1"/>
      <c r="KPJ27" s="1"/>
      <c r="KPK27" s="1"/>
      <c r="KPL27" s="1"/>
      <c r="KPM27" s="1"/>
      <c r="KPN27" s="1"/>
      <c r="KPO27" s="1"/>
      <c r="KPP27" s="1"/>
      <c r="KPQ27" s="1"/>
      <c r="KPR27" s="1"/>
      <c r="KPS27" s="1"/>
      <c r="KPT27" s="1"/>
      <c r="KPU27" s="1"/>
      <c r="KPV27" s="1"/>
      <c r="KPW27" s="1"/>
      <c r="KPX27" s="1"/>
      <c r="KPY27" s="1"/>
      <c r="KPZ27" s="1"/>
      <c r="KQA27" s="1"/>
      <c r="KQB27" s="1"/>
      <c r="KQC27" s="1"/>
      <c r="KQD27" s="1"/>
      <c r="KQE27" s="1"/>
      <c r="KQF27" s="1"/>
      <c r="KQG27" s="1"/>
      <c r="KQH27" s="1"/>
      <c r="KQI27" s="1"/>
      <c r="KQJ27" s="1"/>
      <c r="KQK27" s="1"/>
      <c r="KQL27" s="1"/>
      <c r="KQM27" s="1"/>
      <c r="KQN27" s="1"/>
      <c r="KQO27" s="1"/>
      <c r="KQP27" s="1"/>
      <c r="KQQ27" s="1"/>
      <c r="KQR27" s="1"/>
      <c r="KQS27" s="1"/>
      <c r="KQT27" s="1"/>
      <c r="KQU27" s="1"/>
      <c r="KQV27" s="1"/>
      <c r="KQW27" s="1"/>
      <c r="KQX27" s="1"/>
      <c r="KQY27" s="1"/>
      <c r="KQZ27" s="1"/>
      <c r="KRA27" s="1"/>
      <c r="KRB27" s="1"/>
      <c r="KRC27" s="1"/>
      <c r="KRD27" s="1"/>
      <c r="KRE27" s="1"/>
      <c r="KRF27" s="1"/>
      <c r="KRG27" s="1"/>
      <c r="KRH27" s="1"/>
      <c r="KRI27" s="1"/>
      <c r="KRJ27" s="1"/>
      <c r="KRK27" s="1"/>
      <c r="KRL27" s="1"/>
      <c r="KRM27" s="1"/>
      <c r="KRN27" s="1"/>
      <c r="KRO27" s="1"/>
      <c r="KRP27" s="1"/>
      <c r="KRQ27" s="1"/>
      <c r="KRR27" s="1"/>
      <c r="KRS27" s="1"/>
      <c r="KRT27" s="1"/>
      <c r="KRU27" s="1"/>
      <c r="KRV27" s="1"/>
      <c r="KRW27" s="1"/>
      <c r="KRX27" s="1"/>
      <c r="KRY27" s="1"/>
      <c r="KRZ27" s="1"/>
      <c r="KSA27" s="1"/>
      <c r="KSB27" s="1"/>
      <c r="KSC27" s="1"/>
      <c r="KSD27" s="1"/>
      <c r="KSE27" s="1"/>
      <c r="KSF27" s="1"/>
      <c r="KSG27" s="1"/>
      <c r="KSH27" s="1"/>
      <c r="KSI27" s="1"/>
      <c r="KSJ27" s="1"/>
      <c r="KSK27" s="1"/>
      <c r="KSL27" s="1"/>
      <c r="KSM27" s="1"/>
      <c r="KSN27" s="1"/>
      <c r="KSO27" s="1"/>
      <c r="KSP27" s="1"/>
      <c r="KSQ27" s="1"/>
      <c r="KSR27" s="1"/>
      <c r="KSS27" s="1"/>
      <c r="KST27" s="1"/>
      <c r="KSU27" s="1"/>
      <c r="KSV27" s="1"/>
      <c r="KSW27" s="1"/>
      <c r="KSX27" s="1"/>
      <c r="KSY27" s="1"/>
      <c r="KSZ27" s="1"/>
      <c r="KTA27" s="1"/>
      <c r="KTB27" s="1"/>
      <c r="KTC27" s="1"/>
      <c r="KTD27" s="1"/>
      <c r="KTE27" s="1"/>
      <c r="KTF27" s="1"/>
      <c r="KTG27" s="1"/>
      <c r="KTH27" s="1"/>
      <c r="KTI27" s="1"/>
      <c r="KTJ27" s="1"/>
      <c r="KTK27" s="1"/>
      <c r="KTL27" s="1"/>
      <c r="KTM27" s="1"/>
      <c r="KTN27" s="1"/>
      <c r="KTO27" s="1"/>
      <c r="KTP27" s="1"/>
      <c r="KTQ27" s="1"/>
      <c r="KTR27" s="1"/>
      <c r="KTS27" s="1"/>
      <c r="KTT27" s="1"/>
      <c r="KTU27" s="1"/>
      <c r="KTV27" s="1"/>
      <c r="KTW27" s="1"/>
      <c r="KTX27" s="1"/>
      <c r="KTY27" s="1"/>
      <c r="KTZ27" s="1"/>
      <c r="KUA27" s="1"/>
      <c r="KUB27" s="1"/>
      <c r="KUC27" s="1"/>
      <c r="KUD27" s="1"/>
      <c r="KUE27" s="1"/>
      <c r="KUF27" s="1"/>
      <c r="KUG27" s="1"/>
      <c r="KUH27" s="1"/>
      <c r="KUI27" s="1"/>
      <c r="KUJ27" s="1"/>
      <c r="KUK27" s="1"/>
      <c r="KUL27" s="1"/>
      <c r="KUM27" s="1"/>
      <c r="KUN27" s="1"/>
      <c r="KUO27" s="1"/>
      <c r="KUP27" s="1"/>
      <c r="KUQ27" s="1"/>
      <c r="KUR27" s="1"/>
      <c r="KUS27" s="1"/>
      <c r="KUT27" s="1"/>
      <c r="KUU27" s="1"/>
      <c r="KUV27" s="1"/>
      <c r="KUW27" s="1"/>
      <c r="KUX27" s="1"/>
      <c r="KUY27" s="1"/>
      <c r="KUZ27" s="1"/>
      <c r="KVA27" s="1"/>
      <c r="KVB27" s="1"/>
      <c r="KVC27" s="1"/>
      <c r="KVD27" s="1"/>
      <c r="KVE27" s="1"/>
      <c r="KVF27" s="1"/>
      <c r="KVG27" s="1"/>
      <c r="KVH27" s="1"/>
      <c r="KVI27" s="1"/>
      <c r="KVJ27" s="1"/>
      <c r="KVK27" s="1"/>
      <c r="KVL27" s="1"/>
      <c r="KVM27" s="1"/>
      <c r="KVN27" s="1"/>
      <c r="KVO27" s="1"/>
      <c r="KVP27" s="1"/>
      <c r="KVQ27" s="1"/>
      <c r="KVR27" s="1"/>
      <c r="KVS27" s="1"/>
      <c r="KVT27" s="1"/>
      <c r="KVU27" s="1"/>
      <c r="KVV27" s="1"/>
      <c r="KVW27" s="1"/>
      <c r="KVX27" s="1"/>
      <c r="KVY27" s="1"/>
      <c r="KVZ27" s="1"/>
      <c r="KWA27" s="1"/>
      <c r="KWB27" s="1"/>
      <c r="KWC27" s="1"/>
      <c r="KWD27" s="1"/>
      <c r="KWE27" s="1"/>
      <c r="KWF27" s="1"/>
      <c r="KWG27" s="1"/>
      <c r="KWH27" s="1"/>
      <c r="KWI27" s="1"/>
      <c r="KWJ27" s="1"/>
      <c r="KWK27" s="1"/>
      <c r="KWL27" s="1"/>
      <c r="KWM27" s="1"/>
      <c r="KWN27" s="1"/>
      <c r="KWO27" s="1"/>
      <c r="KWP27" s="1"/>
      <c r="KWQ27" s="1"/>
      <c r="KWR27" s="1"/>
      <c r="KWS27" s="1"/>
      <c r="KWT27" s="1"/>
      <c r="KWU27" s="1"/>
      <c r="KWV27" s="1"/>
      <c r="KWW27" s="1"/>
      <c r="KWX27" s="1"/>
      <c r="KWY27" s="1"/>
      <c r="KWZ27" s="1"/>
      <c r="KXA27" s="1"/>
      <c r="KXB27" s="1"/>
      <c r="KXC27" s="1"/>
      <c r="KXD27" s="1"/>
      <c r="KXE27" s="1"/>
      <c r="KXF27" s="1"/>
      <c r="KXG27" s="1"/>
      <c r="KXH27" s="1"/>
      <c r="KXI27" s="1"/>
      <c r="KXJ27" s="1"/>
      <c r="KXK27" s="1"/>
      <c r="KXL27" s="1"/>
      <c r="KXM27" s="1"/>
      <c r="KXN27" s="1"/>
      <c r="KXO27" s="1"/>
      <c r="KXP27" s="1"/>
      <c r="KXQ27" s="1"/>
      <c r="KXR27" s="1"/>
      <c r="KXS27" s="1"/>
      <c r="KXT27" s="1"/>
      <c r="KXU27" s="1"/>
      <c r="KXV27" s="1"/>
      <c r="KXW27" s="1"/>
      <c r="KXX27" s="1"/>
      <c r="KXY27" s="1"/>
      <c r="KXZ27" s="1"/>
      <c r="KYA27" s="1"/>
      <c r="KYB27" s="1"/>
      <c r="KYC27" s="1"/>
      <c r="KYD27" s="1"/>
      <c r="KYE27" s="1"/>
      <c r="KYF27" s="1"/>
      <c r="KYG27" s="1"/>
      <c r="KYH27" s="1"/>
      <c r="KYI27" s="1"/>
      <c r="KYJ27" s="1"/>
      <c r="KYK27" s="1"/>
      <c r="KYL27" s="1"/>
      <c r="KYM27" s="1"/>
      <c r="KYN27" s="1"/>
      <c r="KYO27" s="1"/>
      <c r="KYP27" s="1"/>
      <c r="KYQ27" s="1"/>
      <c r="KYR27" s="1"/>
      <c r="KYS27" s="1"/>
      <c r="KYT27" s="1"/>
      <c r="KYU27" s="1"/>
      <c r="KYV27" s="1"/>
      <c r="KYW27" s="1"/>
      <c r="KYX27" s="1"/>
      <c r="KYY27" s="1"/>
      <c r="KYZ27" s="1"/>
      <c r="KZA27" s="1"/>
      <c r="KZB27" s="1"/>
      <c r="KZC27" s="1"/>
      <c r="KZD27" s="1"/>
      <c r="KZE27" s="1"/>
      <c r="KZF27" s="1"/>
      <c r="KZG27" s="1"/>
      <c r="KZH27" s="1"/>
      <c r="KZI27" s="1"/>
      <c r="KZJ27" s="1"/>
      <c r="KZK27" s="1"/>
      <c r="KZL27" s="1"/>
      <c r="KZM27" s="1"/>
      <c r="KZN27" s="1"/>
      <c r="KZO27" s="1"/>
      <c r="KZP27" s="1"/>
      <c r="KZQ27" s="1"/>
      <c r="KZR27" s="1"/>
      <c r="KZS27" s="1"/>
      <c r="KZT27" s="1"/>
      <c r="KZU27" s="1"/>
      <c r="KZV27" s="1"/>
      <c r="KZW27" s="1"/>
      <c r="KZX27" s="1"/>
      <c r="KZY27" s="1"/>
      <c r="KZZ27" s="1"/>
      <c r="LAA27" s="1"/>
      <c r="LAB27" s="1"/>
      <c r="LAC27" s="1"/>
      <c r="LAD27" s="1"/>
      <c r="LAE27" s="1"/>
      <c r="LAF27" s="1"/>
      <c r="LAG27" s="1"/>
      <c r="LAH27" s="1"/>
      <c r="LAI27" s="1"/>
      <c r="LAJ27" s="1"/>
      <c r="LAK27" s="1"/>
      <c r="LAL27" s="1"/>
      <c r="LAM27" s="1"/>
      <c r="LAN27" s="1"/>
      <c r="LAO27" s="1"/>
      <c r="LAP27" s="1"/>
      <c r="LAQ27" s="1"/>
      <c r="LAR27" s="1"/>
      <c r="LAS27" s="1"/>
      <c r="LAT27" s="1"/>
      <c r="LAU27" s="1"/>
      <c r="LAV27" s="1"/>
      <c r="LAW27" s="1"/>
      <c r="LAX27" s="1"/>
      <c r="LAY27" s="1"/>
      <c r="LAZ27" s="1"/>
      <c r="LBA27" s="1"/>
      <c r="LBB27" s="1"/>
      <c r="LBC27" s="1"/>
      <c r="LBD27" s="1"/>
      <c r="LBE27" s="1"/>
      <c r="LBF27" s="1"/>
      <c r="LBG27" s="1"/>
      <c r="LBH27" s="1"/>
      <c r="LBI27" s="1"/>
      <c r="LBJ27" s="1"/>
      <c r="LBK27" s="1"/>
      <c r="LBL27" s="1"/>
      <c r="LBM27" s="1"/>
      <c r="LBN27" s="1"/>
      <c r="LBO27" s="1"/>
      <c r="LBP27" s="1"/>
      <c r="LBQ27" s="1"/>
      <c r="LBR27" s="1"/>
      <c r="LBS27" s="1"/>
      <c r="LBT27" s="1"/>
      <c r="LBU27" s="1"/>
      <c r="LBV27" s="1"/>
      <c r="LBW27" s="1"/>
      <c r="LBX27" s="1"/>
      <c r="LBY27" s="1"/>
      <c r="LBZ27" s="1"/>
      <c r="LCA27" s="1"/>
      <c r="LCB27" s="1"/>
      <c r="LCC27" s="1"/>
      <c r="LCD27" s="1"/>
      <c r="LCE27" s="1"/>
      <c r="LCF27" s="1"/>
      <c r="LCG27" s="1"/>
      <c r="LCH27" s="1"/>
      <c r="LCI27" s="1"/>
      <c r="LCJ27" s="1"/>
      <c r="LCK27" s="1"/>
      <c r="LCL27" s="1"/>
      <c r="LCM27" s="1"/>
      <c r="LCN27" s="1"/>
      <c r="LCO27" s="1"/>
      <c r="LCP27" s="1"/>
      <c r="LCQ27" s="1"/>
      <c r="LCR27" s="1"/>
      <c r="LCS27" s="1"/>
      <c r="LCT27" s="1"/>
      <c r="LCU27" s="1"/>
      <c r="LCV27" s="1"/>
      <c r="LCW27" s="1"/>
      <c r="LCX27" s="1"/>
      <c r="LCY27" s="1"/>
      <c r="LCZ27" s="1"/>
      <c r="LDA27" s="1"/>
      <c r="LDB27" s="1"/>
      <c r="LDC27" s="1"/>
      <c r="LDD27" s="1"/>
      <c r="LDE27" s="1"/>
      <c r="LDF27" s="1"/>
      <c r="LDG27" s="1"/>
      <c r="LDH27" s="1"/>
      <c r="LDI27" s="1"/>
      <c r="LDJ27" s="1"/>
      <c r="LDK27" s="1"/>
      <c r="LDL27" s="1"/>
      <c r="LDM27" s="1"/>
      <c r="LDN27" s="1"/>
      <c r="LDO27" s="1"/>
      <c r="LDP27" s="1"/>
      <c r="LDQ27" s="1"/>
      <c r="LDR27" s="1"/>
      <c r="LDS27" s="1"/>
      <c r="LDT27" s="1"/>
      <c r="LDU27" s="1"/>
      <c r="LDV27" s="1"/>
      <c r="LDW27" s="1"/>
      <c r="LDX27" s="1"/>
      <c r="LDY27" s="1"/>
      <c r="LDZ27" s="1"/>
      <c r="LEA27" s="1"/>
      <c r="LEB27" s="1"/>
      <c r="LEC27" s="1"/>
      <c r="LED27" s="1"/>
      <c r="LEE27" s="1"/>
      <c r="LEF27" s="1"/>
      <c r="LEG27" s="1"/>
      <c r="LEH27" s="1"/>
      <c r="LEI27" s="1"/>
      <c r="LEJ27" s="1"/>
      <c r="LEK27" s="1"/>
      <c r="LEL27" s="1"/>
      <c r="LEM27" s="1"/>
      <c r="LEN27" s="1"/>
      <c r="LEO27" s="1"/>
      <c r="LEP27" s="1"/>
      <c r="LEQ27" s="1"/>
      <c r="LER27" s="1"/>
      <c r="LES27" s="1"/>
      <c r="LET27" s="1"/>
      <c r="LEU27" s="1"/>
      <c r="LEV27" s="1"/>
      <c r="LEW27" s="1"/>
      <c r="LEX27" s="1"/>
      <c r="LEY27" s="1"/>
      <c r="LEZ27" s="1"/>
      <c r="LFA27" s="1"/>
      <c r="LFB27" s="1"/>
      <c r="LFC27" s="1"/>
      <c r="LFD27" s="1"/>
      <c r="LFE27" s="1"/>
      <c r="LFF27" s="1"/>
      <c r="LFG27" s="1"/>
      <c r="LFH27" s="1"/>
      <c r="LFI27" s="1"/>
      <c r="LFJ27" s="1"/>
      <c r="LFK27" s="1"/>
      <c r="LFL27" s="1"/>
      <c r="LFM27" s="1"/>
      <c r="LFN27" s="1"/>
      <c r="LFO27" s="1"/>
      <c r="LFP27" s="1"/>
      <c r="LFQ27" s="1"/>
      <c r="LFR27" s="1"/>
      <c r="LFS27" s="1"/>
      <c r="LFT27" s="1"/>
      <c r="LFU27" s="1"/>
      <c r="LFV27" s="1"/>
      <c r="LFW27" s="1"/>
      <c r="LFX27" s="1"/>
      <c r="LFY27" s="1"/>
      <c r="LFZ27" s="1"/>
      <c r="LGA27" s="1"/>
      <c r="LGB27" s="1"/>
      <c r="LGC27" s="1"/>
      <c r="LGD27" s="1"/>
      <c r="LGE27" s="1"/>
      <c r="LGF27" s="1"/>
      <c r="LGG27" s="1"/>
      <c r="LGH27" s="1"/>
      <c r="LGI27" s="1"/>
      <c r="LGJ27" s="1"/>
      <c r="LGK27" s="1"/>
      <c r="LGL27" s="1"/>
      <c r="LGM27" s="1"/>
      <c r="LGN27" s="1"/>
      <c r="LGO27" s="1"/>
      <c r="LGP27" s="1"/>
      <c r="LGQ27" s="1"/>
      <c r="LGR27" s="1"/>
      <c r="LGS27" s="1"/>
      <c r="LGT27" s="1"/>
      <c r="LGU27" s="1"/>
      <c r="LGV27" s="1"/>
      <c r="LGW27" s="1"/>
      <c r="LGX27" s="1"/>
      <c r="LGY27" s="1"/>
      <c r="LGZ27" s="1"/>
      <c r="LHA27" s="1"/>
      <c r="LHB27" s="1"/>
      <c r="LHC27" s="1"/>
      <c r="LHD27" s="1"/>
      <c r="LHE27" s="1"/>
      <c r="LHF27" s="1"/>
      <c r="LHG27" s="1"/>
      <c r="LHH27" s="1"/>
      <c r="LHI27" s="1"/>
      <c r="LHJ27" s="1"/>
      <c r="LHK27" s="1"/>
      <c r="LHL27" s="1"/>
      <c r="LHM27" s="1"/>
      <c r="LHN27" s="1"/>
      <c r="LHO27" s="1"/>
      <c r="LHP27" s="1"/>
      <c r="LHQ27" s="1"/>
      <c r="LHR27" s="1"/>
      <c r="LHS27" s="1"/>
      <c r="LHT27" s="1"/>
      <c r="LHU27" s="1"/>
      <c r="LHV27" s="1"/>
      <c r="LHW27" s="1"/>
      <c r="LHX27" s="1"/>
      <c r="LHY27" s="1"/>
      <c r="LHZ27" s="1"/>
      <c r="LIA27" s="1"/>
      <c r="LIB27" s="1"/>
      <c r="LIC27" s="1"/>
      <c r="LID27" s="1"/>
      <c r="LIE27" s="1"/>
      <c r="LIF27" s="1"/>
      <c r="LIG27" s="1"/>
      <c r="LIH27" s="1"/>
      <c r="LII27" s="1"/>
      <c r="LIJ27" s="1"/>
      <c r="LIK27" s="1"/>
      <c r="LIL27" s="1"/>
      <c r="LIM27" s="1"/>
      <c r="LIN27" s="1"/>
      <c r="LIO27" s="1"/>
      <c r="LIP27" s="1"/>
      <c r="LIQ27" s="1"/>
      <c r="LIR27" s="1"/>
      <c r="LIS27" s="1"/>
      <c r="LIT27" s="1"/>
      <c r="LIU27" s="1"/>
      <c r="LIV27" s="1"/>
      <c r="LIW27" s="1"/>
      <c r="LIX27" s="1"/>
      <c r="LIY27" s="1"/>
      <c r="LIZ27" s="1"/>
      <c r="LJA27" s="1"/>
      <c r="LJB27" s="1"/>
      <c r="LJC27" s="1"/>
      <c r="LJD27" s="1"/>
      <c r="LJE27" s="1"/>
      <c r="LJF27" s="1"/>
      <c r="LJG27" s="1"/>
      <c r="LJH27" s="1"/>
      <c r="LJI27" s="1"/>
      <c r="LJJ27" s="1"/>
      <c r="LJK27" s="1"/>
      <c r="LJL27" s="1"/>
      <c r="LJM27" s="1"/>
      <c r="LJN27" s="1"/>
      <c r="LJO27" s="1"/>
      <c r="LJP27" s="1"/>
      <c r="LJQ27" s="1"/>
      <c r="LJR27" s="1"/>
      <c r="LJS27" s="1"/>
      <c r="LJT27" s="1"/>
      <c r="LJU27" s="1"/>
      <c r="LJV27" s="1"/>
      <c r="LJW27" s="1"/>
      <c r="LJX27" s="1"/>
      <c r="LJY27" s="1"/>
      <c r="LJZ27" s="1"/>
      <c r="LKA27" s="1"/>
      <c r="LKB27" s="1"/>
      <c r="LKC27" s="1"/>
      <c r="LKD27" s="1"/>
      <c r="LKE27" s="1"/>
      <c r="LKF27" s="1"/>
      <c r="LKG27" s="1"/>
      <c r="LKH27" s="1"/>
      <c r="LKI27" s="1"/>
      <c r="LKJ27" s="1"/>
      <c r="LKK27" s="1"/>
      <c r="LKL27" s="1"/>
      <c r="LKM27" s="1"/>
      <c r="LKN27" s="1"/>
      <c r="LKO27" s="1"/>
      <c r="LKP27" s="1"/>
      <c r="LKQ27" s="1"/>
      <c r="LKR27" s="1"/>
      <c r="LKS27" s="1"/>
      <c r="LKT27" s="1"/>
      <c r="LKU27" s="1"/>
      <c r="LKV27" s="1"/>
      <c r="LKW27" s="1"/>
      <c r="LKX27" s="1"/>
      <c r="LKY27" s="1"/>
      <c r="LKZ27" s="1"/>
      <c r="LLA27" s="1"/>
      <c r="LLB27" s="1"/>
      <c r="LLC27" s="1"/>
      <c r="LLD27" s="1"/>
      <c r="LLE27" s="1"/>
      <c r="LLF27" s="1"/>
      <c r="LLG27" s="1"/>
      <c r="LLH27" s="1"/>
      <c r="LLI27" s="1"/>
      <c r="LLJ27" s="1"/>
      <c r="LLK27" s="1"/>
      <c r="LLL27" s="1"/>
      <c r="LLM27" s="1"/>
      <c r="LLN27" s="1"/>
      <c r="LLO27" s="1"/>
      <c r="LLP27" s="1"/>
      <c r="LLQ27" s="1"/>
      <c r="LLR27" s="1"/>
      <c r="LLS27" s="1"/>
      <c r="LLT27" s="1"/>
      <c r="LLU27" s="1"/>
      <c r="LLV27" s="1"/>
      <c r="LLW27" s="1"/>
      <c r="LLX27" s="1"/>
      <c r="LLY27" s="1"/>
      <c r="LLZ27" s="1"/>
      <c r="LMA27" s="1"/>
      <c r="LMB27" s="1"/>
      <c r="LMC27" s="1"/>
      <c r="LMD27" s="1"/>
      <c r="LME27" s="1"/>
      <c r="LMF27" s="1"/>
      <c r="LMG27" s="1"/>
      <c r="LMH27" s="1"/>
      <c r="LMI27" s="1"/>
      <c r="LMJ27" s="1"/>
      <c r="LMK27" s="1"/>
      <c r="LML27" s="1"/>
      <c r="LMM27" s="1"/>
      <c r="LMN27" s="1"/>
      <c r="LMO27" s="1"/>
      <c r="LMP27" s="1"/>
      <c r="LMQ27" s="1"/>
      <c r="LMR27" s="1"/>
      <c r="LMS27" s="1"/>
      <c r="LMT27" s="1"/>
      <c r="LMU27" s="1"/>
      <c r="LMV27" s="1"/>
      <c r="LMW27" s="1"/>
      <c r="LMX27" s="1"/>
      <c r="LMY27" s="1"/>
      <c r="LMZ27" s="1"/>
      <c r="LNA27" s="1"/>
      <c r="LNB27" s="1"/>
      <c r="LNC27" s="1"/>
      <c r="LND27" s="1"/>
      <c r="LNE27" s="1"/>
      <c r="LNF27" s="1"/>
      <c r="LNG27" s="1"/>
      <c r="LNH27" s="1"/>
      <c r="LNI27" s="1"/>
      <c r="LNJ27" s="1"/>
      <c r="LNK27" s="1"/>
      <c r="LNL27" s="1"/>
      <c r="LNM27" s="1"/>
      <c r="LNN27" s="1"/>
      <c r="LNO27" s="1"/>
      <c r="LNP27" s="1"/>
      <c r="LNQ27" s="1"/>
      <c r="LNR27" s="1"/>
      <c r="LNS27" s="1"/>
      <c r="LNT27" s="1"/>
      <c r="LNU27" s="1"/>
      <c r="LNV27" s="1"/>
      <c r="LNW27" s="1"/>
      <c r="LNX27" s="1"/>
      <c r="LNY27" s="1"/>
      <c r="LNZ27" s="1"/>
      <c r="LOA27" s="1"/>
      <c r="LOB27" s="1"/>
      <c r="LOC27" s="1"/>
      <c r="LOD27" s="1"/>
      <c r="LOE27" s="1"/>
      <c r="LOF27" s="1"/>
      <c r="LOG27" s="1"/>
      <c r="LOH27" s="1"/>
      <c r="LOI27" s="1"/>
      <c r="LOJ27" s="1"/>
      <c r="LOK27" s="1"/>
      <c r="LOL27" s="1"/>
      <c r="LOM27" s="1"/>
      <c r="LON27" s="1"/>
      <c r="LOO27" s="1"/>
      <c r="LOP27" s="1"/>
      <c r="LOQ27" s="1"/>
      <c r="LOR27" s="1"/>
      <c r="LOS27" s="1"/>
      <c r="LOT27" s="1"/>
      <c r="LOU27" s="1"/>
      <c r="LOV27" s="1"/>
      <c r="LOW27" s="1"/>
      <c r="LOX27" s="1"/>
      <c r="LOY27" s="1"/>
      <c r="LOZ27" s="1"/>
      <c r="LPA27" s="1"/>
      <c r="LPB27" s="1"/>
      <c r="LPC27" s="1"/>
      <c r="LPD27" s="1"/>
      <c r="LPE27" s="1"/>
      <c r="LPF27" s="1"/>
      <c r="LPG27" s="1"/>
      <c r="LPH27" s="1"/>
      <c r="LPI27" s="1"/>
      <c r="LPJ27" s="1"/>
      <c r="LPK27" s="1"/>
      <c r="LPL27" s="1"/>
      <c r="LPM27" s="1"/>
      <c r="LPN27" s="1"/>
      <c r="LPO27" s="1"/>
      <c r="LPP27" s="1"/>
      <c r="LPQ27" s="1"/>
      <c r="LPR27" s="1"/>
      <c r="LPS27" s="1"/>
      <c r="LPT27" s="1"/>
      <c r="LPU27" s="1"/>
      <c r="LPV27" s="1"/>
      <c r="LPW27" s="1"/>
      <c r="LPX27" s="1"/>
      <c r="LPY27" s="1"/>
      <c r="LPZ27" s="1"/>
      <c r="LQA27" s="1"/>
      <c r="LQB27" s="1"/>
      <c r="LQC27" s="1"/>
      <c r="LQD27" s="1"/>
      <c r="LQE27" s="1"/>
      <c r="LQF27" s="1"/>
      <c r="LQG27" s="1"/>
      <c r="LQH27" s="1"/>
      <c r="LQI27" s="1"/>
      <c r="LQJ27" s="1"/>
      <c r="LQK27" s="1"/>
      <c r="LQL27" s="1"/>
      <c r="LQM27" s="1"/>
      <c r="LQN27" s="1"/>
      <c r="LQO27" s="1"/>
      <c r="LQP27" s="1"/>
      <c r="LQQ27" s="1"/>
      <c r="LQR27" s="1"/>
      <c r="LQS27" s="1"/>
      <c r="LQT27" s="1"/>
      <c r="LQU27" s="1"/>
      <c r="LQV27" s="1"/>
      <c r="LQW27" s="1"/>
      <c r="LQX27" s="1"/>
      <c r="LQY27" s="1"/>
      <c r="LQZ27" s="1"/>
      <c r="LRA27" s="1"/>
      <c r="LRB27" s="1"/>
      <c r="LRC27" s="1"/>
      <c r="LRD27" s="1"/>
      <c r="LRE27" s="1"/>
      <c r="LRF27" s="1"/>
      <c r="LRG27" s="1"/>
      <c r="LRH27" s="1"/>
      <c r="LRI27" s="1"/>
      <c r="LRJ27" s="1"/>
      <c r="LRK27" s="1"/>
      <c r="LRL27" s="1"/>
      <c r="LRM27" s="1"/>
      <c r="LRN27" s="1"/>
      <c r="LRO27" s="1"/>
      <c r="LRP27" s="1"/>
      <c r="LRQ27" s="1"/>
      <c r="LRR27" s="1"/>
      <c r="LRS27" s="1"/>
      <c r="LRT27" s="1"/>
      <c r="LRU27" s="1"/>
      <c r="LRV27" s="1"/>
      <c r="LRW27" s="1"/>
      <c r="LRX27" s="1"/>
      <c r="LRY27" s="1"/>
      <c r="LRZ27" s="1"/>
      <c r="LSA27" s="1"/>
      <c r="LSB27" s="1"/>
      <c r="LSC27" s="1"/>
      <c r="LSD27" s="1"/>
      <c r="LSE27" s="1"/>
      <c r="LSF27" s="1"/>
      <c r="LSG27" s="1"/>
      <c r="LSH27" s="1"/>
      <c r="LSI27" s="1"/>
      <c r="LSJ27" s="1"/>
      <c r="LSK27" s="1"/>
      <c r="LSL27" s="1"/>
      <c r="LSM27" s="1"/>
      <c r="LSN27" s="1"/>
      <c r="LSO27" s="1"/>
      <c r="LSP27" s="1"/>
      <c r="LSQ27" s="1"/>
      <c r="LSR27" s="1"/>
      <c r="LSS27" s="1"/>
      <c r="LST27" s="1"/>
      <c r="LSU27" s="1"/>
      <c r="LSV27" s="1"/>
      <c r="LSW27" s="1"/>
      <c r="LSX27" s="1"/>
      <c r="LSY27" s="1"/>
      <c r="LSZ27" s="1"/>
      <c r="LTA27" s="1"/>
      <c r="LTB27" s="1"/>
      <c r="LTC27" s="1"/>
      <c r="LTD27" s="1"/>
      <c r="LTE27" s="1"/>
      <c r="LTF27" s="1"/>
      <c r="LTG27" s="1"/>
      <c r="LTH27" s="1"/>
      <c r="LTI27" s="1"/>
      <c r="LTJ27" s="1"/>
      <c r="LTK27" s="1"/>
      <c r="LTL27" s="1"/>
      <c r="LTM27" s="1"/>
      <c r="LTN27" s="1"/>
      <c r="LTO27" s="1"/>
      <c r="LTP27" s="1"/>
      <c r="LTQ27" s="1"/>
      <c r="LTR27" s="1"/>
      <c r="LTS27" s="1"/>
      <c r="LTT27" s="1"/>
      <c r="LTU27" s="1"/>
      <c r="LTV27" s="1"/>
      <c r="LTW27" s="1"/>
      <c r="LTX27" s="1"/>
      <c r="LTY27" s="1"/>
      <c r="LTZ27" s="1"/>
      <c r="LUA27" s="1"/>
      <c r="LUB27" s="1"/>
      <c r="LUC27" s="1"/>
      <c r="LUD27" s="1"/>
      <c r="LUE27" s="1"/>
      <c r="LUF27" s="1"/>
      <c r="LUG27" s="1"/>
      <c r="LUH27" s="1"/>
      <c r="LUI27" s="1"/>
      <c r="LUJ27" s="1"/>
      <c r="LUK27" s="1"/>
      <c r="LUL27" s="1"/>
      <c r="LUM27" s="1"/>
      <c r="LUN27" s="1"/>
      <c r="LUO27" s="1"/>
      <c r="LUP27" s="1"/>
      <c r="LUQ27" s="1"/>
      <c r="LUR27" s="1"/>
      <c r="LUS27" s="1"/>
      <c r="LUT27" s="1"/>
      <c r="LUU27" s="1"/>
      <c r="LUV27" s="1"/>
      <c r="LUW27" s="1"/>
      <c r="LUX27" s="1"/>
      <c r="LUY27" s="1"/>
      <c r="LUZ27" s="1"/>
      <c r="LVA27" s="1"/>
      <c r="LVB27" s="1"/>
      <c r="LVC27" s="1"/>
      <c r="LVD27" s="1"/>
      <c r="LVE27" s="1"/>
      <c r="LVF27" s="1"/>
      <c r="LVG27" s="1"/>
      <c r="LVH27" s="1"/>
      <c r="LVI27" s="1"/>
      <c r="LVJ27" s="1"/>
      <c r="LVK27" s="1"/>
      <c r="LVL27" s="1"/>
      <c r="LVM27" s="1"/>
      <c r="LVN27" s="1"/>
      <c r="LVO27" s="1"/>
      <c r="LVP27" s="1"/>
      <c r="LVQ27" s="1"/>
      <c r="LVR27" s="1"/>
      <c r="LVS27" s="1"/>
      <c r="LVT27" s="1"/>
      <c r="LVU27" s="1"/>
      <c r="LVV27" s="1"/>
      <c r="LVW27" s="1"/>
      <c r="LVX27" s="1"/>
      <c r="LVY27" s="1"/>
      <c r="LVZ27" s="1"/>
      <c r="LWA27" s="1"/>
      <c r="LWB27" s="1"/>
      <c r="LWC27" s="1"/>
      <c r="LWD27" s="1"/>
      <c r="LWE27" s="1"/>
      <c r="LWF27" s="1"/>
      <c r="LWG27" s="1"/>
      <c r="LWH27" s="1"/>
      <c r="LWI27" s="1"/>
      <c r="LWJ27" s="1"/>
      <c r="LWK27" s="1"/>
      <c r="LWL27" s="1"/>
      <c r="LWM27" s="1"/>
      <c r="LWN27" s="1"/>
      <c r="LWO27" s="1"/>
      <c r="LWP27" s="1"/>
      <c r="LWQ27" s="1"/>
      <c r="LWR27" s="1"/>
      <c r="LWS27" s="1"/>
      <c r="LWT27" s="1"/>
      <c r="LWU27" s="1"/>
      <c r="LWV27" s="1"/>
      <c r="LWW27" s="1"/>
      <c r="LWX27" s="1"/>
      <c r="LWY27" s="1"/>
      <c r="LWZ27" s="1"/>
      <c r="LXA27" s="1"/>
      <c r="LXB27" s="1"/>
      <c r="LXC27" s="1"/>
      <c r="LXD27" s="1"/>
      <c r="LXE27" s="1"/>
      <c r="LXF27" s="1"/>
      <c r="LXG27" s="1"/>
      <c r="LXH27" s="1"/>
      <c r="LXI27" s="1"/>
      <c r="LXJ27" s="1"/>
      <c r="LXK27" s="1"/>
      <c r="LXL27" s="1"/>
      <c r="LXM27" s="1"/>
      <c r="LXN27" s="1"/>
      <c r="LXO27" s="1"/>
      <c r="LXP27" s="1"/>
      <c r="LXQ27" s="1"/>
      <c r="LXR27" s="1"/>
      <c r="LXS27" s="1"/>
      <c r="LXT27" s="1"/>
      <c r="LXU27" s="1"/>
      <c r="LXV27" s="1"/>
      <c r="LXW27" s="1"/>
      <c r="LXX27" s="1"/>
      <c r="LXY27" s="1"/>
      <c r="LXZ27" s="1"/>
      <c r="LYA27" s="1"/>
      <c r="LYB27" s="1"/>
      <c r="LYC27" s="1"/>
      <c r="LYD27" s="1"/>
      <c r="LYE27" s="1"/>
      <c r="LYF27" s="1"/>
      <c r="LYG27" s="1"/>
      <c r="LYH27" s="1"/>
      <c r="LYI27" s="1"/>
      <c r="LYJ27" s="1"/>
      <c r="LYK27" s="1"/>
      <c r="LYL27" s="1"/>
      <c r="LYM27" s="1"/>
      <c r="LYN27" s="1"/>
      <c r="LYO27" s="1"/>
      <c r="LYP27" s="1"/>
      <c r="LYQ27" s="1"/>
      <c r="LYR27" s="1"/>
      <c r="LYS27" s="1"/>
      <c r="LYT27" s="1"/>
      <c r="LYU27" s="1"/>
      <c r="LYV27" s="1"/>
      <c r="LYW27" s="1"/>
      <c r="LYX27" s="1"/>
      <c r="LYY27" s="1"/>
      <c r="LYZ27" s="1"/>
      <c r="LZA27" s="1"/>
      <c r="LZB27" s="1"/>
      <c r="LZC27" s="1"/>
      <c r="LZD27" s="1"/>
      <c r="LZE27" s="1"/>
      <c r="LZF27" s="1"/>
      <c r="LZG27" s="1"/>
      <c r="LZH27" s="1"/>
      <c r="LZI27" s="1"/>
      <c r="LZJ27" s="1"/>
      <c r="LZK27" s="1"/>
      <c r="LZL27" s="1"/>
      <c r="LZM27" s="1"/>
      <c r="LZN27" s="1"/>
      <c r="LZO27" s="1"/>
      <c r="LZP27" s="1"/>
      <c r="LZQ27" s="1"/>
      <c r="LZR27" s="1"/>
      <c r="LZS27" s="1"/>
      <c r="LZT27" s="1"/>
      <c r="LZU27" s="1"/>
      <c r="LZV27" s="1"/>
      <c r="LZW27" s="1"/>
      <c r="LZX27" s="1"/>
      <c r="LZY27" s="1"/>
      <c r="LZZ27" s="1"/>
      <c r="MAA27" s="1"/>
      <c r="MAB27" s="1"/>
      <c r="MAC27" s="1"/>
      <c r="MAD27" s="1"/>
      <c r="MAE27" s="1"/>
      <c r="MAF27" s="1"/>
      <c r="MAG27" s="1"/>
      <c r="MAH27" s="1"/>
      <c r="MAI27" s="1"/>
      <c r="MAJ27" s="1"/>
      <c r="MAK27" s="1"/>
      <c r="MAL27" s="1"/>
      <c r="MAM27" s="1"/>
      <c r="MAN27" s="1"/>
      <c r="MAO27" s="1"/>
      <c r="MAP27" s="1"/>
      <c r="MAQ27" s="1"/>
      <c r="MAR27" s="1"/>
      <c r="MAS27" s="1"/>
      <c r="MAT27" s="1"/>
      <c r="MAU27" s="1"/>
      <c r="MAV27" s="1"/>
      <c r="MAW27" s="1"/>
      <c r="MAX27" s="1"/>
      <c r="MAY27" s="1"/>
      <c r="MAZ27" s="1"/>
      <c r="MBA27" s="1"/>
      <c r="MBB27" s="1"/>
      <c r="MBC27" s="1"/>
      <c r="MBD27" s="1"/>
      <c r="MBE27" s="1"/>
      <c r="MBF27" s="1"/>
      <c r="MBG27" s="1"/>
      <c r="MBH27" s="1"/>
      <c r="MBI27" s="1"/>
      <c r="MBJ27" s="1"/>
      <c r="MBK27" s="1"/>
      <c r="MBL27" s="1"/>
      <c r="MBM27" s="1"/>
      <c r="MBN27" s="1"/>
      <c r="MBO27" s="1"/>
      <c r="MBP27" s="1"/>
      <c r="MBQ27" s="1"/>
      <c r="MBR27" s="1"/>
      <c r="MBS27" s="1"/>
      <c r="MBT27" s="1"/>
      <c r="MBU27" s="1"/>
      <c r="MBV27" s="1"/>
      <c r="MBW27" s="1"/>
      <c r="MBX27" s="1"/>
      <c r="MBY27" s="1"/>
      <c r="MBZ27" s="1"/>
      <c r="MCA27" s="1"/>
      <c r="MCB27" s="1"/>
      <c r="MCC27" s="1"/>
      <c r="MCD27" s="1"/>
      <c r="MCE27" s="1"/>
      <c r="MCF27" s="1"/>
      <c r="MCG27" s="1"/>
      <c r="MCH27" s="1"/>
      <c r="MCI27" s="1"/>
      <c r="MCJ27" s="1"/>
      <c r="MCK27" s="1"/>
      <c r="MCL27" s="1"/>
      <c r="MCM27" s="1"/>
      <c r="MCN27" s="1"/>
      <c r="MCO27" s="1"/>
      <c r="MCP27" s="1"/>
      <c r="MCQ27" s="1"/>
      <c r="MCR27" s="1"/>
      <c r="MCS27" s="1"/>
      <c r="MCT27" s="1"/>
      <c r="MCU27" s="1"/>
      <c r="MCV27" s="1"/>
      <c r="MCW27" s="1"/>
      <c r="MCX27" s="1"/>
      <c r="MCY27" s="1"/>
      <c r="MCZ27" s="1"/>
      <c r="MDA27" s="1"/>
      <c r="MDB27" s="1"/>
      <c r="MDC27" s="1"/>
      <c r="MDD27" s="1"/>
      <c r="MDE27" s="1"/>
      <c r="MDF27" s="1"/>
      <c r="MDG27" s="1"/>
      <c r="MDH27" s="1"/>
      <c r="MDI27" s="1"/>
      <c r="MDJ27" s="1"/>
      <c r="MDK27" s="1"/>
      <c r="MDL27" s="1"/>
      <c r="MDM27" s="1"/>
      <c r="MDN27" s="1"/>
      <c r="MDO27" s="1"/>
      <c r="MDP27" s="1"/>
      <c r="MDQ27" s="1"/>
      <c r="MDR27" s="1"/>
      <c r="MDS27" s="1"/>
      <c r="MDT27" s="1"/>
      <c r="MDU27" s="1"/>
      <c r="MDV27" s="1"/>
      <c r="MDW27" s="1"/>
      <c r="MDX27" s="1"/>
      <c r="MDY27" s="1"/>
      <c r="MDZ27" s="1"/>
      <c r="MEA27" s="1"/>
      <c r="MEB27" s="1"/>
      <c r="MEC27" s="1"/>
      <c r="MED27" s="1"/>
      <c r="MEE27" s="1"/>
      <c r="MEF27" s="1"/>
      <c r="MEG27" s="1"/>
      <c r="MEH27" s="1"/>
      <c r="MEI27" s="1"/>
      <c r="MEJ27" s="1"/>
      <c r="MEK27" s="1"/>
      <c r="MEL27" s="1"/>
      <c r="MEM27" s="1"/>
      <c r="MEN27" s="1"/>
      <c r="MEO27" s="1"/>
      <c r="MEP27" s="1"/>
      <c r="MEQ27" s="1"/>
      <c r="MER27" s="1"/>
      <c r="MES27" s="1"/>
      <c r="MET27" s="1"/>
      <c r="MEU27" s="1"/>
      <c r="MEV27" s="1"/>
      <c r="MEW27" s="1"/>
      <c r="MEX27" s="1"/>
      <c r="MEY27" s="1"/>
      <c r="MEZ27" s="1"/>
      <c r="MFA27" s="1"/>
      <c r="MFB27" s="1"/>
      <c r="MFC27" s="1"/>
      <c r="MFD27" s="1"/>
      <c r="MFE27" s="1"/>
      <c r="MFF27" s="1"/>
      <c r="MFG27" s="1"/>
      <c r="MFH27" s="1"/>
      <c r="MFI27" s="1"/>
      <c r="MFJ27" s="1"/>
      <c r="MFK27" s="1"/>
      <c r="MFL27" s="1"/>
      <c r="MFM27" s="1"/>
      <c r="MFN27" s="1"/>
      <c r="MFO27" s="1"/>
      <c r="MFP27" s="1"/>
      <c r="MFQ27" s="1"/>
      <c r="MFR27" s="1"/>
      <c r="MFS27" s="1"/>
      <c r="MFT27" s="1"/>
      <c r="MFU27" s="1"/>
      <c r="MFV27" s="1"/>
      <c r="MFW27" s="1"/>
      <c r="MFX27" s="1"/>
      <c r="MFY27" s="1"/>
      <c r="MFZ27" s="1"/>
      <c r="MGA27" s="1"/>
      <c r="MGB27" s="1"/>
      <c r="MGC27" s="1"/>
      <c r="MGD27" s="1"/>
      <c r="MGE27" s="1"/>
      <c r="MGF27" s="1"/>
      <c r="MGG27" s="1"/>
      <c r="MGH27" s="1"/>
      <c r="MGI27" s="1"/>
      <c r="MGJ27" s="1"/>
      <c r="MGK27" s="1"/>
      <c r="MGL27" s="1"/>
      <c r="MGM27" s="1"/>
      <c r="MGN27" s="1"/>
      <c r="MGO27" s="1"/>
      <c r="MGP27" s="1"/>
      <c r="MGQ27" s="1"/>
      <c r="MGR27" s="1"/>
      <c r="MGS27" s="1"/>
      <c r="MGT27" s="1"/>
      <c r="MGU27" s="1"/>
      <c r="MGV27" s="1"/>
      <c r="MGW27" s="1"/>
      <c r="MGX27" s="1"/>
      <c r="MGY27" s="1"/>
      <c r="MGZ27" s="1"/>
      <c r="MHA27" s="1"/>
      <c r="MHB27" s="1"/>
      <c r="MHC27" s="1"/>
      <c r="MHD27" s="1"/>
      <c r="MHE27" s="1"/>
      <c r="MHF27" s="1"/>
      <c r="MHG27" s="1"/>
      <c r="MHH27" s="1"/>
      <c r="MHI27" s="1"/>
      <c r="MHJ27" s="1"/>
      <c r="MHK27" s="1"/>
      <c r="MHL27" s="1"/>
      <c r="MHM27" s="1"/>
      <c r="MHN27" s="1"/>
      <c r="MHO27" s="1"/>
      <c r="MHP27" s="1"/>
      <c r="MHQ27" s="1"/>
      <c r="MHR27" s="1"/>
      <c r="MHS27" s="1"/>
      <c r="MHT27" s="1"/>
      <c r="MHU27" s="1"/>
      <c r="MHV27" s="1"/>
      <c r="MHW27" s="1"/>
      <c r="MHX27" s="1"/>
      <c r="MHY27" s="1"/>
      <c r="MHZ27" s="1"/>
      <c r="MIA27" s="1"/>
      <c r="MIB27" s="1"/>
      <c r="MIC27" s="1"/>
      <c r="MID27" s="1"/>
      <c r="MIE27" s="1"/>
      <c r="MIF27" s="1"/>
      <c r="MIG27" s="1"/>
      <c r="MIH27" s="1"/>
      <c r="MII27" s="1"/>
      <c r="MIJ27" s="1"/>
      <c r="MIK27" s="1"/>
      <c r="MIL27" s="1"/>
      <c r="MIM27" s="1"/>
      <c r="MIN27" s="1"/>
      <c r="MIO27" s="1"/>
      <c r="MIP27" s="1"/>
      <c r="MIQ27" s="1"/>
      <c r="MIR27" s="1"/>
      <c r="MIS27" s="1"/>
      <c r="MIT27" s="1"/>
      <c r="MIU27" s="1"/>
      <c r="MIV27" s="1"/>
      <c r="MIW27" s="1"/>
      <c r="MIX27" s="1"/>
      <c r="MIY27" s="1"/>
      <c r="MIZ27" s="1"/>
      <c r="MJA27" s="1"/>
      <c r="MJB27" s="1"/>
      <c r="MJC27" s="1"/>
      <c r="MJD27" s="1"/>
      <c r="MJE27" s="1"/>
      <c r="MJF27" s="1"/>
      <c r="MJG27" s="1"/>
      <c r="MJH27" s="1"/>
      <c r="MJI27" s="1"/>
      <c r="MJJ27" s="1"/>
      <c r="MJK27" s="1"/>
      <c r="MJL27" s="1"/>
      <c r="MJM27" s="1"/>
      <c r="MJN27" s="1"/>
      <c r="MJO27" s="1"/>
      <c r="MJP27" s="1"/>
      <c r="MJQ27" s="1"/>
      <c r="MJR27" s="1"/>
      <c r="MJS27" s="1"/>
      <c r="MJT27" s="1"/>
      <c r="MJU27" s="1"/>
      <c r="MJV27" s="1"/>
      <c r="MJW27" s="1"/>
      <c r="MJX27" s="1"/>
      <c r="MJY27" s="1"/>
      <c r="MJZ27" s="1"/>
      <c r="MKA27" s="1"/>
      <c r="MKB27" s="1"/>
      <c r="MKC27" s="1"/>
      <c r="MKD27" s="1"/>
      <c r="MKE27" s="1"/>
      <c r="MKF27" s="1"/>
      <c r="MKG27" s="1"/>
      <c r="MKH27" s="1"/>
      <c r="MKI27" s="1"/>
      <c r="MKJ27" s="1"/>
      <c r="MKK27" s="1"/>
      <c r="MKL27" s="1"/>
      <c r="MKM27" s="1"/>
      <c r="MKN27" s="1"/>
      <c r="MKO27" s="1"/>
      <c r="MKP27" s="1"/>
      <c r="MKQ27" s="1"/>
      <c r="MKR27" s="1"/>
      <c r="MKS27" s="1"/>
      <c r="MKT27" s="1"/>
      <c r="MKU27" s="1"/>
      <c r="MKV27" s="1"/>
      <c r="MKW27" s="1"/>
      <c r="MKX27" s="1"/>
      <c r="MKY27" s="1"/>
      <c r="MKZ27" s="1"/>
      <c r="MLA27" s="1"/>
      <c r="MLB27" s="1"/>
      <c r="MLC27" s="1"/>
      <c r="MLD27" s="1"/>
      <c r="MLE27" s="1"/>
      <c r="MLF27" s="1"/>
      <c r="MLG27" s="1"/>
      <c r="MLH27" s="1"/>
      <c r="MLI27" s="1"/>
      <c r="MLJ27" s="1"/>
      <c r="MLK27" s="1"/>
      <c r="MLL27" s="1"/>
      <c r="MLM27" s="1"/>
      <c r="MLN27" s="1"/>
      <c r="MLO27" s="1"/>
      <c r="MLP27" s="1"/>
      <c r="MLQ27" s="1"/>
      <c r="MLR27" s="1"/>
      <c r="MLS27" s="1"/>
      <c r="MLT27" s="1"/>
      <c r="MLU27" s="1"/>
      <c r="MLV27" s="1"/>
      <c r="MLW27" s="1"/>
      <c r="MLX27" s="1"/>
      <c r="MLY27" s="1"/>
      <c r="MLZ27" s="1"/>
      <c r="MMA27" s="1"/>
      <c r="MMB27" s="1"/>
      <c r="MMC27" s="1"/>
      <c r="MMD27" s="1"/>
      <c r="MME27" s="1"/>
      <c r="MMF27" s="1"/>
      <c r="MMG27" s="1"/>
      <c r="MMH27" s="1"/>
      <c r="MMI27" s="1"/>
      <c r="MMJ27" s="1"/>
      <c r="MMK27" s="1"/>
      <c r="MML27" s="1"/>
      <c r="MMM27" s="1"/>
      <c r="MMN27" s="1"/>
      <c r="MMO27" s="1"/>
      <c r="MMP27" s="1"/>
      <c r="MMQ27" s="1"/>
      <c r="MMR27" s="1"/>
      <c r="MMS27" s="1"/>
      <c r="MMT27" s="1"/>
      <c r="MMU27" s="1"/>
      <c r="MMV27" s="1"/>
      <c r="MMW27" s="1"/>
      <c r="MMX27" s="1"/>
      <c r="MMY27" s="1"/>
      <c r="MMZ27" s="1"/>
      <c r="MNA27" s="1"/>
      <c r="MNB27" s="1"/>
      <c r="MNC27" s="1"/>
      <c r="MND27" s="1"/>
      <c r="MNE27" s="1"/>
      <c r="MNF27" s="1"/>
      <c r="MNG27" s="1"/>
      <c r="MNH27" s="1"/>
      <c r="MNI27" s="1"/>
      <c r="MNJ27" s="1"/>
      <c r="MNK27" s="1"/>
      <c r="MNL27" s="1"/>
      <c r="MNM27" s="1"/>
      <c r="MNN27" s="1"/>
      <c r="MNO27" s="1"/>
      <c r="MNP27" s="1"/>
      <c r="MNQ27" s="1"/>
      <c r="MNR27" s="1"/>
      <c r="MNS27" s="1"/>
      <c r="MNT27" s="1"/>
      <c r="MNU27" s="1"/>
      <c r="MNV27" s="1"/>
      <c r="MNW27" s="1"/>
      <c r="MNX27" s="1"/>
      <c r="MNY27" s="1"/>
      <c r="MNZ27" s="1"/>
      <c r="MOA27" s="1"/>
      <c r="MOB27" s="1"/>
      <c r="MOC27" s="1"/>
      <c r="MOD27" s="1"/>
      <c r="MOE27" s="1"/>
      <c r="MOF27" s="1"/>
      <c r="MOG27" s="1"/>
      <c r="MOH27" s="1"/>
      <c r="MOI27" s="1"/>
      <c r="MOJ27" s="1"/>
      <c r="MOK27" s="1"/>
      <c r="MOL27" s="1"/>
      <c r="MOM27" s="1"/>
      <c r="MON27" s="1"/>
      <c r="MOO27" s="1"/>
      <c r="MOP27" s="1"/>
      <c r="MOQ27" s="1"/>
      <c r="MOR27" s="1"/>
      <c r="MOS27" s="1"/>
      <c r="MOT27" s="1"/>
      <c r="MOU27" s="1"/>
      <c r="MOV27" s="1"/>
      <c r="MOW27" s="1"/>
      <c r="MOX27" s="1"/>
      <c r="MOY27" s="1"/>
      <c r="MOZ27" s="1"/>
      <c r="MPA27" s="1"/>
      <c r="MPB27" s="1"/>
      <c r="MPC27" s="1"/>
      <c r="MPD27" s="1"/>
      <c r="MPE27" s="1"/>
      <c r="MPF27" s="1"/>
      <c r="MPG27" s="1"/>
      <c r="MPH27" s="1"/>
      <c r="MPI27" s="1"/>
      <c r="MPJ27" s="1"/>
      <c r="MPK27" s="1"/>
      <c r="MPL27" s="1"/>
      <c r="MPM27" s="1"/>
      <c r="MPN27" s="1"/>
      <c r="MPO27" s="1"/>
      <c r="MPP27" s="1"/>
      <c r="MPQ27" s="1"/>
      <c r="MPR27" s="1"/>
      <c r="MPS27" s="1"/>
      <c r="MPT27" s="1"/>
      <c r="MPU27" s="1"/>
      <c r="MPV27" s="1"/>
      <c r="MPW27" s="1"/>
      <c r="MPX27" s="1"/>
      <c r="MPY27" s="1"/>
      <c r="MPZ27" s="1"/>
      <c r="MQA27" s="1"/>
      <c r="MQB27" s="1"/>
      <c r="MQC27" s="1"/>
      <c r="MQD27" s="1"/>
      <c r="MQE27" s="1"/>
      <c r="MQF27" s="1"/>
      <c r="MQG27" s="1"/>
      <c r="MQH27" s="1"/>
      <c r="MQI27" s="1"/>
      <c r="MQJ27" s="1"/>
      <c r="MQK27" s="1"/>
      <c r="MQL27" s="1"/>
      <c r="MQM27" s="1"/>
      <c r="MQN27" s="1"/>
      <c r="MQO27" s="1"/>
      <c r="MQP27" s="1"/>
      <c r="MQQ27" s="1"/>
      <c r="MQR27" s="1"/>
      <c r="MQS27" s="1"/>
      <c r="MQT27" s="1"/>
      <c r="MQU27" s="1"/>
      <c r="MQV27" s="1"/>
      <c r="MQW27" s="1"/>
      <c r="MQX27" s="1"/>
      <c r="MQY27" s="1"/>
      <c r="MQZ27" s="1"/>
      <c r="MRA27" s="1"/>
      <c r="MRB27" s="1"/>
      <c r="MRC27" s="1"/>
      <c r="MRD27" s="1"/>
      <c r="MRE27" s="1"/>
      <c r="MRF27" s="1"/>
      <c r="MRG27" s="1"/>
      <c r="MRH27" s="1"/>
      <c r="MRI27" s="1"/>
      <c r="MRJ27" s="1"/>
      <c r="MRK27" s="1"/>
      <c r="MRL27" s="1"/>
      <c r="MRM27" s="1"/>
      <c r="MRN27" s="1"/>
      <c r="MRO27" s="1"/>
      <c r="MRP27" s="1"/>
      <c r="MRQ27" s="1"/>
      <c r="MRR27" s="1"/>
      <c r="MRS27" s="1"/>
      <c r="MRT27" s="1"/>
      <c r="MRU27" s="1"/>
      <c r="MRV27" s="1"/>
      <c r="MRW27" s="1"/>
      <c r="MRX27" s="1"/>
      <c r="MRY27" s="1"/>
      <c r="MRZ27" s="1"/>
      <c r="MSA27" s="1"/>
      <c r="MSB27" s="1"/>
      <c r="MSC27" s="1"/>
      <c r="MSD27" s="1"/>
      <c r="MSE27" s="1"/>
      <c r="MSF27" s="1"/>
      <c r="MSG27" s="1"/>
      <c r="MSH27" s="1"/>
      <c r="MSI27" s="1"/>
      <c r="MSJ27" s="1"/>
      <c r="MSK27" s="1"/>
      <c r="MSL27" s="1"/>
      <c r="MSM27" s="1"/>
      <c r="MSN27" s="1"/>
      <c r="MSO27" s="1"/>
      <c r="MSP27" s="1"/>
      <c r="MSQ27" s="1"/>
      <c r="MSR27" s="1"/>
      <c r="MSS27" s="1"/>
      <c r="MST27" s="1"/>
      <c r="MSU27" s="1"/>
      <c r="MSV27" s="1"/>
      <c r="MSW27" s="1"/>
      <c r="MSX27" s="1"/>
      <c r="MSY27" s="1"/>
      <c r="MSZ27" s="1"/>
      <c r="MTA27" s="1"/>
      <c r="MTB27" s="1"/>
      <c r="MTC27" s="1"/>
      <c r="MTD27" s="1"/>
      <c r="MTE27" s="1"/>
      <c r="MTF27" s="1"/>
      <c r="MTG27" s="1"/>
      <c r="MTH27" s="1"/>
      <c r="MTI27" s="1"/>
      <c r="MTJ27" s="1"/>
      <c r="MTK27" s="1"/>
      <c r="MTL27" s="1"/>
      <c r="MTM27" s="1"/>
      <c r="MTN27" s="1"/>
      <c r="MTO27" s="1"/>
      <c r="MTP27" s="1"/>
      <c r="MTQ27" s="1"/>
      <c r="MTR27" s="1"/>
      <c r="MTS27" s="1"/>
      <c r="MTT27" s="1"/>
      <c r="MTU27" s="1"/>
      <c r="MTV27" s="1"/>
      <c r="MTW27" s="1"/>
      <c r="MTX27" s="1"/>
      <c r="MTY27" s="1"/>
      <c r="MTZ27" s="1"/>
      <c r="MUA27" s="1"/>
      <c r="MUB27" s="1"/>
      <c r="MUC27" s="1"/>
      <c r="MUD27" s="1"/>
      <c r="MUE27" s="1"/>
      <c r="MUF27" s="1"/>
      <c r="MUG27" s="1"/>
      <c r="MUH27" s="1"/>
      <c r="MUI27" s="1"/>
      <c r="MUJ27" s="1"/>
      <c r="MUK27" s="1"/>
      <c r="MUL27" s="1"/>
      <c r="MUM27" s="1"/>
      <c r="MUN27" s="1"/>
      <c r="MUO27" s="1"/>
      <c r="MUP27" s="1"/>
      <c r="MUQ27" s="1"/>
      <c r="MUR27" s="1"/>
      <c r="MUS27" s="1"/>
      <c r="MUT27" s="1"/>
      <c r="MUU27" s="1"/>
      <c r="MUV27" s="1"/>
      <c r="MUW27" s="1"/>
      <c r="MUX27" s="1"/>
      <c r="MUY27" s="1"/>
      <c r="MUZ27" s="1"/>
      <c r="MVA27" s="1"/>
      <c r="MVB27" s="1"/>
      <c r="MVC27" s="1"/>
      <c r="MVD27" s="1"/>
      <c r="MVE27" s="1"/>
      <c r="MVF27" s="1"/>
      <c r="MVG27" s="1"/>
      <c r="MVH27" s="1"/>
      <c r="MVI27" s="1"/>
      <c r="MVJ27" s="1"/>
      <c r="MVK27" s="1"/>
      <c r="MVL27" s="1"/>
      <c r="MVM27" s="1"/>
      <c r="MVN27" s="1"/>
      <c r="MVO27" s="1"/>
      <c r="MVP27" s="1"/>
      <c r="MVQ27" s="1"/>
      <c r="MVR27" s="1"/>
      <c r="MVS27" s="1"/>
      <c r="MVT27" s="1"/>
      <c r="MVU27" s="1"/>
      <c r="MVV27" s="1"/>
      <c r="MVW27" s="1"/>
      <c r="MVX27" s="1"/>
      <c r="MVY27" s="1"/>
      <c r="MVZ27" s="1"/>
      <c r="MWA27" s="1"/>
      <c r="MWB27" s="1"/>
      <c r="MWC27" s="1"/>
      <c r="MWD27" s="1"/>
      <c r="MWE27" s="1"/>
      <c r="MWF27" s="1"/>
      <c r="MWG27" s="1"/>
      <c r="MWH27" s="1"/>
      <c r="MWI27" s="1"/>
      <c r="MWJ27" s="1"/>
      <c r="MWK27" s="1"/>
      <c r="MWL27" s="1"/>
      <c r="MWM27" s="1"/>
      <c r="MWN27" s="1"/>
      <c r="MWO27" s="1"/>
      <c r="MWP27" s="1"/>
      <c r="MWQ27" s="1"/>
      <c r="MWR27" s="1"/>
      <c r="MWS27" s="1"/>
      <c r="MWT27" s="1"/>
      <c r="MWU27" s="1"/>
      <c r="MWV27" s="1"/>
      <c r="MWW27" s="1"/>
      <c r="MWX27" s="1"/>
      <c r="MWY27" s="1"/>
      <c r="MWZ27" s="1"/>
      <c r="MXA27" s="1"/>
      <c r="MXB27" s="1"/>
      <c r="MXC27" s="1"/>
      <c r="MXD27" s="1"/>
      <c r="MXE27" s="1"/>
      <c r="MXF27" s="1"/>
      <c r="MXG27" s="1"/>
      <c r="MXH27" s="1"/>
      <c r="MXI27" s="1"/>
      <c r="MXJ27" s="1"/>
      <c r="MXK27" s="1"/>
      <c r="MXL27" s="1"/>
      <c r="MXM27" s="1"/>
      <c r="MXN27" s="1"/>
      <c r="MXO27" s="1"/>
      <c r="MXP27" s="1"/>
      <c r="MXQ27" s="1"/>
      <c r="MXR27" s="1"/>
      <c r="MXS27" s="1"/>
      <c r="MXT27" s="1"/>
      <c r="MXU27" s="1"/>
      <c r="MXV27" s="1"/>
      <c r="MXW27" s="1"/>
      <c r="MXX27" s="1"/>
      <c r="MXY27" s="1"/>
      <c r="MXZ27" s="1"/>
      <c r="MYA27" s="1"/>
      <c r="MYB27" s="1"/>
      <c r="MYC27" s="1"/>
      <c r="MYD27" s="1"/>
      <c r="MYE27" s="1"/>
      <c r="MYF27" s="1"/>
      <c r="MYG27" s="1"/>
      <c r="MYH27" s="1"/>
      <c r="MYI27" s="1"/>
      <c r="MYJ27" s="1"/>
      <c r="MYK27" s="1"/>
      <c r="MYL27" s="1"/>
      <c r="MYM27" s="1"/>
      <c r="MYN27" s="1"/>
      <c r="MYO27" s="1"/>
      <c r="MYP27" s="1"/>
      <c r="MYQ27" s="1"/>
      <c r="MYR27" s="1"/>
      <c r="MYS27" s="1"/>
      <c r="MYT27" s="1"/>
      <c r="MYU27" s="1"/>
      <c r="MYV27" s="1"/>
      <c r="MYW27" s="1"/>
      <c r="MYX27" s="1"/>
      <c r="MYY27" s="1"/>
      <c r="MYZ27" s="1"/>
      <c r="MZA27" s="1"/>
      <c r="MZB27" s="1"/>
      <c r="MZC27" s="1"/>
      <c r="MZD27" s="1"/>
      <c r="MZE27" s="1"/>
      <c r="MZF27" s="1"/>
      <c r="MZG27" s="1"/>
      <c r="MZH27" s="1"/>
      <c r="MZI27" s="1"/>
      <c r="MZJ27" s="1"/>
      <c r="MZK27" s="1"/>
      <c r="MZL27" s="1"/>
      <c r="MZM27" s="1"/>
      <c r="MZN27" s="1"/>
      <c r="MZO27" s="1"/>
      <c r="MZP27" s="1"/>
      <c r="MZQ27" s="1"/>
      <c r="MZR27" s="1"/>
      <c r="MZS27" s="1"/>
      <c r="MZT27" s="1"/>
      <c r="MZU27" s="1"/>
      <c r="MZV27" s="1"/>
      <c r="MZW27" s="1"/>
      <c r="MZX27" s="1"/>
      <c r="MZY27" s="1"/>
      <c r="MZZ27" s="1"/>
      <c r="NAA27" s="1"/>
      <c r="NAB27" s="1"/>
      <c r="NAC27" s="1"/>
      <c r="NAD27" s="1"/>
      <c r="NAE27" s="1"/>
      <c r="NAF27" s="1"/>
      <c r="NAG27" s="1"/>
      <c r="NAH27" s="1"/>
      <c r="NAI27" s="1"/>
      <c r="NAJ27" s="1"/>
      <c r="NAK27" s="1"/>
      <c r="NAL27" s="1"/>
      <c r="NAM27" s="1"/>
      <c r="NAN27" s="1"/>
      <c r="NAO27" s="1"/>
      <c r="NAP27" s="1"/>
      <c r="NAQ27" s="1"/>
      <c r="NAR27" s="1"/>
      <c r="NAS27" s="1"/>
      <c r="NAT27" s="1"/>
      <c r="NAU27" s="1"/>
      <c r="NAV27" s="1"/>
      <c r="NAW27" s="1"/>
      <c r="NAX27" s="1"/>
      <c r="NAY27" s="1"/>
      <c r="NAZ27" s="1"/>
      <c r="NBA27" s="1"/>
      <c r="NBB27" s="1"/>
      <c r="NBC27" s="1"/>
      <c r="NBD27" s="1"/>
      <c r="NBE27" s="1"/>
      <c r="NBF27" s="1"/>
      <c r="NBG27" s="1"/>
      <c r="NBH27" s="1"/>
      <c r="NBI27" s="1"/>
      <c r="NBJ27" s="1"/>
      <c r="NBK27" s="1"/>
      <c r="NBL27" s="1"/>
      <c r="NBM27" s="1"/>
      <c r="NBN27" s="1"/>
      <c r="NBO27" s="1"/>
      <c r="NBP27" s="1"/>
      <c r="NBQ27" s="1"/>
      <c r="NBR27" s="1"/>
      <c r="NBS27" s="1"/>
      <c r="NBT27" s="1"/>
      <c r="NBU27" s="1"/>
      <c r="NBV27" s="1"/>
      <c r="NBW27" s="1"/>
      <c r="NBX27" s="1"/>
      <c r="NBY27" s="1"/>
      <c r="NBZ27" s="1"/>
      <c r="NCA27" s="1"/>
      <c r="NCB27" s="1"/>
      <c r="NCC27" s="1"/>
      <c r="NCD27" s="1"/>
      <c r="NCE27" s="1"/>
      <c r="NCF27" s="1"/>
      <c r="NCG27" s="1"/>
      <c r="NCH27" s="1"/>
      <c r="NCI27" s="1"/>
      <c r="NCJ27" s="1"/>
      <c r="NCK27" s="1"/>
      <c r="NCL27" s="1"/>
      <c r="NCM27" s="1"/>
      <c r="NCN27" s="1"/>
      <c r="NCO27" s="1"/>
      <c r="NCP27" s="1"/>
      <c r="NCQ27" s="1"/>
      <c r="NCR27" s="1"/>
      <c r="NCS27" s="1"/>
      <c r="NCT27" s="1"/>
      <c r="NCU27" s="1"/>
      <c r="NCV27" s="1"/>
      <c r="NCW27" s="1"/>
      <c r="NCX27" s="1"/>
      <c r="NCY27" s="1"/>
      <c r="NCZ27" s="1"/>
      <c r="NDA27" s="1"/>
      <c r="NDB27" s="1"/>
      <c r="NDC27" s="1"/>
      <c r="NDD27" s="1"/>
      <c r="NDE27" s="1"/>
      <c r="NDF27" s="1"/>
      <c r="NDG27" s="1"/>
      <c r="NDH27" s="1"/>
      <c r="NDI27" s="1"/>
      <c r="NDJ27" s="1"/>
      <c r="NDK27" s="1"/>
      <c r="NDL27" s="1"/>
      <c r="NDM27" s="1"/>
      <c r="NDN27" s="1"/>
      <c r="NDO27" s="1"/>
      <c r="NDP27" s="1"/>
      <c r="NDQ27" s="1"/>
      <c r="NDR27" s="1"/>
      <c r="NDS27" s="1"/>
      <c r="NDT27" s="1"/>
      <c r="NDU27" s="1"/>
      <c r="NDV27" s="1"/>
      <c r="NDW27" s="1"/>
      <c r="NDX27" s="1"/>
      <c r="NDY27" s="1"/>
      <c r="NDZ27" s="1"/>
      <c r="NEA27" s="1"/>
      <c r="NEB27" s="1"/>
      <c r="NEC27" s="1"/>
      <c r="NED27" s="1"/>
      <c r="NEE27" s="1"/>
      <c r="NEF27" s="1"/>
      <c r="NEG27" s="1"/>
      <c r="NEH27" s="1"/>
      <c r="NEI27" s="1"/>
      <c r="NEJ27" s="1"/>
      <c r="NEK27" s="1"/>
      <c r="NEL27" s="1"/>
      <c r="NEM27" s="1"/>
      <c r="NEN27" s="1"/>
      <c r="NEO27" s="1"/>
      <c r="NEP27" s="1"/>
      <c r="NEQ27" s="1"/>
      <c r="NER27" s="1"/>
      <c r="NES27" s="1"/>
      <c r="NET27" s="1"/>
      <c r="NEU27" s="1"/>
      <c r="NEV27" s="1"/>
      <c r="NEW27" s="1"/>
      <c r="NEX27" s="1"/>
      <c r="NEY27" s="1"/>
      <c r="NEZ27" s="1"/>
      <c r="NFA27" s="1"/>
      <c r="NFB27" s="1"/>
      <c r="NFC27" s="1"/>
      <c r="NFD27" s="1"/>
      <c r="NFE27" s="1"/>
      <c r="NFF27" s="1"/>
      <c r="NFG27" s="1"/>
      <c r="NFH27" s="1"/>
      <c r="NFI27" s="1"/>
      <c r="NFJ27" s="1"/>
      <c r="NFK27" s="1"/>
      <c r="NFL27" s="1"/>
      <c r="NFM27" s="1"/>
      <c r="NFN27" s="1"/>
      <c r="NFO27" s="1"/>
      <c r="NFP27" s="1"/>
      <c r="NFQ27" s="1"/>
      <c r="NFR27" s="1"/>
      <c r="NFS27" s="1"/>
      <c r="NFT27" s="1"/>
      <c r="NFU27" s="1"/>
      <c r="NFV27" s="1"/>
      <c r="NFW27" s="1"/>
      <c r="NFX27" s="1"/>
      <c r="NFY27" s="1"/>
      <c r="NFZ27" s="1"/>
      <c r="NGA27" s="1"/>
      <c r="NGB27" s="1"/>
      <c r="NGC27" s="1"/>
      <c r="NGD27" s="1"/>
      <c r="NGE27" s="1"/>
      <c r="NGF27" s="1"/>
      <c r="NGG27" s="1"/>
      <c r="NGH27" s="1"/>
      <c r="NGI27" s="1"/>
      <c r="NGJ27" s="1"/>
      <c r="NGK27" s="1"/>
      <c r="NGL27" s="1"/>
      <c r="NGM27" s="1"/>
      <c r="NGN27" s="1"/>
      <c r="NGO27" s="1"/>
      <c r="NGP27" s="1"/>
      <c r="NGQ27" s="1"/>
      <c r="NGR27" s="1"/>
      <c r="NGS27" s="1"/>
      <c r="NGT27" s="1"/>
      <c r="NGU27" s="1"/>
      <c r="NGV27" s="1"/>
      <c r="NGW27" s="1"/>
      <c r="NGX27" s="1"/>
      <c r="NGY27" s="1"/>
      <c r="NGZ27" s="1"/>
      <c r="NHA27" s="1"/>
      <c r="NHB27" s="1"/>
      <c r="NHC27" s="1"/>
      <c r="NHD27" s="1"/>
      <c r="NHE27" s="1"/>
      <c r="NHF27" s="1"/>
      <c r="NHG27" s="1"/>
      <c r="NHH27" s="1"/>
      <c r="NHI27" s="1"/>
      <c r="NHJ27" s="1"/>
      <c r="NHK27" s="1"/>
      <c r="NHL27" s="1"/>
      <c r="NHM27" s="1"/>
      <c r="NHN27" s="1"/>
      <c r="NHO27" s="1"/>
      <c r="NHP27" s="1"/>
      <c r="NHQ27" s="1"/>
      <c r="NHR27" s="1"/>
      <c r="NHS27" s="1"/>
      <c r="NHT27" s="1"/>
      <c r="NHU27" s="1"/>
      <c r="NHV27" s="1"/>
      <c r="NHW27" s="1"/>
      <c r="NHX27" s="1"/>
      <c r="NHY27" s="1"/>
      <c r="NHZ27" s="1"/>
      <c r="NIA27" s="1"/>
      <c r="NIB27" s="1"/>
      <c r="NIC27" s="1"/>
      <c r="NID27" s="1"/>
      <c r="NIE27" s="1"/>
      <c r="NIF27" s="1"/>
      <c r="NIG27" s="1"/>
      <c r="NIH27" s="1"/>
      <c r="NII27" s="1"/>
      <c r="NIJ27" s="1"/>
      <c r="NIK27" s="1"/>
      <c r="NIL27" s="1"/>
      <c r="NIM27" s="1"/>
      <c r="NIN27" s="1"/>
      <c r="NIO27" s="1"/>
      <c r="NIP27" s="1"/>
      <c r="NIQ27" s="1"/>
      <c r="NIR27" s="1"/>
      <c r="NIS27" s="1"/>
      <c r="NIT27" s="1"/>
      <c r="NIU27" s="1"/>
      <c r="NIV27" s="1"/>
      <c r="NIW27" s="1"/>
      <c r="NIX27" s="1"/>
      <c r="NIY27" s="1"/>
      <c r="NIZ27" s="1"/>
      <c r="NJA27" s="1"/>
      <c r="NJB27" s="1"/>
      <c r="NJC27" s="1"/>
      <c r="NJD27" s="1"/>
      <c r="NJE27" s="1"/>
      <c r="NJF27" s="1"/>
      <c r="NJG27" s="1"/>
      <c r="NJH27" s="1"/>
      <c r="NJI27" s="1"/>
      <c r="NJJ27" s="1"/>
      <c r="NJK27" s="1"/>
      <c r="NJL27" s="1"/>
      <c r="NJM27" s="1"/>
      <c r="NJN27" s="1"/>
      <c r="NJO27" s="1"/>
      <c r="NJP27" s="1"/>
      <c r="NJQ27" s="1"/>
      <c r="NJR27" s="1"/>
      <c r="NJS27" s="1"/>
      <c r="NJT27" s="1"/>
      <c r="NJU27" s="1"/>
      <c r="NJV27" s="1"/>
      <c r="NJW27" s="1"/>
      <c r="NJX27" s="1"/>
      <c r="NJY27" s="1"/>
      <c r="NJZ27" s="1"/>
      <c r="NKA27" s="1"/>
      <c r="NKB27" s="1"/>
      <c r="NKC27" s="1"/>
      <c r="NKD27" s="1"/>
      <c r="NKE27" s="1"/>
      <c r="NKF27" s="1"/>
      <c r="NKG27" s="1"/>
      <c r="NKH27" s="1"/>
      <c r="NKI27" s="1"/>
      <c r="NKJ27" s="1"/>
      <c r="NKK27" s="1"/>
      <c r="NKL27" s="1"/>
      <c r="NKM27" s="1"/>
      <c r="NKN27" s="1"/>
      <c r="NKO27" s="1"/>
      <c r="NKP27" s="1"/>
      <c r="NKQ27" s="1"/>
      <c r="NKR27" s="1"/>
      <c r="NKS27" s="1"/>
      <c r="NKT27" s="1"/>
      <c r="NKU27" s="1"/>
      <c r="NKV27" s="1"/>
      <c r="NKW27" s="1"/>
      <c r="NKX27" s="1"/>
      <c r="NKY27" s="1"/>
      <c r="NKZ27" s="1"/>
      <c r="NLA27" s="1"/>
      <c r="NLB27" s="1"/>
      <c r="NLC27" s="1"/>
      <c r="NLD27" s="1"/>
      <c r="NLE27" s="1"/>
      <c r="NLF27" s="1"/>
      <c r="NLG27" s="1"/>
      <c r="NLH27" s="1"/>
      <c r="NLI27" s="1"/>
      <c r="NLJ27" s="1"/>
      <c r="NLK27" s="1"/>
      <c r="NLL27" s="1"/>
      <c r="NLM27" s="1"/>
      <c r="NLN27" s="1"/>
      <c r="NLO27" s="1"/>
      <c r="NLP27" s="1"/>
      <c r="NLQ27" s="1"/>
      <c r="NLR27" s="1"/>
      <c r="NLS27" s="1"/>
      <c r="NLT27" s="1"/>
      <c r="NLU27" s="1"/>
      <c r="NLV27" s="1"/>
      <c r="NLW27" s="1"/>
      <c r="NLX27" s="1"/>
      <c r="NLY27" s="1"/>
      <c r="NLZ27" s="1"/>
      <c r="NMA27" s="1"/>
      <c r="NMB27" s="1"/>
      <c r="NMC27" s="1"/>
      <c r="NMD27" s="1"/>
      <c r="NME27" s="1"/>
      <c r="NMF27" s="1"/>
      <c r="NMG27" s="1"/>
      <c r="NMH27" s="1"/>
      <c r="NMI27" s="1"/>
      <c r="NMJ27" s="1"/>
      <c r="NMK27" s="1"/>
      <c r="NML27" s="1"/>
      <c r="NMM27" s="1"/>
      <c r="NMN27" s="1"/>
      <c r="NMO27" s="1"/>
      <c r="NMP27" s="1"/>
      <c r="NMQ27" s="1"/>
      <c r="NMR27" s="1"/>
      <c r="NMS27" s="1"/>
      <c r="NMT27" s="1"/>
      <c r="NMU27" s="1"/>
      <c r="NMV27" s="1"/>
      <c r="NMW27" s="1"/>
      <c r="NMX27" s="1"/>
      <c r="NMY27" s="1"/>
      <c r="NMZ27" s="1"/>
      <c r="NNA27" s="1"/>
      <c r="NNB27" s="1"/>
      <c r="NNC27" s="1"/>
      <c r="NND27" s="1"/>
      <c r="NNE27" s="1"/>
      <c r="NNF27" s="1"/>
      <c r="NNG27" s="1"/>
      <c r="NNH27" s="1"/>
      <c r="NNI27" s="1"/>
      <c r="NNJ27" s="1"/>
      <c r="NNK27" s="1"/>
      <c r="NNL27" s="1"/>
      <c r="NNM27" s="1"/>
      <c r="NNN27" s="1"/>
      <c r="NNO27" s="1"/>
      <c r="NNP27" s="1"/>
      <c r="NNQ27" s="1"/>
      <c r="NNR27" s="1"/>
      <c r="NNS27" s="1"/>
      <c r="NNT27" s="1"/>
      <c r="NNU27" s="1"/>
      <c r="NNV27" s="1"/>
      <c r="NNW27" s="1"/>
      <c r="NNX27" s="1"/>
      <c r="NNY27" s="1"/>
      <c r="NNZ27" s="1"/>
      <c r="NOA27" s="1"/>
      <c r="NOB27" s="1"/>
      <c r="NOC27" s="1"/>
      <c r="NOD27" s="1"/>
      <c r="NOE27" s="1"/>
      <c r="NOF27" s="1"/>
      <c r="NOG27" s="1"/>
      <c r="NOH27" s="1"/>
      <c r="NOI27" s="1"/>
      <c r="NOJ27" s="1"/>
      <c r="NOK27" s="1"/>
      <c r="NOL27" s="1"/>
      <c r="NOM27" s="1"/>
      <c r="NON27" s="1"/>
      <c r="NOO27" s="1"/>
      <c r="NOP27" s="1"/>
      <c r="NOQ27" s="1"/>
      <c r="NOR27" s="1"/>
      <c r="NOS27" s="1"/>
      <c r="NOT27" s="1"/>
      <c r="NOU27" s="1"/>
      <c r="NOV27" s="1"/>
      <c r="NOW27" s="1"/>
      <c r="NOX27" s="1"/>
      <c r="NOY27" s="1"/>
      <c r="NOZ27" s="1"/>
      <c r="NPA27" s="1"/>
      <c r="NPB27" s="1"/>
      <c r="NPC27" s="1"/>
      <c r="NPD27" s="1"/>
      <c r="NPE27" s="1"/>
      <c r="NPF27" s="1"/>
      <c r="NPG27" s="1"/>
      <c r="NPH27" s="1"/>
      <c r="NPI27" s="1"/>
      <c r="NPJ27" s="1"/>
      <c r="NPK27" s="1"/>
      <c r="NPL27" s="1"/>
      <c r="NPM27" s="1"/>
      <c r="NPN27" s="1"/>
      <c r="NPO27" s="1"/>
      <c r="NPP27" s="1"/>
      <c r="NPQ27" s="1"/>
      <c r="NPR27" s="1"/>
      <c r="NPS27" s="1"/>
      <c r="NPT27" s="1"/>
      <c r="NPU27" s="1"/>
      <c r="NPV27" s="1"/>
      <c r="NPW27" s="1"/>
      <c r="NPX27" s="1"/>
      <c r="NPY27" s="1"/>
      <c r="NPZ27" s="1"/>
      <c r="NQA27" s="1"/>
      <c r="NQB27" s="1"/>
      <c r="NQC27" s="1"/>
      <c r="NQD27" s="1"/>
      <c r="NQE27" s="1"/>
      <c r="NQF27" s="1"/>
      <c r="NQG27" s="1"/>
      <c r="NQH27" s="1"/>
      <c r="NQI27" s="1"/>
      <c r="NQJ27" s="1"/>
      <c r="NQK27" s="1"/>
      <c r="NQL27" s="1"/>
      <c r="NQM27" s="1"/>
      <c r="NQN27" s="1"/>
      <c r="NQO27" s="1"/>
      <c r="NQP27" s="1"/>
      <c r="NQQ27" s="1"/>
      <c r="NQR27" s="1"/>
      <c r="NQS27" s="1"/>
      <c r="NQT27" s="1"/>
      <c r="NQU27" s="1"/>
      <c r="NQV27" s="1"/>
      <c r="NQW27" s="1"/>
      <c r="NQX27" s="1"/>
      <c r="NQY27" s="1"/>
      <c r="NQZ27" s="1"/>
      <c r="NRA27" s="1"/>
      <c r="NRB27" s="1"/>
      <c r="NRC27" s="1"/>
      <c r="NRD27" s="1"/>
      <c r="NRE27" s="1"/>
      <c r="NRF27" s="1"/>
      <c r="NRG27" s="1"/>
      <c r="NRH27" s="1"/>
      <c r="NRI27" s="1"/>
      <c r="NRJ27" s="1"/>
      <c r="NRK27" s="1"/>
      <c r="NRL27" s="1"/>
      <c r="NRM27" s="1"/>
      <c r="NRN27" s="1"/>
      <c r="NRO27" s="1"/>
      <c r="NRP27" s="1"/>
      <c r="NRQ27" s="1"/>
      <c r="NRR27" s="1"/>
      <c r="NRS27" s="1"/>
      <c r="NRT27" s="1"/>
      <c r="NRU27" s="1"/>
      <c r="NRV27" s="1"/>
      <c r="NRW27" s="1"/>
      <c r="NRX27" s="1"/>
      <c r="NRY27" s="1"/>
      <c r="NRZ27" s="1"/>
      <c r="NSA27" s="1"/>
      <c r="NSB27" s="1"/>
      <c r="NSC27" s="1"/>
      <c r="NSD27" s="1"/>
      <c r="NSE27" s="1"/>
      <c r="NSF27" s="1"/>
      <c r="NSG27" s="1"/>
      <c r="NSH27" s="1"/>
      <c r="NSI27" s="1"/>
      <c r="NSJ27" s="1"/>
      <c r="NSK27" s="1"/>
      <c r="NSL27" s="1"/>
      <c r="NSM27" s="1"/>
      <c r="NSN27" s="1"/>
      <c r="NSO27" s="1"/>
      <c r="NSP27" s="1"/>
      <c r="NSQ27" s="1"/>
      <c r="NSR27" s="1"/>
      <c r="NSS27" s="1"/>
      <c r="NST27" s="1"/>
      <c r="NSU27" s="1"/>
      <c r="NSV27" s="1"/>
      <c r="NSW27" s="1"/>
      <c r="NSX27" s="1"/>
      <c r="NSY27" s="1"/>
      <c r="NSZ27" s="1"/>
      <c r="NTA27" s="1"/>
      <c r="NTB27" s="1"/>
      <c r="NTC27" s="1"/>
      <c r="NTD27" s="1"/>
      <c r="NTE27" s="1"/>
      <c r="NTF27" s="1"/>
      <c r="NTG27" s="1"/>
      <c r="NTH27" s="1"/>
      <c r="NTI27" s="1"/>
      <c r="NTJ27" s="1"/>
      <c r="NTK27" s="1"/>
      <c r="NTL27" s="1"/>
      <c r="NTM27" s="1"/>
      <c r="NTN27" s="1"/>
      <c r="NTO27" s="1"/>
      <c r="NTP27" s="1"/>
      <c r="NTQ27" s="1"/>
      <c r="NTR27" s="1"/>
      <c r="NTS27" s="1"/>
      <c r="NTT27" s="1"/>
      <c r="NTU27" s="1"/>
      <c r="NTV27" s="1"/>
      <c r="NTW27" s="1"/>
      <c r="NTX27" s="1"/>
      <c r="NTY27" s="1"/>
      <c r="NTZ27" s="1"/>
      <c r="NUA27" s="1"/>
      <c r="NUB27" s="1"/>
      <c r="NUC27" s="1"/>
      <c r="NUD27" s="1"/>
      <c r="NUE27" s="1"/>
      <c r="NUF27" s="1"/>
      <c r="NUG27" s="1"/>
      <c r="NUH27" s="1"/>
      <c r="NUI27" s="1"/>
      <c r="NUJ27" s="1"/>
      <c r="NUK27" s="1"/>
      <c r="NUL27" s="1"/>
      <c r="NUM27" s="1"/>
      <c r="NUN27" s="1"/>
      <c r="NUO27" s="1"/>
      <c r="NUP27" s="1"/>
      <c r="NUQ27" s="1"/>
      <c r="NUR27" s="1"/>
      <c r="NUS27" s="1"/>
      <c r="NUT27" s="1"/>
      <c r="NUU27" s="1"/>
      <c r="NUV27" s="1"/>
      <c r="NUW27" s="1"/>
      <c r="NUX27" s="1"/>
      <c r="NUY27" s="1"/>
      <c r="NUZ27" s="1"/>
      <c r="NVA27" s="1"/>
      <c r="NVB27" s="1"/>
      <c r="NVC27" s="1"/>
      <c r="NVD27" s="1"/>
      <c r="NVE27" s="1"/>
      <c r="NVF27" s="1"/>
      <c r="NVG27" s="1"/>
      <c r="NVH27" s="1"/>
      <c r="NVI27" s="1"/>
      <c r="NVJ27" s="1"/>
      <c r="NVK27" s="1"/>
      <c r="NVL27" s="1"/>
      <c r="NVM27" s="1"/>
      <c r="NVN27" s="1"/>
      <c r="NVO27" s="1"/>
      <c r="NVP27" s="1"/>
      <c r="NVQ27" s="1"/>
      <c r="NVR27" s="1"/>
      <c r="NVS27" s="1"/>
      <c r="NVT27" s="1"/>
      <c r="NVU27" s="1"/>
      <c r="NVV27" s="1"/>
      <c r="NVW27" s="1"/>
      <c r="NVX27" s="1"/>
      <c r="NVY27" s="1"/>
      <c r="NVZ27" s="1"/>
      <c r="NWA27" s="1"/>
      <c r="NWB27" s="1"/>
      <c r="NWC27" s="1"/>
      <c r="NWD27" s="1"/>
      <c r="NWE27" s="1"/>
      <c r="NWF27" s="1"/>
      <c r="NWG27" s="1"/>
      <c r="NWH27" s="1"/>
      <c r="NWI27" s="1"/>
      <c r="NWJ27" s="1"/>
      <c r="NWK27" s="1"/>
      <c r="NWL27" s="1"/>
      <c r="NWM27" s="1"/>
      <c r="NWN27" s="1"/>
      <c r="NWO27" s="1"/>
      <c r="NWP27" s="1"/>
      <c r="NWQ27" s="1"/>
      <c r="NWR27" s="1"/>
      <c r="NWS27" s="1"/>
      <c r="NWT27" s="1"/>
      <c r="NWU27" s="1"/>
      <c r="NWV27" s="1"/>
      <c r="NWW27" s="1"/>
      <c r="NWX27" s="1"/>
      <c r="NWY27" s="1"/>
      <c r="NWZ27" s="1"/>
      <c r="NXA27" s="1"/>
      <c r="NXB27" s="1"/>
      <c r="NXC27" s="1"/>
      <c r="NXD27" s="1"/>
      <c r="NXE27" s="1"/>
      <c r="NXF27" s="1"/>
      <c r="NXG27" s="1"/>
      <c r="NXH27" s="1"/>
      <c r="NXI27" s="1"/>
      <c r="NXJ27" s="1"/>
      <c r="NXK27" s="1"/>
      <c r="NXL27" s="1"/>
      <c r="NXM27" s="1"/>
      <c r="NXN27" s="1"/>
      <c r="NXO27" s="1"/>
      <c r="NXP27" s="1"/>
      <c r="NXQ27" s="1"/>
      <c r="NXR27" s="1"/>
      <c r="NXS27" s="1"/>
      <c r="NXT27" s="1"/>
      <c r="NXU27" s="1"/>
      <c r="NXV27" s="1"/>
      <c r="NXW27" s="1"/>
      <c r="NXX27" s="1"/>
      <c r="NXY27" s="1"/>
      <c r="NXZ27" s="1"/>
      <c r="NYA27" s="1"/>
      <c r="NYB27" s="1"/>
      <c r="NYC27" s="1"/>
      <c r="NYD27" s="1"/>
      <c r="NYE27" s="1"/>
      <c r="NYF27" s="1"/>
      <c r="NYG27" s="1"/>
      <c r="NYH27" s="1"/>
      <c r="NYI27" s="1"/>
      <c r="NYJ27" s="1"/>
      <c r="NYK27" s="1"/>
      <c r="NYL27" s="1"/>
      <c r="NYM27" s="1"/>
      <c r="NYN27" s="1"/>
      <c r="NYO27" s="1"/>
      <c r="NYP27" s="1"/>
      <c r="NYQ27" s="1"/>
      <c r="NYR27" s="1"/>
      <c r="NYS27" s="1"/>
      <c r="NYT27" s="1"/>
      <c r="NYU27" s="1"/>
      <c r="NYV27" s="1"/>
      <c r="NYW27" s="1"/>
      <c r="NYX27" s="1"/>
      <c r="NYY27" s="1"/>
      <c r="NYZ27" s="1"/>
      <c r="NZA27" s="1"/>
      <c r="NZB27" s="1"/>
      <c r="NZC27" s="1"/>
      <c r="NZD27" s="1"/>
      <c r="NZE27" s="1"/>
      <c r="NZF27" s="1"/>
      <c r="NZG27" s="1"/>
      <c r="NZH27" s="1"/>
      <c r="NZI27" s="1"/>
      <c r="NZJ27" s="1"/>
      <c r="NZK27" s="1"/>
      <c r="NZL27" s="1"/>
      <c r="NZM27" s="1"/>
      <c r="NZN27" s="1"/>
      <c r="NZO27" s="1"/>
      <c r="NZP27" s="1"/>
      <c r="NZQ27" s="1"/>
      <c r="NZR27" s="1"/>
      <c r="NZS27" s="1"/>
      <c r="NZT27" s="1"/>
      <c r="NZU27" s="1"/>
      <c r="NZV27" s="1"/>
      <c r="NZW27" s="1"/>
      <c r="NZX27" s="1"/>
      <c r="NZY27" s="1"/>
      <c r="NZZ27" s="1"/>
      <c r="OAA27" s="1"/>
      <c r="OAB27" s="1"/>
      <c r="OAC27" s="1"/>
      <c r="OAD27" s="1"/>
      <c r="OAE27" s="1"/>
      <c r="OAF27" s="1"/>
      <c r="OAG27" s="1"/>
      <c r="OAH27" s="1"/>
      <c r="OAI27" s="1"/>
      <c r="OAJ27" s="1"/>
      <c r="OAK27" s="1"/>
      <c r="OAL27" s="1"/>
      <c r="OAM27" s="1"/>
      <c r="OAN27" s="1"/>
      <c r="OAO27" s="1"/>
      <c r="OAP27" s="1"/>
      <c r="OAQ27" s="1"/>
      <c r="OAR27" s="1"/>
      <c r="OAS27" s="1"/>
      <c r="OAT27" s="1"/>
      <c r="OAU27" s="1"/>
      <c r="OAV27" s="1"/>
      <c r="OAW27" s="1"/>
      <c r="OAX27" s="1"/>
      <c r="OAY27" s="1"/>
      <c r="OAZ27" s="1"/>
      <c r="OBA27" s="1"/>
      <c r="OBB27" s="1"/>
      <c r="OBC27" s="1"/>
      <c r="OBD27" s="1"/>
      <c r="OBE27" s="1"/>
      <c r="OBF27" s="1"/>
      <c r="OBG27" s="1"/>
      <c r="OBH27" s="1"/>
      <c r="OBI27" s="1"/>
      <c r="OBJ27" s="1"/>
      <c r="OBK27" s="1"/>
      <c r="OBL27" s="1"/>
      <c r="OBM27" s="1"/>
      <c r="OBN27" s="1"/>
      <c r="OBO27" s="1"/>
      <c r="OBP27" s="1"/>
      <c r="OBQ27" s="1"/>
      <c r="OBR27" s="1"/>
      <c r="OBS27" s="1"/>
      <c r="OBT27" s="1"/>
      <c r="OBU27" s="1"/>
      <c r="OBV27" s="1"/>
      <c r="OBW27" s="1"/>
      <c r="OBX27" s="1"/>
      <c r="OBY27" s="1"/>
      <c r="OBZ27" s="1"/>
      <c r="OCA27" s="1"/>
      <c r="OCB27" s="1"/>
      <c r="OCC27" s="1"/>
      <c r="OCD27" s="1"/>
      <c r="OCE27" s="1"/>
      <c r="OCF27" s="1"/>
      <c r="OCG27" s="1"/>
      <c r="OCH27" s="1"/>
      <c r="OCI27" s="1"/>
      <c r="OCJ27" s="1"/>
      <c r="OCK27" s="1"/>
      <c r="OCL27" s="1"/>
      <c r="OCM27" s="1"/>
      <c r="OCN27" s="1"/>
      <c r="OCO27" s="1"/>
      <c r="OCP27" s="1"/>
      <c r="OCQ27" s="1"/>
      <c r="OCR27" s="1"/>
      <c r="OCS27" s="1"/>
      <c r="OCT27" s="1"/>
      <c r="OCU27" s="1"/>
      <c r="OCV27" s="1"/>
      <c r="OCW27" s="1"/>
      <c r="OCX27" s="1"/>
      <c r="OCY27" s="1"/>
      <c r="OCZ27" s="1"/>
      <c r="ODA27" s="1"/>
      <c r="ODB27" s="1"/>
      <c r="ODC27" s="1"/>
      <c r="ODD27" s="1"/>
      <c r="ODE27" s="1"/>
      <c r="ODF27" s="1"/>
      <c r="ODG27" s="1"/>
      <c r="ODH27" s="1"/>
      <c r="ODI27" s="1"/>
      <c r="ODJ27" s="1"/>
      <c r="ODK27" s="1"/>
      <c r="ODL27" s="1"/>
      <c r="ODM27" s="1"/>
      <c r="ODN27" s="1"/>
      <c r="ODO27" s="1"/>
      <c r="ODP27" s="1"/>
      <c r="ODQ27" s="1"/>
      <c r="ODR27" s="1"/>
      <c r="ODS27" s="1"/>
      <c r="ODT27" s="1"/>
      <c r="ODU27" s="1"/>
      <c r="ODV27" s="1"/>
      <c r="ODW27" s="1"/>
      <c r="ODX27" s="1"/>
      <c r="ODY27" s="1"/>
      <c r="ODZ27" s="1"/>
      <c r="OEA27" s="1"/>
      <c r="OEB27" s="1"/>
      <c r="OEC27" s="1"/>
      <c r="OED27" s="1"/>
      <c r="OEE27" s="1"/>
      <c r="OEF27" s="1"/>
      <c r="OEG27" s="1"/>
      <c r="OEH27" s="1"/>
      <c r="OEI27" s="1"/>
      <c r="OEJ27" s="1"/>
      <c r="OEK27" s="1"/>
      <c r="OEL27" s="1"/>
      <c r="OEM27" s="1"/>
      <c r="OEN27" s="1"/>
      <c r="OEO27" s="1"/>
      <c r="OEP27" s="1"/>
      <c r="OEQ27" s="1"/>
      <c r="OER27" s="1"/>
      <c r="OES27" s="1"/>
      <c r="OET27" s="1"/>
      <c r="OEU27" s="1"/>
      <c r="OEV27" s="1"/>
      <c r="OEW27" s="1"/>
      <c r="OEX27" s="1"/>
      <c r="OEY27" s="1"/>
      <c r="OEZ27" s="1"/>
      <c r="OFA27" s="1"/>
      <c r="OFB27" s="1"/>
      <c r="OFC27" s="1"/>
      <c r="OFD27" s="1"/>
      <c r="OFE27" s="1"/>
      <c r="OFF27" s="1"/>
      <c r="OFG27" s="1"/>
      <c r="OFH27" s="1"/>
      <c r="OFI27" s="1"/>
      <c r="OFJ27" s="1"/>
      <c r="OFK27" s="1"/>
      <c r="OFL27" s="1"/>
      <c r="OFM27" s="1"/>
      <c r="OFN27" s="1"/>
      <c r="OFO27" s="1"/>
      <c r="OFP27" s="1"/>
      <c r="OFQ27" s="1"/>
      <c r="OFR27" s="1"/>
      <c r="OFS27" s="1"/>
      <c r="OFT27" s="1"/>
      <c r="OFU27" s="1"/>
      <c r="OFV27" s="1"/>
      <c r="OFW27" s="1"/>
      <c r="OFX27" s="1"/>
      <c r="OFY27" s="1"/>
      <c r="OFZ27" s="1"/>
      <c r="OGA27" s="1"/>
      <c r="OGB27" s="1"/>
      <c r="OGC27" s="1"/>
      <c r="OGD27" s="1"/>
      <c r="OGE27" s="1"/>
      <c r="OGF27" s="1"/>
      <c r="OGG27" s="1"/>
      <c r="OGH27" s="1"/>
      <c r="OGI27" s="1"/>
      <c r="OGJ27" s="1"/>
      <c r="OGK27" s="1"/>
      <c r="OGL27" s="1"/>
      <c r="OGM27" s="1"/>
      <c r="OGN27" s="1"/>
      <c r="OGO27" s="1"/>
      <c r="OGP27" s="1"/>
      <c r="OGQ27" s="1"/>
      <c r="OGR27" s="1"/>
      <c r="OGS27" s="1"/>
      <c r="OGT27" s="1"/>
      <c r="OGU27" s="1"/>
      <c r="OGV27" s="1"/>
      <c r="OGW27" s="1"/>
      <c r="OGX27" s="1"/>
      <c r="OGY27" s="1"/>
      <c r="OGZ27" s="1"/>
      <c r="OHA27" s="1"/>
      <c r="OHB27" s="1"/>
      <c r="OHC27" s="1"/>
      <c r="OHD27" s="1"/>
      <c r="OHE27" s="1"/>
      <c r="OHF27" s="1"/>
      <c r="OHG27" s="1"/>
      <c r="OHH27" s="1"/>
      <c r="OHI27" s="1"/>
      <c r="OHJ27" s="1"/>
      <c r="OHK27" s="1"/>
      <c r="OHL27" s="1"/>
      <c r="OHM27" s="1"/>
      <c r="OHN27" s="1"/>
      <c r="OHO27" s="1"/>
      <c r="OHP27" s="1"/>
      <c r="OHQ27" s="1"/>
      <c r="OHR27" s="1"/>
      <c r="OHS27" s="1"/>
      <c r="OHT27" s="1"/>
      <c r="OHU27" s="1"/>
      <c r="OHV27" s="1"/>
      <c r="OHW27" s="1"/>
      <c r="OHX27" s="1"/>
      <c r="OHY27" s="1"/>
      <c r="OHZ27" s="1"/>
      <c r="OIA27" s="1"/>
      <c r="OIB27" s="1"/>
      <c r="OIC27" s="1"/>
      <c r="OID27" s="1"/>
      <c r="OIE27" s="1"/>
      <c r="OIF27" s="1"/>
      <c r="OIG27" s="1"/>
      <c r="OIH27" s="1"/>
      <c r="OII27" s="1"/>
      <c r="OIJ27" s="1"/>
      <c r="OIK27" s="1"/>
      <c r="OIL27" s="1"/>
      <c r="OIM27" s="1"/>
      <c r="OIN27" s="1"/>
      <c r="OIO27" s="1"/>
      <c r="OIP27" s="1"/>
      <c r="OIQ27" s="1"/>
      <c r="OIR27" s="1"/>
      <c r="OIS27" s="1"/>
      <c r="OIT27" s="1"/>
      <c r="OIU27" s="1"/>
      <c r="OIV27" s="1"/>
      <c r="OIW27" s="1"/>
      <c r="OIX27" s="1"/>
      <c r="OIY27" s="1"/>
      <c r="OIZ27" s="1"/>
      <c r="OJA27" s="1"/>
      <c r="OJB27" s="1"/>
      <c r="OJC27" s="1"/>
      <c r="OJD27" s="1"/>
      <c r="OJE27" s="1"/>
      <c r="OJF27" s="1"/>
      <c r="OJG27" s="1"/>
      <c r="OJH27" s="1"/>
      <c r="OJI27" s="1"/>
      <c r="OJJ27" s="1"/>
      <c r="OJK27" s="1"/>
      <c r="OJL27" s="1"/>
      <c r="OJM27" s="1"/>
      <c r="OJN27" s="1"/>
      <c r="OJO27" s="1"/>
      <c r="OJP27" s="1"/>
      <c r="OJQ27" s="1"/>
      <c r="OJR27" s="1"/>
      <c r="OJS27" s="1"/>
      <c r="OJT27" s="1"/>
      <c r="OJU27" s="1"/>
      <c r="OJV27" s="1"/>
      <c r="OJW27" s="1"/>
      <c r="OJX27" s="1"/>
      <c r="OJY27" s="1"/>
      <c r="OJZ27" s="1"/>
      <c r="OKA27" s="1"/>
      <c r="OKB27" s="1"/>
      <c r="OKC27" s="1"/>
      <c r="OKD27" s="1"/>
      <c r="OKE27" s="1"/>
      <c r="OKF27" s="1"/>
      <c r="OKG27" s="1"/>
      <c r="OKH27" s="1"/>
      <c r="OKI27" s="1"/>
      <c r="OKJ27" s="1"/>
      <c r="OKK27" s="1"/>
      <c r="OKL27" s="1"/>
      <c r="OKM27" s="1"/>
      <c r="OKN27" s="1"/>
      <c r="OKO27" s="1"/>
      <c r="OKP27" s="1"/>
      <c r="OKQ27" s="1"/>
      <c r="OKR27" s="1"/>
      <c r="OKS27" s="1"/>
      <c r="OKT27" s="1"/>
      <c r="OKU27" s="1"/>
      <c r="OKV27" s="1"/>
      <c r="OKW27" s="1"/>
      <c r="OKX27" s="1"/>
      <c r="OKY27" s="1"/>
      <c r="OKZ27" s="1"/>
      <c r="OLA27" s="1"/>
      <c r="OLB27" s="1"/>
      <c r="OLC27" s="1"/>
      <c r="OLD27" s="1"/>
      <c r="OLE27" s="1"/>
      <c r="OLF27" s="1"/>
      <c r="OLG27" s="1"/>
      <c r="OLH27" s="1"/>
      <c r="OLI27" s="1"/>
      <c r="OLJ27" s="1"/>
      <c r="OLK27" s="1"/>
      <c r="OLL27" s="1"/>
      <c r="OLM27" s="1"/>
      <c r="OLN27" s="1"/>
      <c r="OLO27" s="1"/>
      <c r="OLP27" s="1"/>
      <c r="OLQ27" s="1"/>
      <c r="OLR27" s="1"/>
      <c r="OLS27" s="1"/>
      <c r="OLT27" s="1"/>
      <c r="OLU27" s="1"/>
      <c r="OLV27" s="1"/>
      <c r="OLW27" s="1"/>
      <c r="OLX27" s="1"/>
      <c r="OLY27" s="1"/>
      <c r="OLZ27" s="1"/>
      <c r="OMA27" s="1"/>
      <c r="OMB27" s="1"/>
      <c r="OMC27" s="1"/>
      <c r="OMD27" s="1"/>
      <c r="OME27" s="1"/>
      <c r="OMF27" s="1"/>
      <c r="OMG27" s="1"/>
      <c r="OMH27" s="1"/>
      <c r="OMI27" s="1"/>
      <c r="OMJ27" s="1"/>
      <c r="OMK27" s="1"/>
      <c r="OML27" s="1"/>
      <c r="OMM27" s="1"/>
      <c r="OMN27" s="1"/>
      <c r="OMO27" s="1"/>
      <c r="OMP27" s="1"/>
      <c r="OMQ27" s="1"/>
      <c r="OMR27" s="1"/>
      <c r="OMS27" s="1"/>
      <c r="OMT27" s="1"/>
      <c r="OMU27" s="1"/>
      <c r="OMV27" s="1"/>
      <c r="OMW27" s="1"/>
      <c r="OMX27" s="1"/>
      <c r="OMY27" s="1"/>
      <c r="OMZ27" s="1"/>
      <c r="ONA27" s="1"/>
      <c r="ONB27" s="1"/>
      <c r="ONC27" s="1"/>
      <c r="OND27" s="1"/>
      <c r="ONE27" s="1"/>
      <c r="ONF27" s="1"/>
      <c r="ONG27" s="1"/>
      <c r="ONH27" s="1"/>
      <c r="ONI27" s="1"/>
      <c r="ONJ27" s="1"/>
      <c r="ONK27" s="1"/>
      <c r="ONL27" s="1"/>
      <c r="ONM27" s="1"/>
      <c r="ONN27" s="1"/>
      <c r="ONO27" s="1"/>
      <c r="ONP27" s="1"/>
      <c r="ONQ27" s="1"/>
      <c r="ONR27" s="1"/>
      <c r="ONS27" s="1"/>
      <c r="ONT27" s="1"/>
      <c r="ONU27" s="1"/>
      <c r="ONV27" s="1"/>
      <c r="ONW27" s="1"/>
      <c r="ONX27" s="1"/>
      <c r="ONY27" s="1"/>
      <c r="ONZ27" s="1"/>
      <c r="OOA27" s="1"/>
      <c r="OOB27" s="1"/>
      <c r="OOC27" s="1"/>
      <c r="OOD27" s="1"/>
      <c r="OOE27" s="1"/>
      <c r="OOF27" s="1"/>
      <c r="OOG27" s="1"/>
      <c r="OOH27" s="1"/>
      <c r="OOI27" s="1"/>
      <c r="OOJ27" s="1"/>
      <c r="OOK27" s="1"/>
      <c r="OOL27" s="1"/>
      <c r="OOM27" s="1"/>
      <c r="OON27" s="1"/>
      <c r="OOO27" s="1"/>
      <c r="OOP27" s="1"/>
      <c r="OOQ27" s="1"/>
      <c r="OOR27" s="1"/>
      <c r="OOS27" s="1"/>
      <c r="OOT27" s="1"/>
      <c r="OOU27" s="1"/>
      <c r="OOV27" s="1"/>
      <c r="OOW27" s="1"/>
      <c r="OOX27" s="1"/>
      <c r="OOY27" s="1"/>
      <c r="OOZ27" s="1"/>
      <c r="OPA27" s="1"/>
      <c r="OPB27" s="1"/>
      <c r="OPC27" s="1"/>
      <c r="OPD27" s="1"/>
      <c r="OPE27" s="1"/>
      <c r="OPF27" s="1"/>
      <c r="OPG27" s="1"/>
      <c r="OPH27" s="1"/>
      <c r="OPI27" s="1"/>
      <c r="OPJ27" s="1"/>
      <c r="OPK27" s="1"/>
      <c r="OPL27" s="1"/>
      <c r="OPM27" s="1"/>
      <c r="OPN27" s="1"/>
      <c r="OPO27" s="1"/>
      <c r="OPP27" s="1"/>
      <c r="OPQ27" s="1"/>
      <c r="OPR27" s="1"/>
      <c r="OPS27" s="1"/>
      <c r="OPT27" s="1"/>
      <c r="OPU27" s="1"/>
      <c r="OPV27" s="1"/>
      <c r="OPW27" s="1"/>
      <c r="OPX27" s="1"/>
      <c r="OPY27" s="1"/>
      <c r="OPZ27" s="1"/>
      <c r="OQA27" s="1"/>
      <c r="OQB27" s="1"/>
      <c r="OQC27" s="1"/>
      <c r="OQD27" s="1"/>
      <c r="OQE27" s="1"/>
      <c r="OQF27" s="1"/>
      <c r="OQG27" s="1"/>
      <c r="OQH27" s="1"/>
      <c r="OQI27" s="1"/>
      <c r="OQJ27" s="1"/>
      <c r="OQK27" s="1"/>
      <c r="OQL27" s="1"/>
      <c r="OQM27" s="1"/>
      <c r="OQN27" s="1"/>
      <c r="OQO27" s="1"/>
      <c r="OQP27" s="1"/>
      <c r="OQQ27" s="1"/>
      <c r="OQR27" s="1"/>
      <c r="OQS27" s="1"/>
      <c r="OQT27" s="1"/>
      <c r="OQU27" s="1"/>
      <c r="OQV27" s="1"/>
      <c r="OQW27" s="1"/>
      <c r="OQX27" s="1"/>
      <c r="OQY27" s="1"/>
      <c r="OQZ27" s="1"/>
      <c r="ORA27" s="1"/>
      <c r="ORB27" s="1"/>
      <c r="ORC27" s="1"/>
      <c r="ORD27" s="1"/>
      <c r="ORE27" s="1"/>
      <c r="ORF27" s="1"/>
      <c r="ORG27" s="1"/>
      <c r="ORH27" s="1"/>
      <c r="ORI27" s="1"/>
      <c r="ORJ27" s="1"/>
      <c r="ORK27" s="1"/>
      <c r="ORL27" s="1"/>
      <c r="ORM27" s="1"/>
      <c r="ORN27" s="1"/>
      <c r="ORO27" s="1"/>
      <c r="ORP27" s="1"/>
      <c r="ORQ27" s="1"/>
      <c r="ORR27" s="1"/>
      <c r="ORS27" s="1"/>
      <c r="ORT27" s="1"/>
      <c r="ORU27" s="1"/>
      <c r="ORV27" s="1"/>
      <c r="ORW27" s="1"/>
      <c r="ORX27" s="1"/>
      <c r="ORY27" s="1"/>
      <c r="ORZ27" s="1"/>
      <c r="OSA27" s="1"/>
      <c r="OSB27" s="1"/>
      <c r="OSC27" s="1"/>
      <c r="OSD27" s="1"/>
      <c r="OSE27" s="1"/>
      <c r="OSF27" s="1"/>
      <c r="OSG27" s="1"/>
      <c r="OSH27" s="1"/>
      <c r="OSI27" s="1"/>
      <c r="OSJ27" s="1"/>
      <c r="OSK27" s="1"/>
      <c r="OSL27" s="1"/>
      <c r="OSM27" s="1"/>
      <c r="OSN27" s="1"/>
      <c r="OSO27" s="1"/>
      <c r="OSP27" s="1"/>
      <c r="OSQ27" s="1"/>
      <c r="OSR27" s="1"/>
      <c r="OSS27" s="1"/>
      <c r="OST27" s="1"/>
      <c r="OSU27" s="1"/>
      <c r="OSV27" s="1"/>
      <c r="OSW27" s="1"/>
      <c r="OSX27" s="1"/>
      <c r="OSY27" s="1"/>
      <c r="OSZ27" s="1"/>
      <c r="OTA27" s="1"/>
      <c r="OTB27" s="1"/>
      <c r="OTC27" s="1"/>
      <c r="OTD27" s="1"/>
      <c r="OTE27" s="1"/>
      <c r="OTF27" s="1"/>
      <c r="OTG27" s="1"/>
      <c r="OTH27" s="1"/>
      <c r="OTI27" s="1"/>
      <c r="OTJ27" s="1"/>
      <c r="OTK27" s="1"/>
      <c r="OTL27" s="1"/>
      <c r="OTM27" s="1"/>
      <c r="OTN27" s="1"/>
      <c r="OTO27" s="1"/>
      <c r="OTP27" s="1"/>
      <c r="OTQ27" s="1"/>
      <c r="OTR27" s="1"/>
      <c r="OTS27" s="1"/>
      <c r="OTT27" s="1"/>
      <c r="OTU27" s="1"/>
      <c r="OTV27" s="1"/>
      <c r="OTW27" s="1"/>
      <c r="OTX27" s="1"/>
      <c r="OTY27" s="1"/>
      <c r="OTZ27" s="1"/>
      <c r="OUA27" s="1"/>
      <c r="OUB27" s="1"/>
      <c r="OUC27" s="1"/>
      <c r="OUD27" s="1"/>
      <c r="OUE27" s="1"/>
      <c r="OUF27" s="1"/>
      <c r="OUG27" s="1"/>
      <c r="OUH27" s="1"/>
      <c r="OUI27" s="1"/>
      <c r="OUJ27" s="1"/>
      <c r="OUK27" s="1"/>
      <c r="OUL27" s="1"/>
      <c r="OUM27" s="1"/>
      <c r="OUN27" s="1"/>
      <c r="OUO27" s="1"/>
      <c r="OUP27" s="1"/>
      <c r="OUQ27" s="1"/>
      <c r="OUR27" s="1"/>
      <c r="OUS27" s="1"/>
      <c r="OUT27" s="1"/>
      <c r="OUU27" s="1"/>
      <c r="OUV27" s="1"/>
      <c r="OUW27" s="1"/>
      <c r="OUX27" s="1"/>
      <c r="OUY27" s="1"/>
      <c r="OUZ27" s="1"/>
      <c r="OVA27" s="1"/>
      <c r="OVB27" s="1"/>
      <c r="OVC27" s="1"/>
      <c r="OVD27" s="1"/>
      <c r="OVE27" s="1"/>
      <c r="OVF27" s="1"/>
      <c r="OVG27" s="1"/>
      <c r="OVH27" s="1"/>
      <c r="OVI27" s="1"/>
      <c r="OVJ27" s="1"/>
      <c r="OVK27" s="1"/>
      <c r="OVL27" s="1"/>
      <c r="OVM27" s="1"/>
      <c r="OVN27" s="1"/>
      <c r="OVO27" s="1"/>
      <c r="OVP27" s="1"/>
      <c r="OVQ27" s="1"/>
      <c r="OVR27" s="1"/>
      <c r="OVS27" s="1"/>
      <c r="OVT27" s="1"/>
      <c r="OVU27" s="1"/>
      <c r="OVV27" s="1"/>
      <c r="OVW27" s="1"/>
      <c r="OVX27" s="1"/>
      <c r="OVY27" s="1"/>
      <c r="OVZ27" s="1"/>
      <c r="OWA27" s="1"/>
      <c r="OWB27" s="1"/>
      <c r="OWC27" s="1"/>
      <c r="OWD27" s="1"/>
      <c r="OWE27" s="1"/>
      <c r="OWF27" s="1"/>
      <c r="OWG27" s="1"/>
      <c r="OWH27" s="1"/>
      <c r="OWI27" s="1"/>
      <c r="OWJ27" s="1"/>
      <c r="OWK27" s="1"/>
      <c r="OWL27" s="1"/>
      <c r="OWM27" s="1"/>
      <c r="OWN27" s="1"/>
      <c r="OWO27" s="1"/>
      <c r="OWP27" s="1"/>
      <c r="OWQ27" s="1"/>
      <c r="OWR27" s="1"/>
      <c r="OWS27" s="1"/>
      <c r="OWT27" s="1"/>
      <c r="OWU27" s="1"/>
      <c r="OWV27" s="1"/>
      <c r="OWW27" s="1"/>
      <c r="OWX27" s="1"/>
      <c r="OWY27" s="1"/>
      <c r="OWZ27" s="1"/>
      <c r="OXA27" s="1"/>
      <c r="OXB27" s="1"/>
      <c r="OXC27" s="1"/>
      <c r="OXD27" s="1"/>
      <c r="OXE27" s="1"/>
      <c r="OXF27" s="1"/>
      <c r="OXG27" s="1"/>
      <c r="OXH27" s="1"/>
      <c r="OXI27" s="1"/>
      <c r="OXJ27" s="1"/>
      <c r="OXK27" s="1"/>
      <c r="OXL27" s="1"/>
      <c r="OXM27" s="1"/>
      <c r="OXN27" s="1"/>
      <c r="OXO27" s="1"/>
      <c r="OXP27" s="1"/>
      <c r="OXQ27" s="1"/>
      <c r="OXR27" s="1"/>
      <c r="OXS27" s="1"/>
      <c r="OXT27" s="1"/>
      <c r="OXU27" s="1"/>
      <c r="OXV27" s="1"/>
      <c r="OXW27" s="1"/>
      <c r="OXX27" s="1"/>
      <c r="OXY27" s="1"/>
      <c r="OXZ27" s="1"/>
      <c r="OYA27" s="1"/>
      <c r="OYB27" s="1"/>
      <c r="OYC27" s="1"/>
      <c r="OYD27" s="1"/>
      <c r="OYE27" s="1"/>
      <c r="OYF27" s="1"/>
      <c r="OYG27" s="1"/>
      <c r="OYH27" s="1"/>
      <c r="OYI27" s="1"/>
      <c r="OYJ27" s="1"/>
      <c r="OYK27" s="1"/>
      <c r="OYL27" s="1"/>
      <c r="OYM27" s="1"/>
      <c r="OYN27" s="1"/>
      <c r="OYO27" s="1"/>
      <c r="OYP27" s="1"/>
      <c r="OYQ27" s="1"/>
      <c r="OYR27" s="1"/>
      <c r="OYS27" s="1"/>
      <c r="OYT27" s="1"/>
      <c r="OYU27" s="1"/>
      <c r="OYV27" s="1"/>
      <c r="OYW27" s="1"/>
      <c r="OYX27" s="1"/>
      <c r="OYY27" s="1"/>
      <c r="OYZ27" s="1"/>
      <c r="OZA27" s="1"/>
      <c r="OZB27" s="1"/>
      <c r="OZC27" s="1"/>
      <c r="OZD27" s="1"/>
      <c r="OZE27" s="1"/>
      <c r="OZF27" s="1"/>
      <c r="OZG27" s="1"/>
      <c r="OZH27" s="1"/>
      <c r="OZI27" s="1"/>
      <c r="OZJ27" s="1"/>
      <c r="OZK27" s="1"/>
      <c r="OZL27" s="1"/>
      <c r="OZM27" s="1"/>
      <c r="OZN27" s="1"/>
      <c r="OZO27" s="1"/>
      <c r="OZP27" s="1"/>
      <c r="OZQ27" s="1"/>
      <c r="OZR27" s="1"/>
      <c r="OZS27" s="1"/>
      <c r="OZT27" s="1"/>
      <c r="OZU27" s="1"/>
      <c r="OZV27" s="1"/>
      <c r="OZW27" s="1"/>
      <c r="OZX27" s="1"/>
      <c r="OZY27" s="1"/>
      <c r="OZZ27" s="1"/>
      <c r="PAA27" s="1"/>
      <c r="PAB27" s="1"/>
      <c r="PAC27" s="1"/>
      <c r="PAD27" s="1"/>
      <c r="PAE27" s="1"/>
      <c r="PAF27" s="1"/>
      <c r="PAG27" s="1"/>
      <c r="PAH27" s="1"/>
      <c r="PAI27" s="1"/>
      <c r="PAJ27" s="1"/>
      <c r="PAK27" s="1"/>
      <c r="PAL27" s="1"/>
      <c r="PAM27" s="1"/>
      <c r="PAN27" s="1"/>
      <c r="PAO27" s="1"/>
      <c r="PAP27" s="1"/>
      <c r="PAQ27" s="1"/>
      <c r="PAR27" s="1"/>
      <c r="PAS27" s="1"/>
      <c r="PAT27" s="1"/>
      <c r="PAU27" s="1"/>
      <c r="PAV27" s="1"/>
      <c r="PAW27" s="1"/>
      <c r="PAX27" s="1"/>
      <c r="PAY27" s="1"/>
      <c r="PAZ27" s="1"/>
      <c r="PBA27" s="1"/>
      <c r="PBB27" s="1"/>
      <c r="PBC27" s="1"/>
      <c r="PBD27" s="1"/>
      <c r="PBE27" s="1"/>
      <c r="PBF27" s="1"/>
      <c r="PBG27" s="1"/>
      <c r="PBH27" s="1"/>
      <c r="PBI27" s="1"/>
      <c r="PBJ27" s="1"/>
      <c r="PBK27" s="1"/>
      <c r="PBL27" s="1"/>
      <c r="PBM27" s="1"/>
      <c r="PBN27" s="1"/>
      <c r="PBO27" s="1"/>
      <c r="PBP27" s="1"/>
      <c r="PBQ27" s="1"/>
      <c r="PBR27" s="1"/>
      <c r="PBS27" s="1"/>
      <c r="PBT27" s="1"/>
      <c r="PBU27" s="1"/>
      <c r="PBV27" s="1"/>
      <c r="PBW27" s="1"/>
      <c r="PBX27" s="1"/>
      <c r="PBY27" s="1"/>
      <c r="PBZ27" s="1"/>
      <c r="PCA27" s="1"/>
      <c r="PCB27" s="1"/>
      <c r="PCC27" s="1"/>
      <c r="PCD27" s="1"/>
      <c r="PCE27" s="1"/>
      <c r="PCF27" s="1"/>
      <c r="PCG27" s="1"/>
      <c r="PCH27" s="1"/>
      <c r="PCI27" s="1"/>
      <c r="PCJ27" s="1"/>
      <c r="PCK27" s="1"/>
      <c r="PCL27" s="1"/>
      <c r="PCM27" s="1"/>
      <c r="PCN27" s="1"/>
      <c r="PCO27" s="1"/>
      <c r="PCP27" s="1"/>
      <c r="PCQ27" s="1"/>
      <c r="PCR27" s="1"/>
      <c r="PCS27" s="1"/>
      <c r="PCT27" s="1"/>
      <c r="PCU27" s="1"/>
      <c r="PCV27" s="1"/>
      <c r="PCW27" s="1"/>
      <c r="PCX27" s="1"/>
      <c r="PCY27" s="1"/>
      <c r="PCZ27" s="1"/>
      <c r="PDA27" s="1"/>
      <c r="PDB27" s="1"/>
      <c r="PDC27" s="1"/>
      <c r="PDD27" s="1"/>
      <c r="PDE27" s="1"/>
      <c r="PDF27" s="1"/>
      <c r="PDG27" s="1"/>
      <c r="PDH27" s="1"/>
      <c r="PDI27" s="1"/>
      <c r="PDJ27" s="1"/>
      <c r="PDK27" s="1"/>
      <c r="PDL27" s="1"/>
      <c r="PDM27" s="1"/>
      <c r="PDN27" s="1"/>
      <c r="PDO27" s="1"/>
      <c r="PDP27" s="1"/>
      <c r="PDQ27" s="1"/>
      <c r="PDR27" s="1"/>
      <c r="PDS27" s="1"/>
      <c r="PDT27" s="1"/>
      <c r="PDU27" s="1"/>
      <c r="PDV27" s="1"/>
      <c r="PDW27" s="1"/>
      <c r="PDX27" s="1"/>
      <c r="PDY27" s="1"/>
      <c r="PDZ27" s="1"/>
      <c r="PEA27" s="1"/>
      <c r="PEB27" s="1"/>
      <c r="PEC27" s="1"/>
      <c r="PED27" s="1"/>
      <c r="PEE27" s="1"/>
      <c r="PEF27" s="1"/>
      <c r="PEG27" s="1"/>
      <c r="PEH27" s="1"/>
      <c r="PEI27" s="1"/>
      <c r="PEJ27" s="1"/>
      <c r="PEK27" s="1"/>
      <c r="PEL27" s="1"/>
      <c r="PEM27" s="1"/>
      <c r="PEN27" s="1"/>
      <c r="PEO27" s="1"/>
      <c r="PEP27" s="1"/>
      <c r="PEQ27" s="1"/>
      <c r="PER27" s="1"/>
      <c r="PES27" s="1"/>
      <c r="PET27" s="1"/>
      <c r="PEU27" s="1"/>
      <c r="PEV27" s="1"/>
      <c r="PEW27" s="1"/>
      <c r="PEX27" s="1"/>
      <c r="PEY27" s="1"/>
      <c r="PEZ27" s="1"/>
      <c r="PFA27" s="1"/>
      <c r="PFB27" s="1"/>
      <c r="PFC27" s="1"/>
      <c r="PFD27" s="1"/>
      <c r="PFE27" s="1"/>
      <c r="PFF27" s="1"/>
      <c r="PFG27" s="1"/>
      <c r="PFH27" s="1"/>
      <c r="PFI27" s="1"/>
      <c r="PFJ27" s="1"/>
      <c r="PFK27" s="1"/>
      <c r="PFL27" s="1"/>
      <c r="PFM27" s="1"/>
      <c r="PFN27" s="1"/>
      <c r="PFO27" s="1"/>
      <c r="PFP27" s="1"/>
      <c r="PFQ27" s="1"/>
      <c r="PFR27" s="1"/>
      <c r="PFS27" s="1"/>
      <c r="PFT27" s="1"/>
      <c r="PFU27" s="1"/>
      <c r="PFV27" s="1"/>
      <c r="PFW27" s="1"/>
      <c r="PFX27" s="1"/>
      <c r="PFY27" s="1"/>
      <c r="PFZ27" s="1"/>
      <c r="PGA27" s="1"/>
      <c r="PGB27" s="1"/>
      <c r="PGC27" s="1"/>
      <c r="PGD27" s="1"/>
      <c r="PGE27" s="1"/>
      <c r="PGF27" s="1"/>
      <c r="PGG27" s="1"/>
      <c r="PGH27" s="1"/>
      <c r="PGI27" s="1"/>
      <c r="PGJ27" s="1"/>
      <c r="PGK27" s="1"/>
      <c r="PGL27" s="1"/>
      <c r="PGM27" s="1"/>
      <c r="PGN27" s="1"/>
      <c r="PGO27" s="1"/>
      <c r="PGP27" s="1"/>
      <c r="PGQ27" s="1"/>
      <c r="PGR27" s="1"/>
      <c r="PGS27" s="1"/>
      <c r="PGT27" s="1"/>
      <c r="PGU27" s="1"/>
      <c r="PGV27" s="1"/>
      <c r="PGW27" s="1"/>
      <c r="PGX27" s="1"/>
      <c r="PGY27" s="1"/>
      <c r="PGZ27" s="1"/>
      <c r="PHA27" s="1"/>
      <c r="PHB27" s="1"/>
      <c r="PHC27" s="1"/>
      <c r="PHD27" s="1"/>
      <c r="PHE27" s="1"/>
      <c r="PHF27" s="1"/>
      <c r="PHG27" s="1"/>
      <c r="PHH27" s="1"/>
      <c r="PHI27" s="1"/>
      <c r="PHJ27" s="1"/>
      <c r="PHK27" s="1"/>
      <c r="PHL27" s="1"/>
      <c r="PHM27" s="1"/>
      <c r="PHN27" s="1"/>
      <c r="PHO27" s="1"/>
      <c r="PHP27" s="1"/>
      <c r="PHQ27" s="1"/>
      <c r="PHR27" s="1"/>
      <c r="PHS27" s="1"/>
      <c r="PHT27" s="1"/>
      <c r="PHU27" s="1"/>
      <c r="PHV27" s="1"/>
      <c r="PHW27" s="1"/>
      <c r="PHX27" s="1"/>
      <c r="PHY27" s="1"/>
      <c r="PHZ27" s="1"/>
      <c r="PIA27" s="1"/>
      <c r="PIB27" s="1"/>
      <c r="PIC27" s="1"/>
      <c r="PID27" s="1"/>
      <c r="PIE27" s="1"/>
      <c r="PIF27" s="1"/>
      <c r="PIG27" s="1"/>
      <c r="PIH27" s="1"/>
      <c r="PII27" s="1"/>
      <c r="PIJ27" s="1"/>
      <c r="PIK27" s="1"/>
      <c r="PIL27" s="1"/>
      <c r="PIM27" s="1"/>
      <c r="PIN27" s="1"/>
      <c r="PIO27" s="1"/>
      <c r="PIP27" s="1"/>
      <c r="PIQ27" s="1"/>
      <c r="PIR27" s="1"/>
      <c r="PIS27" s="1"/>
      <c r="PIT27" s="1"/>
      <c r="PIU27" s="1"/>
      <c r="PIV27" s="1"/>
      <c r="PIW27" s="1"/>
      <c r="PIX27" s="1"/>
      <c r="PIY27" s="1"/>
      <c r="PIZ27" s="1"/>
      <c r="PJA27" s="1"/>
      <c r="PJB27" s="1"/>
      <c r="PJC27" s="1"/>
      <c r="PJD27" s="1"/>
      <c r="PJE27" s="1"/>
      <c r="PJF27" s="1"/>
      <c r="PJG27" s="1"/>
      <c r="PJH27" s="1"/>
      <c r="PJI27" s="1"/>
      <c r="PJJ27" s="1"/>
      <c r="PJK27" s="1"/>
      <c r="PJL27" s="1"/>
      <c r="PJM27" s="1"/>
      <c r="PJN27" s="1"/>
      <c r="PJO27" s="1"/>
      <c r="PJP27" s="1"/>
      <c r="PJQ27" s="1"/>
      <c r="PJR27" s="1"/>
      <c r="PJS27" s="1"/>
      <c r="PJT27" s="1"/>
      <c r="PJU27" s="1"/>
      <c r="PJV27" s="1"/>
      <c r="PJW27" s="1"/>
      <c r="PJX27" s="1"/>
      <c r="PJY27" s="1"/>
      <c r="PJZ27" s="1"/>
      <c r="PKA27" s="1"/>
      <c r="PKB27" s="1"/>
      <c r="PKC27" s="1"/>
      <c r="PKD27" s="1"/>
      <c r="PKE27" s="1"/>
      <c r="PKF27" s="1"/>
      <c r="PKG27" s="1"/>
      <c r="PKH27" s="1"/>
      <c r="PKI27" s="1"/>
      <c r="PKJ27" s="1"/>
      <c r="PKK27" s="1"/>
      <c r="PKL27" s="1"/>
      <c r="PKM27" s="1"/>
      <c r="PKN27" s="1"/>
      <c r="PKO27" s="1"/>
      <c r="PKP27" s="1"/>
      <c r="PKQ27" s="1"/>
      <c r="PKR27" s="1"/>
      <c r="PKS27" s="1"/>
      <c r="PKT27" s="1"/>
      <c r="PKU27" s="1"/>
      <c r="PKV27" s="1"/>
      <c r="PKW27" s="1"/>
      <c r="PKX27" s="1"/>
      <c r="PKY27" s="1"/>
      <c r="PKZ27" s="1"/>
      <c r="PLA27" s="1"/>
      <c r="PLB27" s="1"/>
      <c r="PLC27" s="1"/>
      <c r="PLD27" s="1"/>
      <c r="PLE27" s="1"/>
      <c r="PLF27" s="1"/>
      <c r="PLG27" s="1"/>
      <c r="PLH27" s="1"/>
      <c r="PLI27" s="1"/>
      <c r="PLJ27" s="1"/>
      <c r="PLK27" s="1"/>
      <c r="PLL27" s="1"/>
      <c r="PLM27" s="1"/>
      <c r="PLN27" s="1"/>
      <c r="PLO27" s="1"/>
      <c r="PLP27" s="1"/>
      <c r="PLQ27" s="1"/>
      <c r="PLR27" s="1"/>
      <c r="PLS27" s="1"/>
      <c r="PLT27" s="1"/>
      <c r="PLU27" s="1"/>
      <c r="PLV27" s="1"/>
      <c r="PLW27" s="1"/>
      <c r="PLX27" s="1"/>
      <c r="PLY27" s="1"/>
      <c r="PLZ27" s="1"/>
      <c r="PMA27" s="1"/>
      <c r="PMB27" s="1"/>
      <c r="PMC27" s="1"/>
      <c r="PMD27" s="1"/>
      <c r="PME27" s="1"/>
      <c r="PMF27" s="1"/>
      <c r="PMG27" s="1"/>
      <c r="PMH27" s="1"/>
      <c r="PMI27" s="1"/>
      <c r="PMJ27" s="1"/>
      <c r="PMK27" s="1"/>
      <c r="PML27" s="1"/>
      <c r="PMM27" s="1"/>
      <c r="PMN27" s="1"/>
      <c r="PMO27" s="1"/>
      <c r="PMP27" s="1"/>
      <c r="PMQ27" s="1"/>
      <c r="PMR27" s="1"/>
      <c r="PMS27" s="1"/>
      <c r="PMT27" s="1"/>
      <c r="PMU27" s="1"/>
      <c r="PMV27" s="1"/>
      <c r="PMW27" s="1"/>
      <c r="PMX27" s="1"/>
      <c r="PMY27" s="1"/>
      <c r="PMZ27" s="1"/>
      <c r="PNA27" s="1"/>
      <c r="PNB27" s="1"/>
      <c r="PNC27" s="1"/>
      <c r="PND27" s="1"/>
      <c r="PNE27" s="1"/>
      <c r="PNF27" s="1"/>
      <c r="PNG27" s="1"/>
      <c r="PNH27" s="1"/>
      <c r="PNI27" s="1"/>
      <c r="PNJ27" s="1"/>
      <c r="PNK27" s="1"/>
      <c r="PNL27" s="1"/>
      <c r="PNM27" s="1"/>
      <c r="PNN27" s="1"/>
      <c r="PNO27" s="1"/>
      <c r="PNP27" s="1"/>
      <c r="PNQ27" s="1"/>
      <c r="PNR27" s="1"/>
      <c r="PNS27" s="1"/>
      <c r="PNT27" s="1"/>
      <c r="PNU27" s="1"/>
      <c r="PNV27" s="1"/>
      <c r="PNW27" s="1"/>
      <c r="PNX27" s="1"/>
      <c r="PNY27" s="1"/>
      <c r="PNZ27" s="1"/>
      <c r="POA27" s="1"/>
      <c r="POB27" s="1"/>
      <c r="POC27" s="1"/>
      <c r="POD27" s="1"/>
      <c r="POE27" s="1"/>
      <c r="POF27" s="1"/>
      <c r="POG27" s="1"/>
      <c r="POH27" s="1"/>
      <c r="POI27" s="1"/>
      <c r="POJ27" s="1"/>
      <c r="POK27" s="1"/>
      <c r="POL27" s="1"/>
      <c r="POM27" s="1"/>
      <c r="PON27" s="1"/>
      <c r="POO27" s="1"/>
      <c r="POP27" s="1"/>
      <c r="POQ27" s="1"/>
      <c r="POR27" s="1"/>
      <c r="POS27" s="1"/>
      <c r="POT27" s="1"/>
      <c r="POU27" s="1"/>
      <c r="POV27" s="1"/>
      <c r="POW27" s="1"/>
      <c r="POX27" s="1"/>
      <c r="POY27" s="1"/>
      <c r="POZ27" s="1"/>
      <c r="PPA27" s="1"/>
      <c r="PPB27" s="1"/>
      <c r="PPC27" s="1"/>
      <c r="PPD27" s="1"/>
      <c r="PPE27" s="1"/>
      <c r="PPF27" s="1"/>
      <c r="PPG27" s="1"/>
      <c r="PPH27" s="1"/>
      <c r="PPI27" s="1"/>
      <c r="PPJ27" s="1"/>
      <c r="PPK27" s="1"/>
      <c r="PPL27" s="1"/>
      <c r="PPM27" s="1"/>
      <c r="PPN27" s="1"/>
      <c r="PPO27" s="1"/>
      <c r="PPP27" s="1"/>
      <c r="PPQ27" s="1"/>
      <c r="PPR27" s="1"/>
      <c r="PPS27" s="1"/>
      <c r="PPT27" s="1"/>
      <c r="PPU27" s="1"/>
      <c r="PPV27" s="1"/>
      <c r="PPW27" s="1"/>
      <c r="PPX27" s="1"/>
      <c r="PPY27" s="1"/>
      <c r="PPZ27" s="1"/>
      <c r="PQA27" s="1"/>
      <c r="PQB27" s="1"/>
      <c r="PQC27" s="1"/>
      <c r="PQD27" s="1"/>
      <c r="PQE27" s="1"/>
      <c r="PQF27" s="1"/>
      <c r="PQG27" s="1"/>
      <c r="PQH27" s="1"/>
      <c r="PQI27" s="1"/>
      <c r="PQJ27" s="1"/>
      <c r="PQK27" s="1"/>
      <c r="PQL27" s="1"/>
      <c r="PQM27" s="1"/>
      <c r="PQN27" s="1"/>
      <c r="PQO27" s="1"/>
      <c r="PQP27" s="1"/>
      <c r="PQQ27" s="1"/>
      <c r="PQR27" s="1"/>
      <c r="PQS27" s="1"/>
      <c r="PQT27" s="1"/>
      <c r="PQU27" s="1"/>
      <c r="PQV27" s="1"/>
      <c r="PQW27" s="1"/>
      <c r="PQX27" s="1"/>
      <c r="PQY27" s="1"/>
      <c r="PQZ27" s="1"/>
      <c r="PRA27" s="1"/>
      <c r="PRB27" s="1"/>
      <c r="PRC27" s="1"/>
      <c r="PRD27" s="1"/>
      <c r="PRE27" s="1"/>
      <c r="PRF27" s="1"/>
      <c r="PRG27" s="1"/>
      <c r="PRH27" s="1"/>
      <c r="PRI27" s="1"/>
      <c r="PRJ27" s="1"/>
      <c r="PRK27" s="1"/>
      <c r="PRL27" s="1"/>
      <c r="PRM27" s="1"/>
      <c r="PRN27" s="1"/>
      <c r="PRO27" s="1"/>
      <c r="PRP27" s="1"/>
      <c r="PRQ27" s="1"/>
      <c r="PRR27" s="1"/>
      <c r="PRS27" s="1"/>
      <c r="PRT27" s="1"/>
      <c r="PRU27" s="1"/>
      <c r="PRV27" s="1"/>
      <c r="PRW27" s="1"/>
      <c r="PRX27" s="1"/>
      <c r="PRY27" s="1"/>
      <c r="PRZ27" s="1"/>
      <c r="PSA27" s="1"/>
      <c r="PSB27" s="1"/>
      <c r="PSC27" s="1"/>
      <c r="PSD27" s="1"/>
      <c r="PSE27" s="1"/>
      <c r="PSF27" s="1"/>
      <c r="PSG27" s="1"/>
      <c r="PSH27" s="1"/>
      <c r="PSI27" s="1"/>
      <c r="PSJ27" s="1"/>
      <c r="PSK27" s="1"/>
      <c r="PSL27" s="1"/>
      <c r="PSM27" s="1"/>
      <c r="PSN27" s="1"/>
      <c r="PSO27" s="1"/>
      <c r="PSP27" s="1"/>
      <c r="PSQ27" s="1"/>
      <c r="PSR27" s="1"/>
      <c r="PSS27" s="1"/>
      <c r="PST27" s="1"/>
      <c r="PSU27" s="1"/>
      <c r="PSV27" s="1"/>
      <c r="PSW27" s="1"/>
      <c r="PSX27" s="1"/>
      <c r="PSY27" s="1"/>
      <c r="PSZ27" s="1"/>
      <c r="PTA27" s="1"/>
      <c r="PTB27" s="1"/>
      <c r="PTC27" s="1"/>
      <c r="PTD27" s="1"/>
      <c r="PTE27" s="1"/>
      <c r="PTF27" s="1"/>
      <c r="PTG27" s="1"/>
      <c r="PTH27" s="1"/>
      <c r="PTI27" s="1"/>
      <c r="PTJ27" s="1"/>
      <c r="PTK27" s="1"/>
      <c r="PTL27" s="1"/>
      <c r="PTM27" s="1"/>
      <c r="PTN27" s="1"/>
      <c r="PTO27" s="1"/>
      <c r="PTP27" s="1"/>
      <c r="PTQ27" s="1"/>
      <c r="PTR27" s="1"/>
      <c r="PTS27" s="1"/>
      <c r="PTT27" s="1"/>
      <c r="PTU27" s="1"/>
      <c r="PTV27" s="1"/>
      <c r="PTW27" s="1"/>
      <c r="PTX27" s="1"/>
      <c r="PTY27" s="1"/>
      <c r="PTZ27" s="1"/>
      <c r="PUA27" s="1"/>
      <c r="PUB27" s="1"/>
      <c r="PUC27" s="1"/>
      <c r="PUD27" s="1"/>
      <c r="PUE27" s="1"/>
      <c r="PUF27" s="1"/>
      <c r="PUG27" s="1"/>
      <c r="PUH27" s="1"/>
      <c r="PUI27" s="1"/>
      <c r="PUJ27" s="1"/>
      <c r="PUK27" s="1"/>
      <c r="PUL27" s="1"/>
      <c r="PUM27" s="1"/>
      <c r="PUN27" s="1"/>
      <c r="PUO27" s="1"/>
      <c r="PUP27" s="1"/>
      <c r="PUQ27" s="1"/>
      <c r="PUR27" s="1"/>
      <c r="PUS27" s="1"/>
      <c r="PUT27" s="1"/>
      <c r="PUU27" s="1"/>
      <c r="PUV27" s="1"/>
      <c r="PUW27" s="1"/>
      <c r="PUX27" s="1"/>
      <c r="PUY27" s="1"/>
      <c r="PUZ27" s="1"/>
      <c r="PVA27" s="1"/>
      <c r="PVB27" s="1"/>
      <c r="PVC27" s="1"/>
      <c r="PVD27" s="1"/>
      <c r="PVE27" s="1"/>
      <c r="PVF27" s="1"/>
      <c r="PVG27" s="1"/>
      <c r="PVH27" s="1"/>
      <c r="PVI27" s="1"/>
      <c r="PVJ27" s="1"/>
      <c r="PVK27" s="1"/>
      <c r="PVL27" s="1"/>
      <c r="PVM27" s="1"/>
      <c r="PVN27" s="1"/>
      <c r="PVO27" s="1"/>
      <c r="PVP27" s="1"/>
      <c r="PVQ27" s="1"/>
      <c r="PVR27" s="1"/>
      <c r="PVS27" s="1"/>
      <c r="PVT27" s="1"/>
      <c r="PVU27" s="1"/>
      <c r="PVV27" s="1"/>
      <c r="PVW27" s="1"/>
      <c r="PVX27" s="1"/>
      <c r="PVY27" s="1"/>
      <c r="PVZ27" s="1"/>
      <c r="PWA27" s="1"/>
      <c r="PWB27" s="1"/>
      <c r="PWC27" s="1"/>
      <c r="PWD27" s="1"/>
      <c r="PWE27" s="1"/>
      <c r="PWF27" s="1"/>
      <c r="PWG27" s="1"/>
      <c r="PWH27" s="1"/>
      <c r="PWI27" s="1"/>
      <c r="PWJ27" s="1"/>
      <c r="PWK27" s="1"/>
      <c r="PWL27" s="1"/>
      <c r="PWM27" s="1"/>
      <c r="PWN27" s="1"/>
      <c r="PWO27" s="1"/>
      <c r="PWP27" s="1"/>
      <c r="PWQ27" s="1"/>
      <c r="PWR27" s="1"/>
      <c r="PWS27" s="1"/>
      <c r="PWT27" s="1"/>
      <c r="PWU27" s="1"/>
      <c r="PWV27" s="1"/>
      <c r="PWW27" s="1"/>
      <c r="PWX27" s="1"/>
      <c r="PWY27" s="1"/>
      <c r="PWZ27" s="1"/>
      <c r="PXA27" s="1"/>
      <c r="PXB27" s="1"/>
      <c r="PXC27" s="1"/>
      <c r="PXD27" s="1"/>
      <c r="PXE27" s="1"/>
      <c r="PXF27" s="1"/>
      <c r="PXG27" s="1"/>
      <c r="PXH27" s="1"/>
      <c r="PXI27" s="1"/>
      <c r="PXJ27" s="1"/>
      <c r="PXK27" s="1"/>
      <c r="PXL27" s="1"/>
      <c r="PXM27" s="1"/>
      <c r="PXN27" s="1"/>
      <c r="PXO27" s="1"/>
      <c r="PXP27" s="1"/>
      <c r="PXQ27" s="1"/>
      <c r="PXR27" s="1"/>
      <c r="PXS27" s="1"/>
      <c r="PXT27" s="1"/>
      <c r="PXU27" s="1"/>
      <c r="PXV27" s="1"/>
      <c r="PXW27" s="1"/>
      <c r="PXX27" s="1"/>
      <c r="PXY27" s="1"/>
      <c r="PXZ27" s="1"/>
      <c r="PYA27" s="1"/>
      <c r="PYB27" s="1"/>
      <c r="PYC27" s="1"/>
      <c r="PYD27" s="1"/>
      <c r="PYE27" s="1"/>
      <c r="PYF27" s="1"/>
      <c r="PYG27" s="1"/>
      <c r="PYH27" s="1"/>
      <c r="PYI27" s="1"/>
      <c r="PYJ27" s="1"/>
      <c r="PYK27" s="1"/>
      <c r="PYL27" s="1"/>
      <c r="PYM27" s="1"/>
      <c r="PYN27" s="1"/>
      <c r="PYO27" s="1"/>
      <c r="PYP27" s="1"/>
      <c r="PYQ27" s="1"/>
      <c r="PYR27" s="1"/>
      <c r="PYS27" s="1"/>
      <c r="PYT27" s="1"/>
      <c r="PYU27" s="1"/>
      <c r="PYV27" s="1"/>
      <c r="PYW27" s="1"/>
      <c r="PYX27" s="1"/>
      <c r="PYY27" s="1"/>
      <c r="PYZ27" s="1"/>
      <c r="PZA27" s="1"/>
      <c r="PZB27" s="1"/>
      <c r="PZC27" s="1"/>
      <c r="PZD27" s="1"/>
      <c r="PZE27" s="1"/>
      <c r="PZF27" s="1"/>
      <c r="PZG27" s="1"/>
      <c r="PZH27" s="1"/>
      <c r="PZI27" s="1"/>
      <c r="PZJ27" s="1"/>
      <c r="PZK27" s="1"/>
      <c r="PZL27" s="1"/>
      <c r="PZM27" s="1"/>
      <c r="PZN27" s="1"/>
      <c r="PZO27" s="1"/>
      <c r="PZP27" s="1"/>
      <c r="PZQ27" s="1"/>
      <c r="PZR27" s="1"/>
      <c r="PZS27" s="1"/>
      <c r="PZT27" s="1"/>
      <c r="PZU27" s="1"/>
      <c r="PZV27" s="1"/>
      <c r="PZW27" s="1"/>
      <c r="PZX27" s="1"/>
      <c r="PZY27" s="1"/>
      <c r="PZZ27" s="1"/>
      <c r="QAA27" s="1"/>
      <c r="QAB27" s="1"/>
      <c r="QAC27" s="1"/>
      <c r="QAD27" s="1"/>
      <c r="QAE27" s="1"/>
      <c r="QAF27" s="1"/>
      <c r="QAG27" s="1"/>
      <c r="QAH27" s="1"/>
      <c r="QAI27" s="1"/>
      <c r="QAJ27" s="1"/>
      <c r="QAK27" s="1"/>
      <c r="QAL27" s="1"/>
      <c r="QAM27" s="1"/>
      <c r="QAN27" s="1"/>
      <c r="QAO27" s="1"/>
      <c r="QAP27" s="1"/>
      <c r="QAQ27" s="1"/>
      <c r="QAR27" s="1"/>
      <c r="QAS27" s="1"/>
      <c r="QAT27" s="1"/>
      <c r="QAU27" s="1"/>
      <c r="QAV27" s="1"/>
      <c r="QAW27" s="1"/>
      <c r="QAX27" s="1"/>
      <c r="QAY27" s="1"/>
      <c r="QAZ27" s="1"/>
      <c r="QBA27" s="1"/>
      <c r="QBB27" s="1"/>
      <c r="QBC27" s="1"/>
      <c r="QBD27" s="1"/>
      <c r="QBE27" s="1"/>
      <c r="QBF27" s="1"/>
      <c r="QBG27" s="1"/>
      <c r="QBH27" s="1"/>
      <c r="QBI27" s="1"/>
      <c r="QBJ27" s="1"/>
      <c r="QBK27" s="1"/>
      <c r="QBL27" s="1"/>
      <c r="QBM27" s="1"/>
      <c r="QBN27" s="1"/>
      <c r="QBO27" s="1"/>
      <c r="QBP27" s="1"/>
      <c r="QBQ27" s="1"/>
      <c r="QBR27" s="1"/>
      <c r="QBS27" s="1"/>
      <c r="QBT27" s="1"/>
      <c r="QBU27" s="1"/>
      <c r="QBV27" s="1"/>
      <c r="QBW27" s="1"/>
      <c r="QBX27" s="1"/>
      <c r="QBY27" s="1"/>
      <c r="QBZ27" s="1"/>
      <c r="QCA27" s="1"/>
      <c r="QCB27" s="1"/>
      <c r="QCC27" s="1"/>
      <c r="QCD27" s="1"/>
      <c r="QCE27" s="1"/>
      <c r="QCF27" s="1"/>
      <c r="QCG27" s="1"/>
      <c r="QCH27" s="1"/>
      <c r="QCI27" s="1"/>
      <c r="QCJ27" s="1"/>
      <c r="QCK27" s="1"/>
      <c r="QCL27" s="1"/>
      <c r="QCM27" s="1"/>
      <c r="QCN27" s="1"/>
      <c r="QCO27" s="1"/>
      <c r="QCP27" s="1"/>
      <c r="QCQ27" s="1"/>
      <c r="QCR27" s="1"/>
      <c r="QCS27" s="1"/>
      <c r="QCT27" s="1"/>
      <c r="QCU27" s="1"/>
      <c r="QCV27" s="1"/>
      <c r="QCW27" s="1"/>
      <c r="QCX27" s="1"/>
      <c r="QCY27" s="1"/>
      <c r="QCZ27" s="1"/>
      <c r="QDA27" s="1"/>
      <c r="QDB27" s="1"/>
      <c r="QDC27" s="1"/>
      <c r="QDD27" s="1"/>
      <c r="QDE27" s="1"/>
      <c r="QDF27" s="1"/>
      <c r="QDG27" s="1"/>
      <c r="QDH27" s="1"/>
      <c r="QDI27" s="1"/>
      <c r="QDJ27" s="1"/>
      <c r="QDK27" s="1"/>
      <c r="QDL27" s="1"/>
      <c r="QDM27" s="1"/>
      <c r="QDN27" s="1"/>
      <c r="QDO27" s="1"/>
      <c r="QDP27" s="1"/>
      <c r="QDQ27" s="1"/>
      <c r="QDR27" s="1"/>
      <c r="QDS27" s="1"/>
      <c r="QDT27" s="1"/>
      <c r="QDU27" s="1"/>
      <c r="QDV27" s="1"/>
      <c r="QDW27" s="1"/>
      <c r="QDX27" s="1"/>
      <c r="QDY27" s="1"/>
      <c r="QDZ27" s="1"/>
      <c r="QEA27" s="1"/>
      <c r="QEB27" s="1"/>
      <c r="QEC27" s="1"/>
      <c r="QED27" s="1"/>
      <c r="QEE27" s="1"/>
      <c r="QEF27" s="1"/>
      <c r="QEG27" s="1"/>
      <c r="QEH27" s="1"/>
      <c r="QEI27" s="1"/>
      <c r="QEJ27" s="1"/>
      <c r="QEK27" s="1"/>
      <c r="QEL27" s="1"/>
      <c r="QEM27" s="1"/>
      <c r="QEN27" s="1"/>
      <c r="QEO27" s="1"/>
      <c r="QEP27" s="1"/>
      <c r="QEQ27" s="1"/>
      <c r="QER27" s="1"/>
      <c r="QES27" s="1"/>
      <c r="QET27" s="1"/>
      <c r="QEU27" s="1"/>
      <c r="QEV27" s="1"/>
      <c r="QEW27" s="1"/>
      <c r="QEX27" s="1"/>
      <c r="QEY27" s="1"/>
      <c r="QEZ27" s="1"/>
      <c r="QFA27" s="1"/>
      <c r="QFB27" s="1"/>
      <c r="QFC27" s="1"/>
      <c r="QFD27" s="1"/>
      <c r="QFE27" s="1"/>
      <c r="QFF27" s="1"/>
      <c r="QFG27" s="1"/>
      <c r="QFH27" s="1"/>
      <c r="QFI27" s="1"/>
      <c r="QFJ27" s="1"/>
      <c r="QFK27" s="1"/>
      <c r="QFL27" s="1"/>
      <c r="QFM27" s="1"/>
      <c r="QFN27" s="1"/>
      <c r="QFO27" s="1"/>
      <c r="QFP27" s="1"/>
      <c r="QFQ27" s="1"/>
      <c r="QFR27" s="1"/>
      <c r="QFS27" s="1"/>
      <c r="QFT27" s="1"/>
      <c r="QFU27" s="1"/>
      <c r="QFV27" s="1"/>
      <c r="QFW27" s="1"/>
      <c r="QFX27" s="1"/>
      <c r="QFY27" s="1"/>
      <c r="QFZ27" s="1"/>
      <c r="QGA27" s="1"/>
      <c r="QGB27" s="1"/>
      <c r="QGC27" s="1"/>
      <c r="QGD27" s="1"/>
      <c r="QGE27" s="1"/>
      <c r="QGF27" s="1"/>
      <c r="QGG27" s="1"/>
      <c r="QGH27" s="1"/>
      <c r="QGI27" s="1"/>
      <c r="QGJ27" s="1"/>
      <c r="QGK27" s="1"/>
      <c r="QGL27" s="1"/>
      <c r="QGM27" s="1"/>
      <c r="QGN27" s="1"/>
      <c r="QGO27" s="1"/>
      <c r="QGP27" s="1"/>
      <c r="QGQ27" s="1"/>
      <c r="QGR27" s="1"/>
      <c r="QGS27" s="1"/>
      <c r="QGT27" s="1"/>
      <c r="QGU27" s="1"/>
      <c r="QGV27" s="1"/>
      <c r="QGW27" s="1"/>
      <c r="QGX27" s="1"/>
      <c r="QGY27" s="1"/>
      <c r="QGZ27" s="1"/>
      <c r="QHA27" s="1"/>
      <c r="QHB27" s="1"/>
      <c r="QHC27" s="1"/>
      <c r="QHD27" s="1"/>
      <c r="QHE27" s="1"/>
      <c r="QHF27" s="1"/>
      <c r="QHG27" s="1"/>
      <c r="QHH27" s="1"/>
      <c r="QHI27" s="1"/>
      <c r="QHJ27" s="1"/>
      <c r="QHK27" s="1"/>
      <c r="QHL27" s="1"/>
      <c r="QHM27" s="1"/>
      <c r="QHN27" s="1"/>
      <c r="QHO27" s="1"/>
      <c r="QHP27" s="1"/>
      <c r="QHQ27" s="1"/>
      <c r="QHR27" s="1"/>
      <c r="QHS27" s="1"/>
      <c r="QHT27" s="1"/>
      <c r="QHU27" s="1"/>
      <c r="QHV27" s="1"/>
      <c r="QHW27" s="1"/>
      <c r="QHX27" s="1"/>
      <c r="QHY27" s="1"/>
      <c r="QHZ27" s="1"/>
      <c r="QIA27" s="1"/>
      <c r="QIB27" s="1"/>
      <c r="QIC27" s="1"/>
      <c r="QID27" s="1"/>
      <c r="QIE27" s="1"/>
      <c r="QIF27" s="1"/>
      <c r="QIG27" s="1"/>
      <c r="QIH27" s="1"/>
      <c r="QII27" s="1"/>
      <c r="QIJ27" s="1"/>
      <c r="QIK27" s="1"/>
      <c r="QIL27" s="1"/>
      <c r="QIM27" s="1"/>
      <c r="QIN27" s="1"/>
      <c r="QIO27" s="1"/>
      <c r="QIP27" s="1"/>
      <c r="QIQ27" s="1"/>
      <c r="QIR27" s="1"/>
      <c r="QIS27" s="1"/>
      <c r="QIT27" s="1"/>
      <c r="QIU27" s="1"/>
      <c r="QIV27" s="1"/>
      <c r="QIW27" s="1"/>
      <c r="QIX27" s="1"/>
      <c r="QIY27" s="1"/>
      <c r="QIZ27" s="1"/>
      <c r="QJA27" s="1"/>
      <c r="QJB27" s="1"/>
      <c r="QJC27" s="1"/>
      <c r="QJD27" s="1"/>
      <c r="QJE27" s="1"/>
      <c r="QJF27" s="1"/>
      <c r="QJG27" s="1"/>
      <c r="QJH27" s="1"/>
      <c r="QJI27" s="1"/>
      <c r="QJJ27" s="1"/>
      <c r="QJK27" s="1"/>
      <c r="QJL27" s="1"/>
      <c r="QJM27" s="1"/>
      <c r="QJN27" s="1"/>
      <c r="QJO27" s="1"/>
      <c r="QJP27" s="1"/>
      <c r="QJQ27" s="1"/>
      <c r="QJR27" s="1"/>
      <c r="QJS27" s="1"/>
      <c r="QJT27" s="1"/>
      <c r="QJU27" s="1"/>
      <c r="QJV27" s="1"/>
      <c r="QJW27" s="1"/>
      <c r="QJX27" s="1"/>
      <c r="QJY27" s="1"/>
      <c r="QJZ27" s="1"/>
      <c r="QKA27" s="1"/>
      <c r="QKB27" s="1"/>
      <c r="QKC27" s="1"/>
      <c r="QKD27" s="1"/>
      <c r="QKE27" s="1"/>
      <c r="QKF27" s="1"/>
      <c r="QKG27" s="1"/>
      <c r="QKH27" s="1"/>
      <c r="QKI27" s="1"/>
      <c r="QKJ27" s="1"/>
      <c r="QKK27" s="1"/>
      <c r="QKL27" s="1"/>
      <c r="QKM27" s="1"/>
      <c r="QKN27" s="1"/>
      <c r="QKO27" s="1"/>
      <c r="QKP27" s="1"/>
      <c r="QKQ27" s="1"/>
      <c r="QKR27" s="1"/>
      <c r="QKS27" s="1"/>
      <c r="QKT27" s="1"/>
      <c r="QKU27" s="1"/>
      <c r="QKV27" s="1"/>
      <c r="QKW27" s="1"/>
      <c r="QKX27" s="1"/>
      <c r="QKY27" s="1"/>
      <c r="QKZ27" s="1"/>
      <c r="QLA27" s="1"/>
      <c r="QLB27" s="1"/>
      <c r="QLC27" s="1"/>
      <c r="QLD27" s="1"/>
      <c r="QLE27" s="1"/>
      <c r="QLF27" s="1"/>
      <c r="QLG27" s="1"/>
      <c r="QLH27" s="1"/>
      <c r="QLI27" s="1"/>
      <c r="QLJ27" s="1"/>
      <c r="QLK27" s="1"/>
      <c r="QLL27" s="1"/>
      <c r="QLM27" s="1"/>
      <c r="QLN27" s="1"/>
      <c r="QLO27" s="1"/>
      <c r="QLP27" s="1"/>
      <c r="QLQ27" s="1"/>
      <c r="QLR27" s="1"/>
      <c r="QLS27" s="1"/>
      <c r="QLT27" s="1"/>
      <c r="QLU27" s="1"/>
      <c r="QLV27" s="1"/>
      <c r="QLW27" s="1"/>
      <c r="QLX27" s="1"/>
      <c r="QLY27" s="1"/>
      <c r="QLZ27" s="1"/>
      <c r="QMA27" s="1"/>
      <c r="QMB27" s="1"/>
      <c r="QMC27" s="1"/>
      <c r="QMD27" s="1"/>
      <c r="QME27" s="1"/>
      <c r="QMF27" s="1"/>
      <c r="QMG27" s="1"/>
      <c r="QMH27" s="1"/>
      <c r="QMI27" s="1"/>
      <c r="QMJ27" s="1"/>
      <c r="QMK27" s="1"/>
      <c r="QML27" s="1"/>
      <c r="QMM27" s="1"/>
      <c r="QMN27" s="1"/>
      <c r="QMO27" s="1"/>
      <c r="QMP27" s="1"/>
      <c r="QMQ27" s="1"/>
      <c r="QMR27" s="1"/>
      <c r="QMS27" s="1"/>
      <c r="QMT27" s="1"/>
      <c r="QMU27" s="1"/>
      <c r="QMV27" s="1"/>
      <c r="QMW27" s="1"/>
      <c r="QMX27" s="1"/>
      <c r="QMY27" s="1"/>
      <c r="QMZ27" s="1"/>
      <c r="QNA27" s="1"/>
      <c r="QNB27" s="1"/>
      <c r="QNC27" s="1"/>
      <c r="QND27" s="1"/>
      <c r="QNE27" s="1"/>
      <c r="QNF27" s="1"/>
      <c r="QNG27" s="1"/>
      <c r="QNH27" s="1"/>
      <c r="QNI27" s="1"/>
      <c r="QNJ27" s="1"/>
      <c r="QNK27" s="1"/>
      <c r="QNL27" s="1"/>
      <c r="QNM27" s="1"/>
      <c r="QNN27" s="1"/>
      <c r="QNO27" s="1"/>
      <c r="QNP27" s="1"/>
      <c r="QNQ27" s="1"/>
      <c r="QNR27" s="1"/>
      <c r="QNS27" s="1"/>
      <c r="QNT27" s="1"/>
      <c r="QNU27" s="1"/>
      <c r="QNV27" s="1"/>
      <c r="QNW27" s="1"/>
      <c r="QNX27" s="1"/>
      <c r="QNY27" s="1"/>
      <c r="QNZ27" s="1"/>
      <c r="QOA27" s="1"/>
      <c r="QOB27" s="1"/>
      <c r="QOC27" s="1"/>
      <c r="QOD27" s="1"/>
      <c r="QOE27" s="1"/>
      <c r="QOF27" s="1"/>
      <c r="QOG27" s="1"/>
      <c r="QOH27" s="1"/>
      <c r="QOI27" s="1"/>
      <c r="QOJ27" s="1"/>
      <c r="QOK27" s="1"/>
      <c r="QOL27" s="1"/>
      <c r="QOM27" s="1"/>
      <c r="QON27" s="1"/>
      <c r="QOO27" s="1"/>
      <c r="QOP27" s="1"/>
      <c r="QOQ27" s="1"/>
      <c r="QOR27" s="1"/>
      <c r="QOS27" s="1"/>
      <c r="QOT27" s="1"/>
      <c r="QOU27" s="1"/>
      <c r="QOV27" s="1"/>
      <c r="QOW27" s="1"/>
      <c r="QOX27" s="1"/>
      <c r="QOY27" s="1"/>
      <c r="QOZ27" s="1"/>
      <c r="QPA27" s="1"/>
      <c r="QPB27" s="1"/>
      <c r="QPC27" s="1"/>
      <c r="QPD27" s="1"/>
      <c r="QPE27" s="1"/>
      <c r="QPF27" s="1"/>
      <c r="QPG27" s="1"/>
      <c r="QPH27" s="1"/>
      <c r="QPI27" s="1"/>
      <c r="QPJ27" s="1"/>
      <c r="QPK27" s="1"/>
      <c r="QPL27" s="1"/>
      <c r="QPM27" s="1"/>
      <c r="QPN27" s="1"/>
      <c r="QPO27" s="1"/>
      <c r="QPP27" s="1"/>
      <c r="QPQ27" s="1"/>
      <c r="QPR27" s="1"/>
      <c r="QPS27" s="1"/>
      <c r="QPT27" s="1"/>
      <c r="QPU27" s="1"/>
      <c r="QPV27" s="1"/>
      <c r="QPW27" s="1"/>
      <c r="QPX27" s="1"/>
      <c r="QPY27" s="1"/>
      <c r="QPZ27" s="1"/>
      <c r="QQA27" s="1"/>
      <c r="QQB27" s="1"/>
      <c r="QQC27" s="1"/>
      <c r="QQD27" s="1"/>
      <c r="QQE27" s="1"/>
      <c r="QQF27" s="1"/>
      <c r="QQG27" s="1"/>
      <c r="QQH27" s="1"/>
      <c r="QQI27" s="1"/>
      <c r="QQJ27" s="1"/>
      <c r="QQK27" s="1"/>
      <c r="QQL27" s="1"/>
      <c r="QQM27" s="1"/>
      <c r="QQN27" s="1"/>
      <c r="QQO27" s="1"/>
      <c r="QQP27" s="1"/>
      <c r="QQQ27" s="1"/>
      <c r="QQR27" s="1"/>
      <c r="QQS27" s="1"/>
      <c r="QQT27" s="1"/>
      <c r="QQU27" s="1"/>
      <c r="QQV27" s="1"/>
      <c r="QQW27" s="1"/>
      <c r="QQX27" s="1"/>
      <c r="QQY27" s="1"/>
      <c r="QQZ27" s="1"/>
      <c r="QRA27" s="1"/>
      <c r="QRB27" s="1"/>
      <c r="QRC27" s="1"/>
      <c r="QRD27" s="1"/>
      <c r="QRE27" s="1"/>
      <c r="QRF27" s="1"/>
      <c r="QRG27" s="1"/>
      <c r="QRH27" s="1"/>
      <c r="QRI27" s="1"/>
      <c r="QRJ27" s="1"/>
      <c r="QRK27" s="1"/>
      <c r="QRL27" s="1"/>
      <c r="QRM27" s="1"/>
      <c r="QRN27" s="1"/>
      <c r="QRO27" s="1"/>
      <c r="QRP27" s="1"/>
      <c r="QRQ27" s="1"/>
      <c r="QRR27" s="1"/>
      <c r="QRS27" s="1"/>
      <c r="QRT27" s="1"/>
      <c r="QRU27" s="1"/>
      <c r="QRV27" s="1"/>
      <c r="QRW27" s="1"/>
      <c r="QRX27" s="1"/>
      <c r="QRY27" s="1"/>
      <c r="QRZ27" s="1"/>
      <c r="QSA27" s="1"/>
      <c r="QSB27" s="1"/>
      <c r="QSC27" s="1"/>
      <c r="QSD27" s="1"/>
      <c r="QSE27" s="1"/>
      <c r="QSF27" s="1"/>
      <c r="QSG27" s="1"/>
      <c r="QSH27" s="1"/>
      <c r="QSI27" s="1"/>
      <c r="QSJ27" s="1"/>
      <c r="QSK27" s="1"/>
      <c r="QSL27" s="1"/>
      <c r="QSM27" s="1"/>
      <c r="QSN27" s="1"/>
      <c r="QSO27" s="1"/>
      <c r="QSP27" s="1"/>
      <c r="QSQ27" s="1"/>
      <c r="QSR27" s="1"/>
      <c r="QSS27" s="1"/>
      <c r="QST27" s="1"/>
      <c r="QSU27" s="1"/>
      <c r="QSV27" s="1"/>
      <c r="QSW27" s="1"/>
      <c r="QSX27" s="1"/>
      <c r="QSY27" s="1"/>
      <c r="QSZ27" s="1"/>
      <c r="QTA27" s="1"/>
      <c r="QTB27" s="1"/>
      <c r="QTC27" s="1"/>
      <c r="QTD27" s="1"/>
      <c r="QTE27" s="1"/>
      <c r="QTF27" s="1"/>
      <c r="QTG27" s="1"/>
      <c r="QTH27" s="1"/>
      <c r="QTI27" s="1"/>
      <c r="QTJ27" s="1"/>
      <c r="QTK27" s="1"/>
      <c r="QTL27" s="1"/>
      <c r="QTM27" s="1"/>
      <c r="QTN27" s="1"/>
      <c r="QTO27" s="1"/>
      <c r="QTP27" s="1"/>
      <c r="QTQ27" s="1"/>
      <c r="QTR27" s="1"/>
      <c r="QTS27" s="1"/>
      <c r="QTT27" s="1"/>
      <c r="QTU27" s="1"/>
      <c r="QTV27" s="1"/>
      <c r="QTW27" s="1"/>
      <c r="QTX27" s="1"/>
      <c r="QTY27" s="1"/>
      <c r="QTZ27" s="1"/>
      <c r="QUA27" s="1"/>
      <c r="QUB27" s="1"/>
      <c r="QUC27" s="1"/>
      <c r="QUD27" s="1"/>
      <c r="QUE27" s="1"/>
      <c r="QUF27" s="1"/>
      <c r="QUG27" s="1"/>
      <c r="QUH27" s="1"/>
      <c r="QUI27" s="1"/>
      <c r="QUJ27" s="1"/>
      <c r="QUK27" s="1"/>
      <c r="QUL27" s="1"/>
      <c r="QUM27" s="1"/>
      <c r="QUN27" s="1"/>
      <c r="QUO27" s="1"/>
      <c r="QUP27" s="1"/>
      <c r="QUQ27" s="1"/>
      <c r="QUR27" s="1"/>
      <c r="QUS27" s="1"/>
      <c r="QUT27" s="1"/>
      <c r="QUU27" s="1"/>
      <c r="QUV27" s="1"/>
      <c r="QUW27" s="1"/>
      <c r="QUX27" s="1"/>
      <c r="QUY27" s="1"/>
      <c r="QUZ27" s="1"/>
      <c r="QVA27" s="1"/>
      <c r="QVB27" s="1"/>
      <c r="QVC27" s="1"/>
      <c r="QVD27" s="1"/>
      <c r="QVE27" s="1"/>
      <c r="QVF27" s="1"/>
      <c r="QVG27" s="1"/>
      <c r="QVH27" s="1"/>
      <c r="QVI27" s="1"/>
      <c r="QVJ27" s="1"/>
      <c r="QVK27" s="1"/>
      <c r="QVL27" s="1"/>
      <c r="QVM27" s="1"/>
      <c r="QVN27" s="1"/>
      <c r="QVO27" s="1"/>
      <c r="QVP27" s="1"/>
      <c r="QVQ27" s="1"/>
      <c r="QVR27" s="1"/>
      <c r="QVS27" s="1"/>
      <c r="QVT27" s="1"/>
      <c r="QVU27" s="1"/>
      <c r="QVV27" s="1"/>
      <c r="QVW27" s="1"/>
      <c r="QVX27" s="1"/>
      <c r="QVY27" s="1"/>
      <c r="QVZ27" s="1"/>
      <c r="QWA27" s="1"/>
      <c r="QWB27" s="1"/>
      <c r="QWC27" s="1"/>
      <c r="QWD27" s="1"/>
      <c r="QWE27" s="1"/>
      <c r="QWF27" s="1"/>
      <c r="QWG27" s="1"/>
      <c r="QWH27" s="1"/>
      <c r="QWI27" s="1"/>
      <c r="QWJ27" s="1"/>
      <c r="QWK27" s="1"/>
      <c r="QWL27" s="1"/>
      <c r="QWM27" s="1"/>
      <c r="QWN27" s="1"/>
      <c r="QWO27" s="1"/>
      <c r="QWP27" s="1"/>
      <c r="QWQ27" s="1"/>
      <c r="QWR27" s="1"/>
      <c r="QWS27" s="1"/>
      <c r="QWT27" s="1"/>
      <c r="QWU27" s="1"/>
      <c r="QWV27" s="1"/>
      <c r="QWW27" s="1"/>
      <c r="QWX27" s="1"/>
      <c r="QWY27" s="1"/>
      <c r="QWZ27" s="1"/>
      <c r="QXA27" s="1"/>
      <c r="QXB27" s="1"/>
      <c r="QXC27" s="1"/>
      <c r="QXD27" s="1"/>
      <c r="QXE27" s="1"/>
      <c r="QXF27" s="1"/>
      <c r="QXG27" s="1"/>
      <c r="QXH27" s="1"/>
      <c r="QXI27" s="1"/>
      <c r="QXJ27" s="1"/>
      <c r="QXK27" s="1"/>
      <c r="QXL27" s="1"/>
      <c r="QXM27" s="1"/>
      <c r="QXN27" s="1"/>
      <c r="QXO27" s="1"/>
      <c r="QXP27" s="1"/>
      <c r="QXQ27" s="1"/>
      <c r="QXR27" s="1"/>
      <c r="QXS27" s="1"/>
      <c r="QXT27" s="1"/>
      <c r="QXU27" s="1"/>
      <c r="QXV27" s="1"/>
      <c r="QXW27" s="1"/>
      <c r="QXX27" s="1"/>
      <c r="QXY27" s="1"/>
      <c r="QXZ27" s="1"/>
      <c r="QYA27" s="1"/>
      <c r="QYB27" s="1"/>
      <c r="QYC27" s="1"/>
      <c r="QYD27" s="1"/>
      <c r="QYE27" s="1"/>
      <c r="QYF27" s="1"/>
      <c r="QYG27" s="1"/>
      <c r="QYH27" s="1"/>
      <c r="QYI27" s="1"/>
      <c r="QYJ27" s="1"/>
      <c r="QYK27" s="1"/>
      <c r="QYL27" s="1"/>
      <c r="QYM27" s="1"/>
      <c r="QYN27" s="1"/>
      <c r="QYO27" s="1"/>
      <c r="QYP27" s="1"/>
      <c r="QYQ27" s="1"/>
      <c r="QYR27" s="1"/>
      <c r="QYS27" s="1"/>
      <c r="QYT27" s="1"/>
      <c r="QYU27" s="1"/>
      <c r="QYV27" s="1"/>
      <c r="QYW27" s="1"/>
      <c r="QYX27" s="1"/>
      <c r="QYY27" s="1"/>
      <c r="QYZ27" s="1"/>
      <c r="QZA27" s="1"/>
      <c r="QZB27" s="1"/>
      <c r="QZC27" s="1"/>
      <c r="QZD27" s="1"/>
      <c r="QZE27" s="1"/>
      <c r="QZF27" s="1"/>
      <c r="QZG27" s="1"/>
      <c r="QZH27" s="1"/>
      <c r="QZI27" s="1"/>
      <c r="QZJ27" s="1"/>
      <c r="QZK27" s="1"/>
      <c r="QZL27" s="1"/>
      <c r="QZM27" s="1"/>
      <c r="QZN27" s="1"/>
      <c r="QZO27" s="1"/>
      <c r="QZP27" s="1"/>
      <c r="QZQ27" s="1"/>
      <c r="QZR27" s="1"/>
      <c r="QZS27" s="1"/>
      <c r="QZT27" s="1"/>
      <c r="QZU27" s="1"/>
      <c r="QZV27" s="1"/>
      <c r="QZW27" s="1"/>
      <c r="QZX27" s="1"/>
      <c r="QZY27" s="1"/>
      <c r="QZZ27" s="1"/>
      <c r="RAA27" s="1"/>
      <c r="RAB27" s="1"/>
      <c r="RAC27" s="1"/>
      <c r="RAD27" s="1"/>
      <c r="RAE27" s="1"/>
      <c r="RAF27" s="1"/>
      <c r="RAG27" s="1"/>
      <c r="RAH27" s="1"/>
      <c r="RAI27" s="1"/>
      <c r="RAJ27" s="1"/>
      <c r="RAK27" s="1"/>
      <c r="RAL27" s="1"/>
      <c r="RAM27" s="1"/>
      <c r="RAN27" s="1"/>
      <c r="RAO27" s="1"/>
      <c r="RAP27" s="1"/>
      <c r="RAQ27" s="1"/>
      <c r="RAR27" s="1"/>
      <c r="RAS27" s="1"/>
      <c r="RAT27" s="1"/>
      <c r="RAU27" s="1"/>
      <c r="RAV27" s="1"/>
      <c r="RAW27" s="1"/>
      <c r="RAX27" s="1"/>
      <c r="RAY27" s="1"/>
      <c r="RAZ27" s="1"/>
      <c r="RBA27" s="1"/>
      <c r="RBB27" s="1"/>
      <c r="RBC27" s="1"/>
      <c r="RBD27" s="1"/>
      <c r="RBE27" s="1"/>
      <c r="RBF27" s="1"/>
      <c r="RBG27" s="1"/>
      <c r="RBH27" s="1"/>
      <c r="RBI27" s="1"/>
      <c r="RBJ27" s="1"/>
      <c r="RBK27" s="1"/>
      <c r="RBL27" s="1"/>
      <c r="RBM27" s="1"/>
      <c r="RBN27" s="1"/>
      <c r="RBO27" s="1"/>
      <c r="RBP27" s="1"/>
      <c r="RBQ27" s="1"/>
      <c r="RBR27" s="1"/>
      <c r="RBS27" s="1"/>
      <c r="RBT27" s="1"/>
      <c r="RBU27" s="1"/>
      <c r="RBV27" s="1"/>
      <c r="RBW27" s="1"/>
      <c r="RBX27" s="1"/>
      <c r="RBY27" s="1"/>
      <c r="RBZ27" s="1"/>
      <c r="RCA27" s="1"/>
      <c r="RCB27" s="1"/>
      <c r="RCC27" s="1"/>
      <c r="RCD27" s="1"/>
      <c r="RCE27" s="1"/>
      <c r="RCF27" s="1"/>
      <c r="RCG27" s="1"/>
      <c r="RCH27" s="1"/>
      <c r="RCI27" s="1"/>
      <c r="RCJ27" s="1"/>
      <c r="RCK27" s="1"/>
      <c r="RCL27" s="1"/>
      <c r="RCM27" s="1"/>
      <c r="RCN27" s="1"/>
      <c r="RCO27" s="1"/>
      <c r="RCP27" s="1"/>
      <c r="RCQ27" s="1"/>
      <c r="RCR27" s="1"/>
      <c r="RCS27" s="1"/>
      <c r="RCT27" s="1"/>
      <c r="RCU27" s="1"/>
      <c r="RCV27" s="1"/>
      <c r="RCW27" s="1"/>
      <c r="RCX27" s="1"/>
      <c r="RCY27" s="1"/>
      <c r="RCZ27" s="1"/>
      <c r="RDA27" s="1"/>
      <c r="RDB27" s="1"/>
      <c r="RDC27" s="1"/>
      <c r="RDD27" s="1"/>
      <c r="RDE27" s="1"/>
      <c r="RDF27" s="1"/>
      <c r="RDG27" s="1"/>
      <c r="RDH27" s="1"/>
      <c r="RDI27" s="1"/>
      <c r="RDJ27" s="1"/>
      <c r="RDK27" s="1"/>
      <c r="RDL27" s="1"/>
      <c r="RDM27" s="1"/>
      <c r="RDN27" s="1"/>
      <c r="RDO27" s="1"/>
      <c r="RDP27" s="1"/>
      <c r="RDQ27" s="1"/>
      <c r="RDR27" s="1"/>
      <c r="RDS27" s="1"/>
      <c r="RDT27" s="1"/>
      <c r="RDU27" s="1"/>
      <c r="RDV27" s="1"/>
      <c r="RDW27" s="1"/>
      <c r="RDX27" s="1"/>
      <c r="RDY27" s="1"/>
      <c r="RDZ27" s="1"/>
      <c r="REA27" s="1"/>
      <c r="REB27" s="1"/>
      <c r="REC27" s="1"/>
      <c r="RED27" s="1"/>
      <c r="REE27" s="1"/>
      <c r="REF27" s="1"/>
      <c r="REG27" s="1"/>
      <c r="REH27" s="1"/>
      <c r="REI27" s="1"/>
      <c r="REJ27" s="1"/>
      <c r="REK27" s="1"/>
      <c r="REL27" s="1"/>
      <c r="REM27" s="1"/>
      <c r="REN27" s="1"/>
      <c r="REO27" s="1"/>
      <c r="REP27" s="1"/>
      <c r="REQ27" s="1"/>
      <c r="RER27" s="1"/>
      <c r="RES27" s="1"/>
      <c r="RET27" s="1"/>
      <c r="REU27" s="1"/>
      <c r="REV27" s="1"/>
      <c r="REW27" s="1"/>
      <c r="REX27" s="1"/>
      <c r="REY27" s="1"/>
      <c r="REZ27" s="1"/>
      <c r="RFA27" s="1"/>
      <c r="RFB27" s="1"/>
      <c r="RFC27" s="1"/>
      <c r="RFD27" s="1"/>
      <c r="RFE27" s="1"/>
      <c r="RFF27" s="1"/>
      <c r="RFG27" s="1"/>
      <c r="RFH27" s="1"/>
      <c r="RFI27" s="1"/>
      <c r="RFJ27" s="1"/>
      <c r="RFK27" s="1"/>
      <c r="RFL27" s="1"/>
      <c r="RFM27" s="1"/>
      <c r="RFN27" s="1"/>
      <c r="RFO27" s="1"/>
      <c r="RFP27" s="1"/>
      <c r="RFQ27" s="1"/>
      <c r="RFR27" s="1"/>
      <c r="RFS27" s="1"/>
      <c r="RFT27" s="1"/>
      <c r="RFU27" s="1"/>
      <c r="RFV27" s="1"/>
      <c r="RFW27" s="1"/>
      <c r="RFX27" s="1"/>
      <c r="RFY27" s="1"/>
      <c r="RFZ27" s="1"/>
      <c r="RGA27" s="1"/>
      <c r="RGB27" s="1"/>
      <c r="RGC27" s="1"/>
      <c r="RGD27" s="1"/>
      <c r="RGE27" s="1"/>
      <c r="RGF27" s="1"/>
      <c r="RGG27" s="1"/>
      <c r="RGH27" s="1"/>
      <c r="RGI27" s="1"/>
      <c r="RGJ27" s="1"/>
      <c r="RGK27" s="1"/>
      <c r="RGL27" s="1"/>
      <c r="RGM27" s="1"/>
      <c r="RGN27" s="1"/>
      <c r="RGO27" s="1"/>
      <c r="RGP27" s="1"/>
      <c r="RGQ27" s="1"/>
      <c r="RGR27" s="1"/>
      <c r="RGS27" s="1"/>
      <c r="RGT27" s="1"/>
      <c r="RGU27" s="1"/>
      <c r="RGV27" s="1"/>
      <c r="RGW27" s="1"/>
      <c r="RGX27" s="1"/>
      <c r="RGY27" s="1"/>
      <c r="RGZ27" s="1"/>
      <c r="RHA27" s="1"/>
      <c r="RHB27" s="1"/>
      <c r="RHC27" s="1"/>
      <c r="RHD27" s="1"/>
      <c r="RHE27" s="1"/>
      <c r="RHF27" s="1"/>
      <c r="RHG27" s="1"/>
      <c r="RHH27" s="1"/>
      <c r="RHI27" s="1"/>
      <c r="RHJ27" s="1"/>
      <c r="RHK27" s="1"/>
      <c r="RHL27" s="1"/>
      <c r="RHM27" s="1"/>
      <c r="RHN27" s="1"/>
      <c r="RHO27" s="1"/>
      <c r="RHP27" s="1"/>
      <c r="RHQ27" s="1"/>
      <c r="RHR27" s="1"/>
      <c r="RHS27" s="1"/>
      <c r="RHT27" s="1"/>
      <c r="RHU27" s="1"/>
      <c r="RHV27" s="1"/>
      <c r="RHW27" s="1"/>
      <c r="RHX27" s="1"/>
      <c r="RHY27" s="1"/>
      <c r="RHZ27" s="1"/>
      <c r="RIA27" s="1"/>
      <c r="RIB27" s="1"/>
      <c r="RIC27" s="1"/>
      <c r="RID27" s="1"/>
      <c r="RIE27" s="1"/>
      <c r="RIF27" s="1"/>
      <c r="RIG27" s="1"/>
      <c r="RIH27" s="1"/>
      <c r="RII27" s="1"/>
      <c r="RIJ27" s="1"/>
      <c r="RIK27" s="1"/>
      <c r="RIL27" s="1"/>
      <c r="RIM27" s="1"/>
      <c r="RIN27" s="1"/>
      <c r="RIO27" s="1"/>
      <c r="RIP27" s="1"/>
      <c r="RIQ27" s="1"/>
      <c r="RIR27" s="1"/>
      <c r="RIS27" s="1"/>
      <c r="RIT27" s="1"/>
      <c r="RIU27" s="1"/>
      <c r="RIV27" s="1"/>
      <c r="RIW27" s="1"/>
      <c r="RIX27" s="1"/>
      <c r="RIY27" s="1"/>
      <c r="RIZ27" s="1"/>
      <c r="RJA27" s="1"/>
      <c r="RJB27" s="1"/>
      <c r="RJC27" s="1"/>
      <c r="RJD27" s="1"/>
      <c r="RJE27" s="1"/>
      <c r="RJF27" s="1"/>
      <c r="RJG27" s="1"/>
      <c r="RJH27" s="1"/>
      <c r="RJI27" s="1"/>
      <c r="RJJ27" s="1"/>
      <c r="RJK27" s="1"/>
      <c r="RJL27" s="1"/>
      <c r="RJM27" s="1"/>
      <c r="RJN27" s="1"/>
      <c r="RJO27" s="1"/>
      <c r="RJP27" s="1"/>
      <c r="RJQ27" s="1"/>
      <c r="RJR27" s="1"/>
      <c r="RJS27" s="1"/>
      <c r="RJT27" s="1"/>
      <c r="RJU27" s="1"/>
      <c r="RJV27" s="1"/>
      <c r="RJW27" s="1"/>
      <c r="RJX27" s="1"/>
      <c r="RJY27" s="1"/>
      <c r="RJZ27" s="1"/>
      <c r="RKA27" s="1"/>
      <c r="RKB27" s="1"/>
      <c r="RKC27" s="1"/>
      <c r="RKD27" s="1"/>
      <c r="RKE27" s="1"/>
      <c r="RKF27" s="1"/>
      <c r="RKG27" s="1"/>
      <c r="RKH27" s="1"/>
      <c r="RKI27" s="1"/>
      <c r="RKJ27" s="1"/>
      <c r="RKK27" s="1"/>
      <c r="RKL27" s="1"/>
      <c r="RKM27" s="1"/>
      <c r="RKN27" s="1"/>
      <c r="RKO27" s="1"/>
      <c r="RKP27" s="1"/>
      <c r="RKQ27" s="1"/>
      <c r="RKR27" s="1"/>
      <c r="RKS27" s="1"/>
      <c r="RKT27" s="1"/>
      <c r="RKU27" s="1"/>
      <c r="RKV27" s="1"/>
      <c r="RKW27" s="1"/>
      <c r="RKX27" s="1"/>
      <c r="RKY27" s="1"/>
      <c r="RKZ27" s="1"/>
      <c r="RLA27" s="1"/>
      <c r="RLB27" s="1"/>
      <c r="RLC27" s="1"/>
      <c r="RLD27" s="1"/>
      <c r="RLE27" s="1"/>
      <c r="RLF27" s="1"/>
      <c r="RLG27" s="1"/>
      <c r="RLH27" s="1"/>
      <c r="RLI27" s="1"/>
      <c r="RLJ27" s="1"/>
      <c r="RLK27" s="1"/>
      <c r="RLL27" s="1"/>
      <c r="RLM27" s="1"/>
      <c r="RLN27" s="1"/>
      <c r="RLO27" s="1"/>
      <c r="RLP27" s="1"/>
      <c r="RLQ27" s="1"/>
      <c r="RLR27" s="1"/>
      <c r="RLS27" s="1"/>
      <c r="RLT27" s="1"/>
      <c r="RLU27" s="1"/>
      <c r="RLV27" s="1"/>
      <c r="RLW27" s="1"/>
      <c r="RLX27" s="1"/>
      <c r="RLY27" s="1"/>
      <c r="RLZ27" s="1"/>
      <c r="RMA27" s="1"/>
      <c r="RMB27" s="1"/>
      <c r="RMC27" s="1"/>
      <c r="RMD27" s="1"/>
      <c r="RME27" s="1"/>
      <c r="RMF27" s="1"/>
      <c r="RMG27" s="1"/>
      <c r="RMH27" s="1"/>
      <c r="RMI27" s="1"/>
      <c r="RMJ27" s="1"/>
      <c r="RMK27" s="1"/>
      <c r="RML27" s="1"/>
      <c r="RMM27" s="1"/>
      <c r="RMN27" s="1"/>
      <c r="RMO27" s="1"/>
      <c r="RMP27" s="1"/>
      <c r="RMQ27" s="1"/>
      <c r="RMR27" s="1"/>
      <c r="RMS27" s="1"/>
      <c r="RMT27" s="1"/>
      <c r="RMU27" s="1"/>
      <c r="RMV27" s="1"/>
      <c r="RMW27" s="1"/>
      <c r="RMX27" s="1"/>
      <c r="RMY27" s="1"/>
      <c r="RMZ27" s="1"/>
      <c r="RNA27" s="1"/>
      <c r="RNB27" s="1"/>
      <c r="RNC27" s="1"/>
      <c r="RND27" s="1"/>
      <c r="RNE27" s="1"/>
      <c r="RNF27" s="1"/>
      <c r="RNG27" s="1"/>
      <c r="RNH27" s="1"/>
      <c r="RNI27" s="1"/>
      <c r="RNJ27" s="1"/>
      <c r="RNK27" s="1"/>
      <c r="RNL27" s="1"/>
      <c r="RNM27" s="1"/>
      <c r="RNN27" s="1"/>
      <c r="RNO27" s="1"/>
      <c r="RNP27" s="1"/>
      <c r="RNQ27" s="1"/>
      <c r="RNR27" s="1"/>
      <c r="RNS27" s="1"/>
      <c r="RNT27" s="1"/>
      <c r="RNU27" s="1"/>
      <c r="RNV27" s="1"/>
      <c r="RNW27" s="1"/>
      <c r="RNX27" s="1"/>
      <c r="RNY27" s="1"/>
      <c r="RNZ27" s="1"/>
      <c r="ROA27" s="1"/>
      <c r="ROB27" s="1"/>
      <c r="ROC27" s="1"/>
      <c r="ROD27" s="1"/>
      <c r="ROE27" s="1"/>
      <c r="ROF27" s="1"/>
      <c r="ROG27" s="1"/>
      <c r="ROH27" s="1"/>
      <c r="ROI27" s="1"/>
      <c r="ROJ27" s="1"/>
      <c r="ROK27" s="1"/>
      <c r="ROL27" s="1"/>
      <c r="ROM27" s="1"/>
      <c r="RON27" s="1"/>
      <c r="ROO27" s="1"/>
      <c r="ROP27" s="1"/>
      <c r="ROQ27" s="1"/>
      <c r="ROR27" s="1"/>
      <c r="ROS27" s="1"/>
      <c r="ROT27" s="1"/>
      <c r="ROU27" s="1"/>
      <c r="ROV27" s="1"/>
      <c r="ROW27" s="1"/>
      <c r="ROX27" s="1"/>
      <c r="ROY27" s="1"/>
      <c r="ROZ27" s="1"/>
      <c r="RPA27" s="1"/>
      <c r="RPB27" s="1"/>
      <c r="RPC27" s="1"/>
      <c r="RPD27" s="1"/>
      <c r="RPE27" s="1"/>
      <c r="RPF27" s="1"/>
      <c r="RPG27" s="1"/>
      <c r="RPH27" s="1"/>
      <c r="RPI27" s="1"/>
      <c r="RPJ27" s="1"/>
      <c r="RPK27" s="1"/>
      <c r="RPL27" s="1"/>
      <c r="RPM27" s="1"/>
      <c r="RPN27" s="1"/>
      <c r="RPO27" s="1"/>
      <c r="RPP27" s="1"/>
      <c r="RPQ27" s="1"/>
      <c r="RPR27" s="1"/>
      <c r="RPS27" s="1"/>
      <c r="RPT27" s="1"/>
      <c r="RPU27" s="1"/>
      <c r="RPV27" s="1"/>
      <c r="RPW27" s="1"/>
      <c r="RPX27" s="1"/>
      <c r="RPY27" s="1"/>
      <c r="RPZ27" s="1"/>
      <c r="RQA27" s="1"/>
      <c r="RQB27" s="1"/>
      <c r="RQC27" s="1"/>
      <c r="RQD27" s="1"/>
      <c r="RQE27" s="1"/>
      <c r="RQF27" s="1"/>
      <c r="RQG27" s="1"/>
      <c r="RQH27" s="1"/>
      <c r="RQI27" s="1"/>
      <c r="RQJ27" s="1"/>
      <c r="RQK27" s="1"/>
      <c r="RQL27" s="1"/>
      <c r="RQM27" s="1"/>
      <c r="RQN27" s="1"/>
      <c r="RQO27" s="1"/>
      <c r="RQP27" s="1"/>
      <c r="RQQ27" s="1"/>
      <c r="RQR27" s="1"/>
      <c r="RQS27" s="1"/>
      <c r="RQT27" s="1"/>
      <c r="RQU27" s="1"/>
      <c r="RQV27" s="1"/>
      <c r="RQW27" s="1"/>
      <c r="RQX27" s="1"/>
      <c r="RQY27" s="1"/>
      <c r="RQZ27" s="1"/>
      <c r="RRA27" s="1"/>
      <c r="RRB27" s="1"/>
      <c r="RRC27" s="1"/>
      <c r="RRD27" s="1"/>
      <c r="RRE27" s="1"/>
      <c r="RRF27" s="1"/>
      <c r="RRG27" s="1"/>
      <c r="RRH27" s="1"/>
      <c r="RRI27" s="1"/>
      <c r="RRJ27" s="1"/>
      <c r="RRK27" s="1"/>
      <c r="RRL27" s="1"/>
      <c r="RRM27" s="1"/>
      <c r="RRN27" s="1"/>
      <c r="RRO27" s="1"/>
      <c r="RRP27" s="1"/>
      <c r="RRQ27" s="1"/>
      <c r="RRR27" s="1"/>
      <c r="RRS27" s="1"/>
      <c r="RRT27" s="1"/>
      <c r="RRU27" s="1"/>
      <c r="RRV27" s="1"/>
      <c r="RRW27" s="1"/>
      <c r="RRX27" s="1"/>
      <c r="RRY27" s="1"/>
      <c r="RRZ27" s="1"/>
      <c r="RSA27" s="1"/>
      <c r="RSB27" s="1"/>
      <c r="RSC27" s="1"/>
      <c r="RSD27" s="1"/>
      <c r="RSE27" s="1"/>
      <c r="RSF27" s="1"/>
      <c r="RSG27" s="1"/>
      <c r="RSH27" s="1"/>
      <c r="RSI27" s="1"/>
      <c r="RSJ27" s="1"/>
      <c r="RSK27" s="1"/>
      <c r="RSL27" s="1"/>
      <c r="RSM27" s="1"/>
      <c r="RSN27" s="1"/>
      <c r="RSO27" s="1"/>
      <c r="RSP27" s="1"/>
      <c r="RSQ27" s="1"/>
      <c r="RSR27" s="1"/>
      <c r="RSS27" s="1"/>
      <c r="RST27" s="1"/>
      <c r="RSU27" s="1"/>
      <c r="RSV27" s="1"/>
      <c r="RSW27" s="1"/>
      <c r="RSX27" s="1"/>
      <c r="RSY27" s="1"/>
      <c r="RSZ27" s="1"/>
      <c r="RTA27" s="1"/>
      <c r="RTB27" s="1"/>
      <c r="RTC27" s="1"/>
      <c r="RTD27" s="1"/>
      <c r="RTE27" s="1"/>
      <c r="RTF27" s="1"/>
      <c r="RTG27" s="1"/>
      <c r="RTH27" s="1"/>
      <c r="RTI27" s="1"/>
      <c r="RTJ27" s="1"/>
      <c r="RTK27" s="1"/>
      <c r="RTL27" s="1"/>
      <c r="RTM27" s="1"/>
      <c r="RTN27" s="1"/>
      <c r="RTO27" s="1"/>
      <c r="RTP27" s="1"/>
      <c r="RTQ27" s="1"/>
      <c r="RTR27" s="1"/>
      <c r="RTS27" s="1"/>
      <c r="RTT27" s="1"/>
      <c r="RTU27" s="1"/>
      <c r="RTV27" s="1"/>
      <c r="RTW27" s="1"/>
      <c r="RTX27" s="1"/>
      <c r="RTY27" s="1"/>
      <c r="RTZ27" s="1"/>
      <c r="RUA27" s="1"/>
      <c r="RUB27" s="1"/>
      <c r="RUC27" s="1"/>
      <c r="RUD27" s="1"/>
      <c r="RUE27" s="1"/>
      <c r="RUF27" s="1"/>
      <c r="RUG27" s="1"/>
      <c r="RUH27" s="1"/>
      <c r="RUI27" s="1"/>
      <c r="RUJ27" s="1"/>
      <c r="RUK27" s="1"/>
      <c r="RUL27" s="1"/>
      <c r="RUM27" s="1"/>
      <c r="RUN27" s="1"/>
      <c r="RUO27" s="1"/>
      <c r="RUP27" s="1"/>
      <c r="RUQ27" s="1"/>
      <c r="RUR27" s="1"/>
      <c r="RUS27" s="1"/>
      <c r="RUT27" s="1"/>
      <c r="RUU27" s="1"/>
      <c r="RUV27" s="1"/>
      <c r="RUW27" s="1"/>
      <c r="RUX27" s="1"/>
      <c r="RUY27" s="1"/>
      <c r="RUZ27" s="1"/>
      <c r="RVA27" s="1"/>
      <c r="RVB27" s="1"/>
      <c r="RVC27" s="1"/>
      <c r="RVD27" s="1"/>
      <c r="RVE27" s="1"/>
      <c r="RVF27" s="1"/>
      <c r="RVG27" s="1"/>
      <c r="RVH27" s="1"/>
      <c r="RVI27" s="1"/>
      <c r="RVJ27" s="1"/>
      <c r="RVK27" s="1"/>
      <c r="RVL27" s="1"/>
      <c r="RVM27" s="1"/>
      <c r="RVN27" s="1"/>
      <c r="RVO27" s="1"/>
      <c r="RVP27" s="1"/>
      <c r="RVQ27" s="1"/>
      <c r="RVR27" s="1"/>
      <c r="RVS27" s="1"/>
      <c r="RVT27" s="1"/>
      <c r="RVU27" s="1"/>
      <c r="RVV27" s="1"/>
      <c r="RVW27" s="1"/>
      <c r="RVX27" s="1"/>
      <c r="RVY27" s="1"/>
      <c r="RVZ27" s="1"/>
      <c r="RWA27" s="1"/>
      <c r="RWB27" s="1"/>
      <c r="RWC27" s="1"/>
      <c r="RWD27" s="1"/>
      <c r="RWE27" s="1"/>
      <c r="RWF27" s="1"/>
      <c r="RWG27" s="1"/>
      <c r="RWH27" s="1"/>
      <c r="RWI27" s="1"/>
      <c r="RWJ27" s="1"/>
      <c r="RWK27" s="1"/>
      <c r="RWL27" s="1"/>
      <c r="RWM27" s="1"/>
      <c r="RWN27" s="1"/>
      <c r="RWO27" s="1"/>
      <c r="RWP27" s="1"/>
      <c r="RWQ27" s="1"/>
      <c r="RWR27" s="1"/>
      <c r="RWS27" s="1"/>
      <c r="RWT27" s="1"/>
      <c r="RWU27" s="1"/>
      <c r="RWV27" s="1"/>
      <c r="RWW27" s="1"/>
      <c r="RWX27" s="1"/>
      <c r="RWY27" s="1"/>
      <c r="RWZ27" s="1"/>
      <c r="RXA27" s="1"/>
      <c r="RXB27" s="1"/>
      <c r="RXC27" s="1"/>
      <c r="RXD27" s="1"/>
      <c r="RXE27" s="1"/>
      <c r="RXF27" s="1"/>
      <c r="RXG27" s="1"/>
      <c r="RXH27" s="1"/>
      <c r="RXI27" s="1"/>
      <c r="RXJ27" s="1"/>
      <c r="RXK27" s="1"/>
      <c r="RXL27" s="1"/>
      <c r="RXM27" s="1"/>
      <c r="RXN27" s="1"/>
      <c r="RXO27" s="1"/>
      <c r="RXP27" s="1"/>
      <c r="RXQ27" s="1"/>
      <c r="RXR27" s="1"/>
      <c r="RXS27" s="1"/>
      <c r="RXT27" s="1"/>
      <c r="RXU27" s="1"/>
      <c r="RXV27" s="1"/>
      <c r="RXW27" s="1"/>
      <c r="RXX27" s="1"/>
      <c r="RXY27" s="1"/>
      <c r="RXZ27" s="1"/>
      <c r="RYA27" s="1"/>
      <c r="RYB27" s="1"/>
      <c r="RYC27" s="1"/>
      <c r="RYD27" s="1"/>
      <c r="RYE27" s="1"/>
      <c r="RYF27" s="1"/>
      <c r="RYG27" s="1"/>
      <c r="RYH27" s="1"/>
      <c r="RYI27" s="1"/>
      <c r="RYJ27" s="1"/>
      <c r="RYK27" s="1"/>
      <c r="RYL27" s="1"/>
      <c r="RYM27" s="1"/>
      <c r="RYN27" s="1"/>
      <c r="RYO27" s="1"/>
      <c r="RYP27" s="1"/>
      <c r="RYQ27" s="1"/>
      <c r="RYR27" s="1"/>
      <c r="RYS27" s="1"/>
      <c r="RYT27" s="1"/>
      <c r="RYU27" s="1"/>
      <c r="RYV27" s="1"/>
      <c r="RYW27" s="1"/>
      <c r="RYX27" s="1"/>
      <c r="RYY27" s="1"/>
      <c r="RYZ27" s="1"/>
      <c r="RZA27" s="1"/>
      <c r="RZB27" s="1"/>
      <c r="RZC27" s="1"/>
      <c r="RZD27" s="1"/>
      <c r="RZE27" s="1"/>
      <c r="RZF27" s="1"/>
      <c r="RZG27" s="1"/>
      <c r="RZH27" s="1"/>
      <c r="RZI27" s="1"/>
      <c r="RZJ27" s="1"/>
      <c r="RZK27" s="1"/>
      <c r="RZL27" s="1"/>
      <c r="RZM27" s="1"/>
      <c r="RZN27" s="1"/>
      <c r="RZO27" s="1"/>
      <c r="RZP27" s="1"/>
      <c r="RZQ27" s="1"/>
      <c r="RZR27" s="1"/>
      <c r="RZS27" s="1"/>
      <c r="RZT27" s="1"/>
      <c r="RZU27" s="1"/>
      <c r="RZV27" s="1"/>
      <c r="RZW27" s="1"/>
      <c r="RZX27" s="1"/>
      <c r="RZY27" s="1"/>
      <c r="RZZ27" s="1"/>
      <c r="SAA27" s="1"/>
      <c r="SAB27" s="1"/>
      <c r="SAC27" s="1"/>
      <c r="SAD27" s="1"/>
      <c r="SAE27" s="1"/>
      <c r="SAF27" s="1"/>
      <c r="SAG27" s="1"/>
      <c r="SAH27" s="1"/>
      <c r="SAI27" s="1"/>
      <c r="SAJ27" s="1"/>
      <c r="SAK27" s="1"/>
      <c r="SAL27" s="1"/>
      <c r="SAM27" s="1"/>
      <c r="SAN27" s="1"/>
      <c r="SAO27" s="1"/>
      <c r="SAP27" s="1"/>
      <c r="SAQ27" s="1"/>
      <c r="SAR27" s="1"/>
      <c r="SAS27" s="1"/>
      <c r="SAT27" s="1"/>
      <c r="SAU27" s="1"/>
      <c r="SAV27" s="1"/>
      <c r="SAW27" s="1"/>
      <c r="SAX27" s="1"/>
      <c r="SAY27" s="1"/>
      <c r="SAZ27" s="1"/>
      <c r="SBA27" s="1"/>
      <c r="SBB27" s="1"/>
      <c r="SBC27" s="1"/>
      <c r="SBD27" s="1"/>
      <c r="SBE27" s="1"/>
      <c r="SBF27" s="1"/>
      <c r="SBG27" s="1"/>
      <c r="SBH27" s="1"/>
      <c r="SBI27" s="1"/>
      <c r="SBJ27" s="1"/>
      <c r="SBK27" s="1"/>
      <c r="SBL27" s="1"/>
      <c r="SBM27" s="1"/>
      <c r="SBN27" s="1"/>
      <c r="SBO27" s="1"/>
      <c r="SBP27" s="1"/>
      <c r="SBQ27" s="1"/>
      <c r="SBR27" s="1"/>
      <c r="SBS27" s="1"/>
      <c r="SBT27" s="1"/>
      <c r="SBU27" s="1"/>
      <c r="SBV27" s="1"/>
      <c r="SBW27" s="1"/>
      <c r="SBX27" s="1"/>
      <c r="SBY27" s="1"/>
      <c r="SBZ27" s="1"/>
      <c r="SCA27" s="1"/>
      <c r="SCB27" s="1"/>
      <c r="SCC27" s="1"/>
      <c r="SCD27" s="1"/>
      <c r="SCE27" s="1"/>
      <c r="SCF27" s="1"/>
      <c r="SCG27" s="1"/>
      <c r="SCH27" s="1"/>
      <c r="SCI27" s="1"/>
      <c r="SCJ27" s="1"/>
      <c r="SCK27" s="1"/>
      <c r="SCL27" s="1"/>
      <c r="SCM27" s="1"/>
      <c r="SCN27" s="1"/>
      <c r="SCO27" s="1"/>
      <c r="SCP27" s="1"/>
      <c r="SCQ27" s="1"/>
      <c r="SCR27" s="1"/>
      <c r="SCS27" s="1"/>
      <c r="SCT27" s="1"/>
      <c r="SCU27" s="1"/>
      <c r="SCV27" s="1"/>
      <c r="SCW27" s="1"/>
      <c r="SCX27" s="1"/>
      <c r="SCY27" s="1"/>
      <c r="SCZ27" s="1"/>
      <c r="SDA27" s="1"/>
      <c r="SDB27" s="1"/>
      <c r="SDC27" s="1"/>
      <c r="SDD27" s="1"/>
      <c r="SDE27" s="1"/>
      <c r="SDF27" s="1"/>
      <c r="SDG27" s="1"/>
      <c r="SDH27" s="1"/>
      <c r="SDI27" s="1"/>
      <c r="SDJ27" s="1"/>
      <c r="SDK27" s="1"/>
      <c r="SDL27" s="1"/>
      <c r="SDM27" s="1"/>
      <c r="SDN27" s="1"/>
      <c r="SDO27" s="1"/>
      <c r="SDP27" s="1"/>
      <c r="SDQ27" s="1"/>
      <c r="SDR27" s="1"/>
      <c r="SDS27" s="1"/>
      <c r="SDT27" s="1"/>
      <c r="SDU27" s="1"/>
      <c r="SDV27" s="1"/>
      <c r="SDW27" s="1"/>
      <c r="SDX27" s="1"/>
      <c r="SDY27" s="1"/>
      <c r="SDZ27" s="1"/>
      <c r="SEA27" s="1"/>
      <c r="SEB27" s="1"/>
      <c r="SEC27" s="1"/>
      <c r="SED27" s="1"/>
      <c r="SEE27" s="1"/>
      <c r="SEF27" s="1"/>
      <c r="SEG27" s="1"/>
      <c r="SEH27" s="1"/>
      <c r="SEI27" s="1"/>
      <c r="SEJ27" s="1"/>
      <c r="SEK27" s="1"/>
      <c r="SEL27" s="1"/>
      <c r="SEM27" s="1"/>
      <c r="SEN27" s="1"/>
      <c r="SEO27" s="1"/>
      <c r="SEP27" s="1"/>
      <c r="SEQ27" s="1"/>
      <c r="SER27" s="1"/>
      <c r="SES27" s="1"/>
      <c r="SET27" s="1"/>
      <c r="SEU27" s="1"/>
      <c r="SEV27" s="1"/>
      <c r="SEW27" s="1"/>
      <c r="SEX27" s="1"/>
      <c r="SEY27" s="1"/>
      <c r="SEZ27" s="1"/>
      <c r="SFA27" s="1"/>
      <c r="SFB27" s="1"/>
      <c r="SFC27" s="1"/>
      <c r="SFD27" s="1"/>
      <c r="SFE27" s="1"/>
      <c r="SFF27" s="1"/>
      <c r="SFG27" s="1"/>
      <c r="SFH27" s="1"/>
      <c r="SFI27" s="1"/>
      <c r="SFJ27" s="1"/>
      <c r="SFK27" s="1"/>
      <c r="SFL27" s="1"/>
      <c r="SFM27" s="1"/>
      <c r="SFN27" s="1"/>
      <c r="SFO27" s="1"/>
      <c r="SFP27" s="1"/>
      <c r="SFQ27" s="1"/>
      <c r="SFR27" s="1"/>
      <c r="SFS27" s="1"/>
      <c r="SFT27" s="1"/>
      <c r="SFU27" s="1"/>
      <c r="SFV27" s="1"/>
      <c r="SFW27" s="1"/>
      <c r="SFX27" s="1"/>
      <c r="SFY27" s="1"/>
      <c r="SFZ27" s="1"/>
      <c r="SGA27" s="1"/>
      <c r="SGB27" s="1"/>
      <c r="SGC27" s="1"/>
      <c r="SGD27" s="1"/>
      <c r="SGE27" s="1"/>
      <c r="SGF27" s="1"/>
      <c r="SGG27" s="1"/>
      <c r="SGH27" s="1"/>
      <c r="SGI27" s="1"/>
      <c r="SGJ27" s="1"/>
      <c r="SGK27" s="1"/>
      <c r="SGL27" s="1"/>
      <c r="SGM27" s="1"/>
      <c r="SGN27" s="1"/>
      <c r="SGO27" s="1"/>
      <c r="SGP27" s="1"/>
      <c r="SGQ27" s="1"/>
      <c r="SGR27" s="1"/>
      <c r="SGS27" s="1"/>
      <c r="SGT27" s="1"/>
      <c r="SGU27" s="1"/>
      <c r="SGV27" s="1"/>
      <c r="SGW27" s="1"/>
      <c r="SGX27" s="1"/>
      <c r="SGY27" s="1"/>
      <c r="SGZ27" s="1"/>
      <c r="SHA27" s="1"/>
      <c r="SHB27" s="1"/>
      <c r="SHC27" s="1"/>
      <c r="SHD27" s="1"/>
      <c r="SHE27" s="1"/>
      <c r="SHF27" s="1"/>
      <c r="SHG27" s="1"/>
      <c r="SHH27" s="1"/>
      <c r="SHI27" s="1"/>
      <c r="SHJ27" s="1"/>
      <c r="SHK27" s="1"/>
      <c r="SHL27" s="1"/>
      <c r="SHM27" s="1"/>
      <c r="SHN27" s="1"/>
      <c r="SHO27" s="1"/>
      <c r="SHP27" s="1"/>
      <c r="SHQ27" s="1"/>
      <c r="SHR27" s="1"/>
      <c r="SHS27" s="1"/>
      <c r="SHT27" s="1"/>
      <c r="SHU27" s="1"/>
      <c r="SHV27" s="1"/>
      <c r="SHW27" s="1"/>
      <c r="SHX27" s="1"/>
      <c r="SHY27" s="1"/>
      <c r="SHZ27" s="1"/>
      <c r="SIA27" s="1"/>
      <c r="SIB27" s="1"/>
      <c r="SIC27" s="1"/>
      <c r="SID27" s="1"/>
      <c r="SIE27" s="1"/>
      <c r="SIF27" s="1"/>
      <c r="SIG27" s="1"/>
      <c r="SIH27" s="1"/>
      <c r="SII27" s="1"/>
      <c r="SIJ27" s="1"/>
      <c r="SIK27" s="1"/>
      <c r="SIL27" s="1"/>
      <c r="SIM27" s="1"/>
      <c r="SIN27" s="1"/>
      <c r="SIO27" s="1"/>
      <c r="SIP27" s="1"/>
      <c r="SIQ27" s="1"/>
      <c r="SIR27" s="1"/>
      <c r="SIS27" s="1"/>
      <c r="SIT27" s="1"/>
      <c r="SIU27" s="1"/>
      <c r="SIV27" s="1"/>
      <c r="SIW27" s="1"/>
      <c r="SIX27" s="1"/>
      <c r="SIY27" s="1"/>
      <c r="SIZ27" s="1"/>
      <c r="SJA27" s="1"/>
      <c r="SJB27" s="1"/>
      <c r="SJC27" s="1"/>
      <c r="SJD27" s="1"/>
      <c r="SJE27" s="1"/>
      <c r="SJF27" s="1"/>
      <c r="SJG27" s="1"/>
      <c r="SJH27" s="1"/>
      <c r="SJI27" s="1"/>
      <c r="SJJ27" s="1"/>
      <c r="SJK27" s="1"/>
      <c r="SJL27" s="1"/>
      <c r="SJM27" s="1"/>
      <c r="SJN27" s="1"/>
      <c r="SJO27" s="1"/>
      <c r="SJP27" s="1"/>
      <c r="SJQ27" s="1"/>
      <c r="SJR27" s="1"/>
      <c r="SJS27" s="1"/>
      <c r="SJT27" s="1"/>
      <c r="SJU27" s="1"/>
      <c r="SJV27" s="1"/>
      <c r="SJW27" s="1"/>
      <c r="SJX27" s="1"/>
      <c r="SJY27" s="1"/>
      <c r="SJZ27" s="1"/>
      <c r="SKA27" s="1"/>
      <c r="SKB27" s="1"/>
      <c r="SKC27" s="1"/>
      <c r="SKD27" s="1"/>
      <c r="SKE27" s="1"/>
      <c r="SKF27" s="1"/>
      <c r="SKG27" s="1"/>
      <c r="SKH27" s="1"/>
      <c r="SKI27" s="1"/>
      <c r="SKJ27" s="1"/>
      <c r="SKK27" s="1"/>
      <c r="SKL27" s="1"/>
      <c r="SKM27" s="1"/>
      <c r="SKN27" s="1"/>
      <c r="SKO27" s="1"/>
      <c r="SKP27" s="1"/>
      <c r="SKQ27" s="1"/>
      <c r="SKR27" s="1"/>
      <c r="SKS27" s="1"/>
      <c r="SKT27" s="1"/>
      <c r="SKU27" s="1"/>
      <c r="SKV27" s="1"/>
      <c r="SKW27" s="1"/>
      <c r="SKX27" s="1"/>
      <c r="SKY27" s="1"/>
      <c r="SKZ27" s="1"/>
      <c r="SLA27" s="1"/>
      <c r="SLB27" s="1"/>
      <c r="SLC27" s="1"/>
      <c r="SLD27" s="1"/>
      <c r="SLE27" s="1"/>
      <c r="SLF27" s="1"/>
      <c r="SLG27" s="1"/>
      <c r="SLH27" s="1"/>
      <c r="SLI27" s="1"/>
      <c r="SLJ27" s="1"/>
      <c r="SLK27" s="1"/>
      <c r="SLL27" s="1"/>
      <c r="SLM27" s="1"/>
      <c r="SLN27" s="1"/>
      <c r="SLO27" s="1"/>
      <c r="SLP27" s="1"/>
      <c r="SLQ27" s="1"/>
      <c r="SLR27" s="1"/>
      <c r="SLS27" s="1"/>
      <c r="SLT27" s="1"/>
      <c r="SLU27" s="1"/>
      <c r="SLV27" s="1"/>
      <c r="SLW27" s="1"/>
      <c r="SLX27" s="1"/>
      <c r="SLY27" s="1"/>
      <c r="SLZ27" s="1"/>
      <c r="SMA27" s="1"/>
      <c r="SMB27" s="1"/>
      <c r="SMC27" s="1"/>
      <c r="SMD27" s="1"/>
      <c r="SME27" s="1"/>
      <c r="SMF27" s="1"/>
      <c r="SMG27" s="1"/>
      <c r="SMH27" s="1"/>
      <c r="SMI27" s="1"/>
      <c r="SMJ27" s="1"/>
      <c r="SMK27" s="1"/>
      <c r="SML27" s="1"/>
      <c r="SMM27" s="1"/>
      <c r="SMN27" s="1"/>
      <c r="SMO27" s="1"/>
      <c r="SMP27" s="1"/>
      <c r="SMQ27" s="1"/>
      <c r="SMR27" s="1"/>
      <c r="SMS27" s="1"/>
      <c r="SMT27" s="1"/>
      <c r="SMU27" s="1"/>
      <c r="SMV27" s="1"/>
      <c r="SMW27" s="1"/>
      <c r="SMX27" s="1"/>
      <c r="SMY27" s="1"/>
      <c r="SMZ27" s="1"/>
      <c r="SNA27" s="1"/>
      <c r="SNB27" s="1"/>
      <c r="SNC27" s="1"/>
      <c r="SND27" s="1"/>
      <c r="SNE27" s="1"/>
      <c r="SNF27" s="1"/>
      <c r="SNG27" s="1"/>
      <c r="SNH27" s="1"/>
      <c r="SNI27" s="1"/>
      <c r="SNJ27" s="1"/>
      <c r="SNK27" s="1"/>
      <c r="SNL27" s="1"/>
      <c r="SNM27" s="1"/>
      <c r="SNN27" s="1"/>
      <c r="SNO27" s="1"/>
      <c r="SNP27" s="1"/>
      <c r="SNQ27" s="1"/>
      <c r="SNR27" s="1"/>
      <c r="SNS27" s="1"/>
      <c r="SNT27" s="1"/>
      <c r="SNU27" s="1"/>
      <c r="SNV27" s="1"/>
      <c r="SNW27" s="1"/>
      <c r="SNX27" s="1"/>
      <c r="SNY27" s="1"/>
      <c r="SNZ27" s="1"/>
      <c r="SOA27" s="1"/>
      <c r="SOB27" s="1"/>
      <c r="SOC27" s="1"/>
      <c r="SOD27" s="1"/>
      <c r="SOE27" s="1"/>
      <c r="SOF27" s="1"/>
      <c r="SOG27" s="1"/>
      <c r="SOH27" s="1"/>
      <c r="SOI27" s="1"/>
      <c r="SOJ27" s="1"/>
      <c r="SOK27" s="1"/>
      <c r="SOL27" s="1"/>
      <c r="SOM27" s="1"/>
      <c r="SON27" s="1"/>
      <c r="SOO27" s="1"/>
      <c r="SOP27" s="1"/>
      <c r="SOQ27" s="1"/>
      <c r="SOR27" s="1"/>
      <c r="SOS27" s="1"/>
      <c r="SOT27" s="1"/>
      <c r="SOU27" s="1"/>
      <c r="SOV27" s="1"/>
      <c r="SOW27" s="1"/>
      <c r="SOX27" s="1"/>
      <c r="SOY27" s="1"/>
      <c r="SOZ27" s="1"/>
      <c r="SPA27" s="1"/>
      <c r="SPB27" s="1"/>
      <c r="SPC27" s="1"/>
      <c r="SPD27" s="1"/>
      <c r="SPE27" s="1"/>
      <c r="SPF27" s="1"/>
      <c r="SPG27" s="1"/>
      <c r="SPH27" s="1"/>
      <c r="SPI27" s="1"/>
      <c r="SPJ27" s="1"/>
      <c r="SPK27" s="1"/>
      <c r="SPL27" s="1"/>
      <c r="SPM27" s="1"/>
      <c r="SPN27" s="1"/>
      <c r="SPO27" s="1"/>
      <c r="SPP27" s="1"/>
      <c r="SPQ27" s="1"/>
      <c r="SPR27" s="1"/>
      <c r="SPS27" s="1"/>
      <c r="SPT27" s="1"/>
      <c r="SPU27" s="1"/>
      <c r="SPV27" s="1"/>
      <c r="SPW27" s="1"/>
      <c r="SPX27" s="1"/>
      <c r="SPY27" s="1"/>
      <c r="SPZ27" s="1"/>
      <c r="SQA27" s="1"/>
      <c r="SQB27" s="1"/>
      <c r="SQC27" s="1"/>
      <c r="SQD27" s="1"/>
      <c r="SQE27" s="1"/>
      <c r="SQF27" s="1"/>
      <c r="SQG27" s="1"/>
      <c r="SQH27" s="1"/>
      <c r="SQI27" s="1"/>
      <c r="SQJ27" s="1"/>
      <c r="SQK27" s="1"/>
      <c r="SQL27" s="1"/>
      <c r="SQM27" s="1"/>
      <c r="SQN27" s="1"/>
      <c r="SQO27" s="1"/>
      <c r="SQP27" s="1"/>
      <c r="SQQ27" s="1"/>
      <c r="SQR27" s="1"/>
      <c r="SQS27" s="1"/>
      <c r="SQT27" s="1"/>
      <c r="SQU27" s="1"/>
      <c r="SQV27" s="1"/>
      <c r="SQW27" s="1"/>
      <c r="SQX27" s="1"/>
      <c r="SQY27" s="1"/>
      <c r="SQZ27" s="1"/>
      <c r="SRA27" s="1"/>
      <c r="SRB27" s="1"/>
      <c r="SRC27" s="1"/>
      <c r="SRD27" s="1"/>
      <c r="SRE27" s="1"/>
      <c r="SRF27" s="1"/>
      <c r="SRG27" s="1"/>
      <c r="SRH27" s="1"/>
      <c r="SRI27" s="1"/>
      <c r="SRJ27" s="1"/>
      <c r="SRK27" s="1"/>
      <c r="SRL27" s="1"/>
      <c r="SRM27" s="1"/>
      <c r="SRN27" s="1"/>
      <c r="SRO27" s="1"/>
      <c r="SRP27" s="1"/>
      <c r="SRQ27" s="1"/>
      <c r="SRR27" s="1"/>
      <c r="SRS27" s="1"/>
      <c r="SRT27" s="1"/>
      <c r="SRU27" s="1"/>
      <c r="SRV27" s="1"/>
      <c r="SRW27" s="1"/>
      <c r="SRX27" s="1"/>
      <c r="SRY27" s="1"/>
      <c r="SRZ27" s="1"/>
      <c r="SSA27" s="1"/>
      <c r="SSB27" s="1"/>
      <c r="SSC27" s="1"/>
      <c r="SSD27" s="1"/>
      <c r="SSE27" s="1"/>
      <c r="SSF27" s="1"/>
      <c r="SSG27" s="1"/>
      <c r="SSH27" s="1"/>
      <c r="SSI27" s="1"/>
      <c r="SSJ27" s="1"/>
      <c r="SSK27" s="1"/>
      <c r="SSL27" s="1"/>
      <c r="SSM27" s="1"/>
      <c r="SSN27" s="1"/>
      <c r="SSO27" s="1"/>
      <c r="SSP27" s="1"/>
      <c r="SSQ27" s="1"/>
      <c r="SSR27" s="1"/>
      <c r="SSS27" s="1"/>
      <c r="SST27" s="1"/>
      <c r="SSU27" s="1"/>
      <c r="SSV27" s="1"/>
      <c r="SSW27" s="1"/>
      <c r="SSX27" s="1"/>
      <c r="SSY27" s="1"/>
      <c r="SSZ27" s="1"/>
      <c r="STA27" s="1"/>
      <c r="STB27" s="1"/>
      <c r="STC27" s="1"/>
      <c r="STD27" s="1"/>
      <c r="STE27" s="1"/>
      <c r="STF27" s="1"/>
      <c r="STG27" s="1"/>
      <c r="STH27" s="1"/>
      <c r="STI27" s="1"/>
      <c r="STJ27" s="1"/>
      <c r="STK27" s="1"/>
      <c r="STL27" s="1"/>
      <c r="STM27" s="1"/>
      <c r="STN27" s="1"/>
      <c r="STO27" s="1"/>
      <c r="STP27" s="1"/>
      <c r="STQ27" s="1"/>
      <c r="STR27" s="1"/>
      <c r="STS27" s="1"/>
      <c r="STT27" s="1"/>
      <c r="STU27" s="1"/>
      <c r="STV27" s="1"/>
      <c r="STW27" s="1"/>
      <c r="STX27" s="1"/>
      <c r="STY27" s="1"/>
      <c r="STZ27" s="1"/>
      <c r="SUA27" s="1"/>
      <c r="SUB27" s="1"/>
      <c r="SUC27" s="1"/>
      <c r="SUD27" s="1"/>
      <c r="SUE27" s="1"/>
      <c r="SUF27" s="1"/>
      <c r="SUG27" s="1"/>
      <c r="SUH27" s="1"/>
      <c r="SUI27" s="1"/>
      <c r="SUJ27" s="1"/>
      <c r="SUK27" s="1"/>
      <c r="SUL27" s="1"/>
      <c r="SUM27" s="1"/>
      <c r="SUN27" s="1"/>
      <c r="SUO27" s="1"/>
      <c r="SUP27" s="1"/>
      <c r="SUQ27" s="1"/>
      <c r="SUR27" s="1"/>
      <c r="SUS27" s="1"/>
      <c r="SUT27" s="1"/>
      <c r="SUU27" s="1"/>
      <c r="SUV27" s="1"/>
      <c r="SUW27" s="1"/>
      <c r="SUX27" s="1"/>
      <c r="SUY27" s="1"/>
      <c r="SUZ27" s="1"/>
      <c r="SVA27" s="1"/>
      <c r="SVB27" s="1"/>
      <c r="SVC27" s="1"/>
      <c r="SVD27" s="1"/>
      <c r="SVE27" s="1"/>
      <c r="SVF27" s="1"/>
      <c r="SVG27" s="1"/>
      <c r="SVH27" s="1"/>
      <c r="SVI27" s="1"/>
      <c r="SVJ27" s="1"/>
      <c r="SVK27" s="1"/>
      <c r="SVL27" s="1"/>
      <c r="SVM27" s="1"/>
      <c r="SVN27" s="1"/>
      <c r="SVO27" s="1"/>
      <c r="SVP27" s="1"/>
      <c r="SVQ27" s="1"/>
      <c r="SVR27" s="1"/>
      <c r="SVS27" s="1"/>
      <c r="SVT27" s="1"/>
      <c r="SVU27" s="1"/>
      <c r="SVV27" s="1"/>
      <c r="SVW27" s="1"/>
      <c r="SVX27" s="1"/>
      <c r="SVY27" s="1"/>
      <c r="SVZ27" s="1"/>
      <c r="SWA27" s="1"/>
      <c r="SWB27" s="1"/>
      <c r="SWC27" s="1"/>
      <c r="SWD27" s="1"/>
      <c r="SWE27" s="1"/>
      <c r="SWF27" s="1"/>
      <c r="SWG27" s="1"/>
      <c r="SWH27" s="1"/>
      <c r="SWI27" s="1"/>
      <c r="SWJ27" s="1"/>
      <c r="SWK27" s="1"/>
      <c r="SWL27" s="1"/>
      <c r="SWM27" s="1"/>
      <c r="SWN27" s="1"/>
      <c r="SWO27" s="1"/>
      <c r="SWP27" s="1"/>
      <c r="SWQ27" s="1"/>
      <c r="SWR27" s="1"/>
      <c r="SWS27" s="1"/>
      <c r="SWT27" s="1"/>
      <c r="SWU27" s="1"/>
      <c r="SWV27" s="1"/>
      <c r="SWW27" s="1"/>
      <c r="SWX27" s="1"/>
      <c r="SWY27" s="1"/>
      <c r="SWZ27" s="1"/>
      <c r="SXA27" s="1"/>
      <c r="SXB27" s="1"/>
      <c r="SXC27" s="1"/>
      <c r="SXD27" s="1"/>
      <c r="SXE27" s="1"/>
      <c r="SXF27" s="1"/>
      <c r="SXG27" s="1"/>
      <c r="SXH27" s="1"/>
      <c r="SXI27" s="1"/>
      <c r="SXJ27" s="1"/>
      <c r="SXK27" s="1"/>
      <c r="SXL27" s="1"/>
      <c r="SXM27" s="1"/>
      <c r="SXN27" s="1"/>
      <c r="SXO27" s="1"/>
      <c r="SXP27" s="1"/>
      <c r="SXQ27" s="1"/>
      <c r="SXR27" s="1"/>
      <c r="SXS27" s="1"/>
      <c r="SXT27" s="1"/>
      <c r="SXU27" s="1"/>
      <c r="SXV27" s="1"/>
      <c r="SXW27" s="1"/>
      <c r="SXX27" s="1"/>
      <c r="SXY27" s="1"/>
      <c r="SXZ27" s="1"/>
      <c r="SYA27" s="1"/>
      <c r="SYB27" s="1"/>
      <c r="SYC27" s="1"/>
      <c r="SYD27" s="1"/>
      <c r="SYE27" s="1"/>
      <c r="SYF27" s="1"/>
      <c r="SYG27" s="1"/>
      <c r="SYH27" s="1"/>
      <c r="SYI27" s="1"/>
      <c r="SYJ27" s="1"/>
      <c r="SYK27" s="1"/>
      <c r="SYL27" s="1"/>
      <c r="SYM27" s="1"/>
      <c r="SYN27" s="1"/>
      <c r="SYO27" s="1"/>
      <c r="SYP27" s="1"/>
      <c r="SYQ27" s="1"/>
      <c r="SYR27" s="1"/>
      <c r="SYS27" s="1"/>
      <c r="SYT27" s="1"/>
      <c r="SYU27" s="1"/>
      <c r="SYV27" s="1"/>
      <c r="SYW27" s="1"/>
      <c r="SYX27" s="1"/>
      <c r="SYY27" s="1"/>
      <c r="SYZ27" s="1"/>
      <c r="SZA27" s="1"/>
      <c r="SZB27" s="1"/>
      <c r="SZC27" s="1"/>
      <c r="SZD27" s="1"/>
      <c r="SZE27" s="1"/>
      <c r="SZF27" s="1"/>
      <c r="SZG27" s="1"/>
      <c r="SZH27" s="1"/>
      <c r="SZI27" s="1"/>
      <c r="SZJ27" s="1"/>
      <c r="SZK27" s="1"/>
      <c r="SZL27" s="1"/>
      <c r="SZM27" s="1"/>
      <c r="SZN27" s="1"/>
      <c r="SZO27" s="1"/>
      <c r="SZP27" s="1"/>
      <c r="SZQ27" s="1"/>
      <c r="SZR27" s="1"/>
      <c r="SZS27" s="1"/>
      <c r="SZT27" s="1"/>
      <c r="SZU27" s="1"/>
      <c r="SZV27" s="1"/>
      <c r="SZW27" s="1"/>
      <c r="SZX27" s="1"/>
      <c r="SZY27" s="1"/>
      <c r="SZZ27" s="1"/>
      <c r="TAA27" s="1"/>
      <c r="TAB27" s="1"/>
      <c r="TAC27" s="1"/>
      <c r="TAD27" s="1"/>
      <c r="TAE27" s="1"/>
      <c r="TAF27" s="1"/>
      <c r="TAG27" s="1"/>
      <c r="TAH27" s="1"/>
      <c r="TAI27" s="1"/>
      <c r="TAJ27" s="1"/>
      <c r="TAK27" s="1"/>
      <c r="TAL27" s="1"/>
      <c r="TAM27" s="1"/>
      <c r="TAN27" s="1"/>
      <c r="TAO27" s="1"/>
      <c r="TAP27" s="1"/>
      <c r="TAQ27" s="1"/>
      <c r="TAR27" s="1"/>
      <c r="TAS27" s="1"/>
      <c r="TAT27" s="1"/>
      <c r="TAU27" s="1"/>
      <c r="TAV27" s="1"/>
      <c r="TAW27" s="1"/>
      <c r="TAX27" s="1"/>
      <c r="TAY27" s="1"/>
      <c r="TAZ27" s="1"/>
      <c r="TBA27" s="1"/>
      <c r="TBB27" s="1"/>
      <c r="TBC27" s="1"/>
      <c r="TBD27" s="1"/>
      <c r="TBE27" s="1"/>
      <c r="TBF27" s="1"/>
      <c r="TBG27" s="1"/>
      <c r="TBH27" s="1"/>
      <c r="TBI27" s="1"/>
      <c r="TBJ27" s="1"/>
      <c r="TBK27" s="1"/>
      <c r="TBL27" s="1"/>
      <c r="TBM27" s="1"/>
      <c r="TBN27" s="1"/>
      <c r="TBO27" s="1"/>
      <c r="TBP27" s="1"/>
      <c r="TBQ27" s="1"/>
      <c r="TBR27" s="1"/>
      <c r="TBS27" s="1"/>
      <c r="TBT27" s="1"/>
      <c r="TBU27" s="1"/>
      <c r="TBV27" s="1"/>
      <c r="TBW27" s="1"/>
      <c r="TBX27" s="1"/>
      <c r="TBY27" s="1"/>
      <c r="TBZ27" s="1"/>
      <c r="TCA27" s="1"/>
      <c r="TCB27" s="1"/>
      <c r="TCC27" s="1"/>
      <c r="TCD27" s="1"/>
      <c r="TCE27" s="1"/>
      <c r="TCF27" s="1"/>
      <c r="TCG27" s="1"/>
      <c r="TCH27" s="1"/>
      <c r="TCI27" s="1"/>
      <c r="TCJ27" s="1"/>
      <c r="TCK27" s="1"/>
      <c r="TCL27" s="1"/>
      <c r="TCM27" s="1"/>
      <c r="TCN27" s="1"/>
      <c r="TCO27" s="1"/>
      <c r="TCP27" s="1"/>
      <c r="TCQ27" s="1"/>
      <c r="TCR27" s="1"/>
      <c r="TCS27" s="1"/>
      <c r="TCT27" s="1"/>
      <c r="TCU27" s="1"/>
      <c r="TCV27" s="1"/>
      <c r="TCW27" s="1"/>
      <c r="TCX27" s="1"/>
      <c r="TCY27" s="1"/>
      <c r="TCZ27" s="1"/>
      <c r="TDA27" s="1"/>
      <c r="TDB27" s="1"/>
      <c r="TDC27" s="1"/>
      <c r="TDD27" s="1"/>
      <c r="TDE27" s="1"/>
      <c r="TDF27" s="1"/>
      <c r="TDG27" s="1"/>
      <c r="TDH27" s="1"/>
      <c r="TDI27" s="1"/>
      <c r="TDJ27" s="1"/>
      <c r="TDK27" s="1"/>
      <c r="TDL27" s="1"/>
      <c r="TDM27" s="1"/>
      <c r="TDN27" s="1"/>
      <c r="TDO27" s="1"/>
      <c r="TDP27" s="1"/>
      <c r="TDQ27" s="1"/>
      <c r="TDR27" s="1"/>
      <c r="TDS27" s="1"/>
      <c r="TDT27" s="1"/>
      <c r="TDU27" s="1"/>
      <c r="TDV27" s="1"/>
      <c r="TDW27" s="1"/>
      <c r="TDX27" s="1"/>
      <c r="TDY27" s="1"/>
      <c r="TDZ27" s="1"/>
      <c r="TEA27" s="1"/>
      <c r="TEB27" s="1"/>
      <c r="TEC27" s="1"/>
      <c r="TED27" s="1"/>
      <c r="TEE27" s="1"/>
      <c r="TEF27" s="1"/>
      <c r="TEG27" s="1"/>
      <c r="TEH27" s="1"/>
      <c r="TEI27" s="1"/>
      <c r="TEJ27" s="1"/>
      <c r="TEK27" s="1"/>
      <c r="TEL27" s="1"/>
      <c r="TEM27" s="1"/>
      <c r="TEN27" s="1"/>
      <c r="TEO27" s="1"/>
      <c r="TEP27" s="1"/>
      <c r="TEQ27" s="1"/>
      <c r="TER27" s="1"/>
      <c r="TES27" s="1"/>
      <c r="TET27" s="1"/>
      <c r="TEU27" s="1"/>
      <c r="TEV27" s="1"/>
      <c r="TEW27" s="1"/>
      <c r="TEX27" s="1"/>
      <c r="TEY27" s="1"/>
      <c r="TEZ27" s="1"/>
      <c r="TFA27" s="1"/>
      <c r="TFB27" s="1"/>
      <c r="TFC27" s="1"/>
      <c r="TFD27" s="1"/>
      <c r="TFE27" s="1"/>
      <c r="TFF27" s="1"/>
      <c r="TFG27" s="1"/>
      <c r="TFH27" s="1"/>
      <c r="TFI27" s="1"/>
      <c r="TFJ27" s="1"/>
      <c r="TFK27" s="1"/>
      <c r="TFL27" s="1"/>
      <c r="TFM27" s="1"/>
      <c r="TFN27" s="1"/>
      <c r="TFO27" s="1"/>
      <c r="TFP27" s="1"/>
      <c r="TFQ27" s="1"/>
      <c r="TFR27" s="1"/>
      <c r="TFS27" s="1"/>
      <c r="TFT27" s="1"/>
      <c r="TFU27" s="1"/>
      <c r="TFV27" s="1"/>
      <c r="TFW27" s="1"/>
      <c r="TFX27" s="1"/>
      <c r="TFY27" s="1"/>
      <c r="TFZ27" s="1"/>
      <c r="TGA27" s="1"/>
      <c r="TGB27" s="1"/>
      <c r="TGC27" s="1"/>
      <c r="TGD27" s="1"/>
      <c r="TGE27" s="1"/>
      <c r="TGF27" s="1"/>
      <c r="TGG27" s="1"/>
      <c r="TGH27" s="1"/>
      <c r="TGI27" s="1"/>
      <c r="TGJ27" s="1"/>
      <c r="TGK27" s="1"/>
      <c r="TGL27" s="1"/>
      <c r="TGM27" s="1"/>
      <c r="TGN27" s="1"/>
      <c r="TGO27" s="1"/>
      <c r="TGP27" s="1"/>
      <c r="TGQ27" s="1"/>
      <c r="TGR27" s="1"/>
      <c r="TGS27" s="1"/>
      <c r="TGT27" s="1"/>
      <c r="TGU27" s="1"/>
      <c r="TGV27" s="1"/>
      <c r="TGW27" s="1"/>
      <c r="TGX27" s="1"/>
      <c r="TGY27" s="1"/>
      <c r="TGZ27" s="1"/>
      <c r="THA27" s="1"/>
      <c r="THB27" s="1"/>
      <c r="THC27" s="1"/>
      <c r="THD27" s="1"/>
      <c r="THE27" s="1"/>
      <c r="THF27" s="1"/>
      <c r="THG27" s="1"/>
      <c r="THH27" s="1"/>
      <c r="THI27" s="1"/>
      <c r="THJ27" s="1"/>
      <c r="THK27" s="1"/>
      <c r="THL27" s="1"/>
      <c r="THM27" s="1"/>
      <c r="THN27" s="1"/>
      <c r="THO27" s="1"/>
      <c r="THP27" s="1"/>
      <c r="THQ27" s="1"/>
      <c r="THR27" s="1"/>
      <c r="THS27" s="1"/>
      <c r="THT27" s="1"/>
      <c r="THU27" s="1"/>
      <c r="THV27" s="1"/>
      <c r="THW27" s="1"/>
      <c r="THX27" s="1"/>
      <c r="THY27" s="1"/>
      <c r="THZ27" s="1"/>
      <c r="TIA27" s="1"/>
      <c r="TIB27" s="1"/>
      <c r="TIC27" s="1"/>
      <c r="TID27" s="1"/>
      <c r="TIE27" s="1"/>
      <c r="TIF27" s="1"/>
      <c r="TIG27" s="1"/>
      <c r="TIH27" s="1"/>
      <c r="TII27" s="1"/>
      <c r="TIJ27" s="1"/>
      <c r="TIK27" s="1"/>
      <c r="TIL27" s="1"/>
      <c r="TIM27" s="1"/>
      <c r="TIN27" s="1"/>
      <c r="TIO27" s="1"/>
      <c r="TIP27" s="1"/>
      <c r="TIQ27" s="1"/>
      <c r="TIR27" s="1"/>
      <c r="TIS27" s="1"/>
      <c r="TIT27" s="1"/>
      <c r="TIU27" s="1"/>
      <c r="TIV27" s="1"/>
      <c r="TIW27" s="1"/>
      <c r="TIX27" s="1"/>
      <c r="TIY27" s="1"/>
      <c r="TIZ27" s="1"/>
      <c r="TJA27" s="1"/>
      <c r="TJB27" s="1"/>
      <c r="TJC27" s="1"/>
      <c r="TJD27" s="1"/>
      <c r="TJE27" s="1"/>
      <c r="TJF27" s="1"/>
      <c r="TJG27" s="1"/>
      <c r="TJH27" s="1"/>
      <c r="TJI27" s="1"/>
      <c r="TJJ27" s="1"/>
      <c r="TJK27" s="1"/>
      <c r="TJL27" s="1"/>
      <c r="TJM27" s="1"/>
      <c r="TJN27" s="1"/>
      <c r="TJO27" s="1"/>
      <c r="TJP27" s="1"/>
      <c r="TJQ27" s="1"/>
      <c r="TJR27" s="1"/>
      <c r="TJS27" s="1"/>
      <c r="TJT27" s="1"/>
      <c r="TJU27" s="1"/>
      <c r="TJV27" s="1"/>
      <c r="TJW27" s="1"/>
      <c r="TJX27" s="1"/>
      <c r="TJY27" s="1"/>
      <c r="TJZ27" s="1"/>
      <c r="TKA27" s="1"/>
      <c r="TKB27" s="1"/>
      <c r="TKC27" s="1"/>
      <c r="TKD27" s="1"/>
      <c r="TKE27" s="1"/>
      <c r="TKF27" s="1"/>
      <c r="TKG27" s="1"/>
      <c r="TKH27" s="1"/>
      <c r="TKI27" s="1"/>
      <c r="TKJ27" s="1"/>
      <c r="TKK27" s="1"/>
      <c r="TKL27" s="1"/>
      <c r="TKM27" s="1"/>
      <c r="TKN27" s="1"/>
      <c r="TKO27" s="1"/>
      <c r="TKP27" s="1"/>
      <c r="TKQ27" s="1"/>
      <c r="TKR27" s="1"/>
      <c r="TKS27" s="1"/>
      <c r="TKT27" s="1"/>
      <c r="TKU27" s="1"/>
      <c r="TKV27" s="1"/>
      <c r="TKW27" s="1"/>
      <c r="TKX27" s="1"/>
      <c r="TKY27" s="1"/>
      <c r="TKZ27" s="1"/>
      <c r="TLA27" s="1"/>
      <c r="TLB27" s="1"/>
      <c r="TLC27" s="1"/>
      <c r="TLD27" s="1"/>
      <c r="TLE27" s="1"/>
      <c r="TLF27" s="1"/>
      <c r="TLG27" s="1"/>
      <c r="TLH27" s="1"/>
      <c r="TLI27" s="1"/>
      <c r="TLJ27" s="1"/>
      <c r="TLK27" s="1"/>
      <c r="TLL27" s="1"/>
      <c r="TLM27" s="1"/>
      <c r="TLN27" s="1"/>
      <c r="TLO27" s="1"/>
      <c r="TLP27" s="1"/>
      <c r="TLQ27" s="1"/>
      <c r="TLR27" s="1"/>
      <c r="TLS27" s="1"/>
      <c r="TLT27" s="1"/>
      <c r="TLU27" s="1"/>
      <c r="TLV27" s="1"/>
      <c r="TLW27" s="1"/>
      <c r="TLX27" s="1"/>
      <c r="TLY27" s="1"/>
      <c r="TLZ27" s="1"/>
      <c r="TMA27" s="1"/>
      <c r="TMB27" s="1"/>
      <c r="TMC27" s="1"/>
      <c r="TMD27" s="1"/>
      <c r="TME27" s="1"/>
      <c r="TMF27" s="1"/>
      <c r="TMG27" s="1"/>
      <c r="TMH27" s="1"/>
      <c r="TMI27" s="1"/>
      <c r="TMJ27" s="1"/>
      <c r="TMK27" s="1"/>
      <c r="TML27" s="1"/>
      <c r="TMM27" s="1"/>
      <c r="TMN27" s="1"/>
      <c r="TMO27" s="1"/>
      <c r="TMP27" s="1"/>
      <c r="TMQ27" s="1"/>
      <c r="TMR27" s="1"/>
      <c r="TMS27" s="1"/>
      <c r="TMT27" s="1"/>
      <c r="TMU27" s="1"/>
      <c r="TMV27" s="1"/>
      <c r="TMW27" s="1"/>
      <c r="TMX27" s="1"/>
      <c r="TMY27" s="1"/>
      <c r="TMZ27" s="1"/>
      <c r="TNA27" s="1"/>
      <c r="TNB27" s="1"/>
      <c r="TNC27" s="1"/>
      <c r="TND27" s="1"/>
      <c r="TNE27" s="1"/>
      <c r="TNF27" s="1"/>
      <c r="TNG27" s="1"/>
      <c r="TNH27" s="1"/>
      <c r="TNI27" s="1"/>
      <c r="TNJ27" s="1"/>
      <c r="TNK27" s="1"/>
      <c r="TNL27" s="1"/>
      <c r="TNM27" s="1"/>
      <c r="TNN27" s="1"/>
      <c r="TNO27" s="1"/>
      <c r="TNP27" s="1"/>
      <c r="TNQ27" s="1"/>
      <c r="TNR27" s="1"/>
      <c r="TNS27" s="1"/>
      <c r="TNT27" s="1"/>
      <c r="TNU27" s="1"/>
      <c r="TNV27" s="1"/>
      <c r="TNW27" s="1"/>
      <c r="TNX27" s="1"/>
      <c r="TNY27" s="1"/>
      <c r="TNZ27" s="1"/>
      <c r="TOA27" s="1"/>
      <c r="TOB27" s="1"/>
      <c r="TOC27" s="1"/>
      <c r="TOD27" s="1"/>
      <c r="TOE27" s="1"/>
      <c r="TOF27" s="1"/>
      <c r="TOG27" s="1"/>
      <c r="TOH27" s="1"/>
      <c r="TOI27" s="1"/>
      <c r="TOJ27" s="1"/>
      <c r="TOK27" s="1"/>
      <c r="TOL27" s="1"/>
      <c r="TOM27" s="1"/>
      <c r="TON27" s="1"/>
      <c r="TOO27" s="1"/>
      <c r="TOP27" s="1"/>
      <c r="TOQ27" s="1"/>
      <c r="TOR27" s="1"/>
      <c r="TOS27" s="1"/>
      <c r="TOT27" s="1"/>
      <c r="TOU27" s="1"/>
      <c r="TOV27" s="1"/>
      <c r="TOW27" s="1"/>
      <c r="TOX27" s="1"/>
      <c r="TOY27" s="1"/>
      <c r="TOZ27" s="1"/>
      <c r="TPA27" s="1"/>
      <c r="TPB27" s="1"/>
      <c r="TPC27" s="1"/>
      <c r="TPD27" s="1"/>
      <c r="TPE27" s="1"/>
      <c r="TPF27" s="1"/>
      <c r="TPG27" s="1"/>
      <c r="TPH27" s="1"/>
      <c r="TPI27" s="1"/>
      <c r="TPJ27" s="1"/>
      <c r="TPK27" s="1"/>
      <c r="TPL27" s="1"/>
      <c r="TPM27" s="1"/>
      <c r="TPN27" s="1"/>
      <c r="TPO27" s="1"/>
      <c r="TPP27" s="1"/>
      <c r="TPQ27" s="1"/>
      <c r="TPR27" s="1"/>
      <c r="TPS27" s="1"/>
      <c r="TPT27" s="1"/>
      <c r="TPU27" s="1"/>
      <c r="TPV27" s="1"/>
      <c r="TPW27" s="1"/>
      <c r="TPX27" s="1"/>
      <c r="TPY27" s="1"/>
      <c r="TPZ27" s="1"/>
      <c r="TQA27" s="1"/>
      <c r="TQB27" s="1"/>
      <c r="TQC27" s="1"/>
      <c r="TQD27" s="1"/>
      <c r="TQE27" s="1"/>
      <c r="TQF27" s="1"/>
      <c r="TQG27" s="1"/>
      <c r="TQH27" s="1"/>
      <c r="TQI27" s="1"/>
      <c r="TQJ27" s="1"/>
      <c r="TQK27" s="1"/>
      <c r="TQL27" s="1"/>
      <c r="TQM27" s="1"/>
      <c r="TQN27" s="1"/>
      <c r="TQO27" s="1"/>
      <c r="TQP27" s="1"/>
      <c r="TQQ27" s="1"/>
      <c r="TQR27" s="1"/>
      <c r="TQS27" s="1"/>
      <c r="TQT27" s="1"/>
      <c r="TQU27" s="1"/>
      <c r="TQV27" s="1"/>
      <c r="TQW27" s="1"/>
      <c r="TQX27" s="1"/>
      <c r="TQY27" s="1"/>
      <c r="TQZ27" s="1"/>
      <c r="TRA27" s="1"/>
      <c r="TRB27" s="1"/>
      <c r="TRC27" s="1"/>
      <c r="TRD27" s="1"/>
      <c r="TRE27" s="1"/>
      <c r="TRF27" s="1"/>
      <c r="TRG27" s="1"/>
      <c r="TRH27" s="1"/>
      <c r="TRI27" s="1"/>
      <c r="TRJ27" s="1"/>
      <c r="TRK27" s="1"/>
      <c r="TRL27" s="1"/>
      <c r="TRM27" s="1"/>
      <c r="TRN27" s="1"/>
      <c r="TRO27" s="1"/>
      <c r="TRP27" s="1"/>
      <c r="TRQ27" s="1"/>
      <c r="TRR27" s="1"/>
      <c r="TRS27" s="1"/>
      <c r="TRT27" s="1"/>
      <c r="TRU27" s="1"/>
      <c r="TRV27" s="1"/>
      <c r="TRW27" s="1"/>
      <c r="TRX27" s="1"/>
      <c r="TRY27" s="1"/>
      <c r="TRZ27" s="1"/>
      <c r="TSA27" s="1"/>
      <c r="TSB27" s="1"/>
      <c r="TSC27" s="1"/>
      <c r="TSD27" s="1"/>
      <c r="TSE27" s="1"/>
      <c r="TSF27" s="1"/>
      <c r="TSG27" s="1"/>
      <c r="TSH27" s="1"/>
      <c r="TSI27" s="1"/>
      <c r="TSJ27" s="1"/>
      <c r="TSK27" s="1"/>
      <c r="TSL27" s="1"/>
      <c r="TSM27" s="1"/>
      <c r="TSN27" s="1"/>
      <c r="TSO27" s="1"/>
      <c r="TSP27" s="1"/>
      <c r="TSQ27" s="1"/>
      <c r="TSR27" s="1"/>
      <c r="TSS27" s="1"/>
      <c r="TST27" s="1"/>
      <c r="TSU27" s="1"/>
      <c r="TSV27" s="1"/>
      <c r="TSW27" s="1"/>
      <c r="TSX27" s="1"/>
      <c r="TSY27" s="1"/>
      <c r="TSZ27" s="1"/>
      <c r="TTA27" s="1"/>
      <c r="TTB27" s="1"/>
      <c r="TTC27" s="1"/>
      <c r="TTD27" s="1"/>
      <c r="TTE27" s="1"/>
      <c r="TTF27" s="1"/>
      <c r="TTG27" s="1"/>
      <c r="TTH27" s="1"/>
      <c r="TTI27" s="1"/>
      <c r="TTJ27" s="1"/>
      <c r="TTK27" s="1"/>
      <c r="TTL27" s="1"/>
      <c r="TTM27" s="1"/>
      <c r="TTN27" s="1"/>
      <c r="TTO27" s="1"/>
      <c r="TTP27" s="1"/>
      <c r="TTQ27" s="1"/>
      <c r="TTR27" s="1"/>
      <c r="TTS27" s="1"/>
      <c r="TTT27" s="1"/>
      <c r="TTU27" s="1"/>
      <c r="TTV27" s="1"/>
      <c r="TTW27" s="1"/>
      <c r="TTX27" s="1"/>
      <c r="TTY27" s="1"/>
      <c r="TTZ27" s="1"/>
      <c r="TUA27" s="1"/>
      <c r="TUB27" s="1"/>
      <c r="TUC27" s="1"/>
      <c r="TUD27" s="1"/>
      <c r="TUE27" s="1"/>
      <c r="TUF27" s="1"/>
      <c r="TUG27" s="1"/>
      <c r="TUH27" s="1"/>
      <c r="TUI27" s="1"/>
      <c r="TUJ27" s="1"/>
      <c r="TUK27" s="1"/>
      <c r="TUL27" s="1"/>
      <c r="TUM27" s="1"/>
      <c r="TUN27" s="1"/>
      <c r="TUO27" s="1"/>
      <c r="TUP27" s="1"/>
      <c r="TUQ27" s="1"/>
      <c r="TUR27" s="1"/>
      <c r="TUS27" s="1"/>
      <c r="TUT27" s="1"/>
      <c r="TUU27" s="1"/>
      <c r="TUV27" s="1"/>
      <c r="TUW27" s="1"/>
      <c r="TUX27" s="1"/>
      <c r="TUY27" s="1"/>
      <c r="TUZ27" s="1"/>
      <c r="TVA27" s="1"/>
      <c r="TVB27" s="1"/>
      <c r="TVC27" s="1"/>
      <c r="TVD27" s="1"/>
      <c r="TVE27" s="1"/>
      <c r="TVF27" s="1"/>
      <c r="TVG27" s="1"/>
      <c r="TVH27" s="1"/>
      <c r="TVI27" s="1"/>
      <c r="TVJ27" s="1"/>
      <c r="TVK27" s="1"/>
      <c r="TVL27" s="1"/>
      <c r="TVM27" s="1"/>
      <c r="TVN27" s="1"/>
      <c r="TVO27" s="1"/>
      <c r="TVP27" s="1"/>
      <c r="TVQ27" s="1"/>
      <c r="TVR27" s="1"/>
      <c r="TVS27" s="1"/>
      <c r="TVT27" s="1"/>
      <c r="TVU27" s="1"/>
      <c r="TVV27" s="1"/>
      <c r="TVW27" s="1"/>
      <c r="TVX27" s="1"/>
      <c r="TVY27" s="1"/>
      <c r="TVZ27" s="1"/>
      <c r="TWA27" s="1"/>
      <c r="TWB27" s="1"/>
      <c r="TWC27" s="1"/>
      <c r="TWD27" s="1"/>
      <c r="TWE27" s="1"/>
      <c r="TWF27" s="1"/>
      <c r="TWG27" s="1"/>
      <c r="TWH27" s="1"/>
      <c r="TWI27" s="1"/>
      <c r="TWJ27" s="1"/>
      <c r="TWK27" s="1"/>
      <c r="TWL27" s="1"/>
      <c r="TWM27" s="1"/>
      <c r="TWN27" s="1"/>
      <c r="TWO27" s="1"/>
      <c r="TWP27" s="1"/>
      <c r="TWQ27" s="1"/>
      <c r="TWR27" s="1"/>
      <c r="TWS27" s="1"/>
      <c r="TWT27" s="1"/>
      <c r="TWU27" s="1"/>
      <c r="TWV27" s="1"/>
      <c r="TWW27" s="1"/>
      <c r="TWX27" s="1"/>
      <c r="TWY27" s="1"/>
      <c r="TWZ27" s="1"/>
      <c r="TXA27" s="1"/>
      <c r="TXB27" s="1"/>
      <c r="TXC27" s="1"/>
      <c r="TXD27" s="1"/>
      <c r="TXE27" s="1"/>
      <c r="TXF27" s="1"/>
      <c r="TXG27" s="1"/>
      <c r="TXH27" s="1"/>
      <c r="TXI27" s="1"/>
      <c r="TXJ27" s="1"/>
      <c r="TXK27" s="1"/>
      <c r="TXL27" s="1"/>
      <c r="TXM27" s="1"/>
      <c r="TXN27" s="1"/>
      <c r="TXO27" s="1"/>
      <c r="TXP27" s="1"/>
      <c r="TXQ27" s="1"/>
      <c r="TXR27" s="1"/>
      <c r="TXS27" s="1"/>
      <c r="TXT27" s="1"/>
      <c r="TXU27" s="1"/>
      <c r="TXV27" s="1"/>
      <c r="TXW27" s="1"/>
      <c r="TXX27" s="1"/>
      <c r="TXY27" s="1"/>
      <c r="TXZ27" s="1"/>
      <c r="TYA27" s="1"/>
      <c r="TYB27" s="1"/>
      <c r="TYC27" s="1"/>
      <c r="TYD27" s="1"/>
      <c r="TYE27" s="1"/>
      <c r="TYF27" s="1"/>
      <c r="TYG27" s="1"/>
      <c r="TYH27" s="1"/>
      <c r="TYI27" s="1"/>
      <c r="TYJ27" s="1"/>
      <c r="TYK27" s="1"/>
      <c r="TYL27" s="1"/>
      <c r="TYM27" s="1"/>
      <c r="TYN27" s="1"/>
      <c r="TYO27" s="1"/>
      <c r="TYP27" s="1"/>
      <c r="TYQ27" s="1"/>
      <c r="TYR27" s="1"/>
      <c r="TYS27" s="1"/>
      <c r="TYT27" s="1"/>
      <c r="TYU27" s="1"/>
      <c r="TYV27" s="1"/>
      <c r="TYW27" s="1"/>
      <c r="TYX27" s="1"/>
      <c r="TYY27" s="1"/>
      <c r="TYZ27" s="1"/>
      <c r="TZA27" s="1"/>
      <c r="TZB27" s="1"/>
      <c r="TZC27" s="1"/>
      <c r="TZD27" s="1"/>
      <c r="TZE27" s="1"/>
      <c r="TZF27" s="1"/>
      <c r="TZG27" s="1"/>
      <c r="TZH27" s="1"/>
      <c r="TZI27" s="1"/>
      <c r="TZJ27" s="1"/>
      <c r="TZK27" s="1"/>
      <c r="TZL27" s="1"/>
      <c r="TZM27" s="1"/>
      <c r="TZN27" s="1"/>
      <c r="TZO27" s="1"/>
      <c r="TZP27" s="1"/>
      <c r="TZQ27" s="1"/>
      <c r="TZR27" s="1"/>
      <c r="TZS27" s="1"/>
      <c r="TZT27" s="1"/>
      <c r="TZU27" s="1"/>
      <c r="TZV27" s="1"/>
      <c r="TZW27" s="1"/>
      <c r="TZX27" s="1"/>
      <c r="TZY27" s="1"/>
      <c r="TZZ27" s="1"/>
      <c r="UAA27" s="1"/>
      <c r="UAB27" s="1"/>
      <c r="UAC27" s="1"/>
      <c r="UAD27" s="1"/>
      <c r="UAE27" s="1"/>
      <c r="UAF27" s="1"/>
      <c r="UAG27" s="1"/>
      <c r="UAH27" s="1"/>
      <c r="UAI27" s="1"/>
      <c r="UAJ27" s="1"/>
      <c r="UAK27" s="1"/>
      <c r="UAL27" s="1"/>
      <c r="UAM27" s="1"/>
      <c r="UAN27" s="1"/>
      <c r="UAO27" s="1"/>
      <c r="UAP27" s="1"/>
      <c r="UAQ27" s="1"/>
      <c r="UAR27" s="1"/>
      <c r="UAS27" s="1"/>
      <c r="UAT27" s="1"/>
      <c r="UAU27" s="1"/>
      <c r="UAV27" s="1"/>
      <c r="UAW27" s="1"/>
      <c r="UAX27" s="1"/>
      <c r="UAY27" s="1"/>
      <c r="UAZ27" s="1"/>
      <c r="UBA27" s="1"/>
      <c r="UBB27" s="1"/>
      <c r="UBC27" s="1"/>
      <c r="UBD27" s="1"/>
      <c r="UBE27" s="1"/>
      <c r="UBF27" s="1"/>
      <c r="UBG27" s="1"/>
      <c r="UBH27" s="1"/>
      <c r="UBI27" s="1"/>
      <c r="UBJ27" s="1"/>
      <c r="UBK27" s="1"/>
      <c r="UBL27" s="1"/>
      <c r="UBM27" s="1"/>
      <c r="UBN27" s="1"/>
      <c r="UBO27" s="1"/>
      <c r="UBP27" s="1"/>
      <c r="UBQ27" s="1"/>
      <c r="UBR27" s="1"/>
      <c r="UBS27" s="1"/>
      <c r="UBT27" s="1"/>
      <c r="UBU27" s="1"/>
      <c r="UBV27" s="1"/>
      <c r="UBW27" s="1"/>
      <c r="UBX27" s="1"/>
      <c r="UBY27" s="1"/>
      <c r="UBZ27" s="1"/>
      <c r="UCA27" s="1"/>
      <c r="UCB27" s="1"/>
      <c r="UCC27" s="1"/>
      <c r="UCD27" s="1"/>
      <c r="UCE27" s="1"/>
      <c r="UCF27" s="1"/>
      <c r="UCG27" s="1"/>
      <c r="UCH27" s="1"/>
      <c r="UCI27" s="1"/>
      <c r="UCJ27" s="1"/>
      <c r="UCK27" s="1"/>
      <c r="UCL27" s="1"/>
      <c r="UCM27" s="1"/>
      <c r="UCN27" s="1"/>
      <c r="UCO27" s="1"/>
      <c r="UCP27" s="1"/>
      <c r="UCQ27" s="1"/>
      <c r="UCR27" s="1"/>
      <c r="UCS27" s="1"/>
      <c r="UCT27" s="1"/>
      <c r="UCU27" s="1"/>
      <c r="UCV27" s="1"/>
      <c r="UCW27" s="1"/>
      <c r="UCX27" s="1"/>
      <c r="UCY27" s="1"/>
      <c r="UCZ27" s="1"/>
      <c r="UDA27" s="1"/>
      <c r="UDB27" s="1"/>
      <c r="UDC27" s="1"/>
      <c r="UDD27" s="1"/>
      <c r="UDE27" s="1"/>
      <c r="UDF27" s="1"/>
      <c r="UDG27" s="1"/>
      <c r="UDH27" s="1"/>
      <c r="UDI27" s="1"/>
      <c r="UDJ27" s="1"/>
      <c r="UDK27" s="1"/>
      <c r="UDL27" s="1"/>
      <c r="UDM27" s="1"/>
      <c r="UDN27" s="1"/>
      <c r="UDO27" s="1"/>
      <c r="UDP27" s="1"/>
      <c r="UDQ27" s="1"/>
      <c r="UDR27" s="1"/>
      <c r="UDS27" s="1"/>
      <c r="UDT27" s="1"/>
      <c r="UDU27" s="1"/>
      <c r="UDV27" s="1"/>
      <c r="UDW27" s="1"/>
      <c r="UDX27" s="1"/>
      <c r="UDY27" s="1"/>
      <c r="UDZ27" s="1"/>
      <c r="UEA27" s="1"/>
      <c r="UEB27" s="1"/>
      <c r="UEC27" s="1"/>
      <c r="UED27" s="1"/>
      <c r="UEE27" s="1"/>
      <c r="UEF27" s="1"/>
      <c r="UEG27" s="1"/>
      <c r="UEH27" s="1"/>
      <c r="UEI27" s="1"/>
      <c r="UEJ27" s="1"/>
      <c r="UEK27" s="1"/>
      <c r="UEL27" s="1"/>
      <c r="UEM27" s="1"/>
      <c r="UEN27" s="1"/>
      <c r="UEO27" s="1"/>
      <c r="UEP27" s="1"/>
      <c r="UEQ27" s="1"/>
      <c r="UER27" s="1"/>
      <c r="UES27" s="1"/>
      <c r="UET27" s="1"/>
      <c r="UEU27" s="1"/>
      <c r="UEV27" s="1"/>
      <c r="UEW27" s="1"/>
      <c r="UEX27" s="1"/>
      <c r="UEY27" s="1"/>
      <c r="UEZ27" s="1"/>
      <c r="UFA27" s="1"/>
      <c r="UFB27" s="1"/>
      <c r="UFC27" s="1"/>
      <c r="UFD27" s="1"/>
      <c r="UFE27" s="1"/>
      <c r="UFF27" s="1"/>
      <c r="UFG27" s="1"/>
      <c r="UFH27" s="1"/>
      <c r="UFI27" s="1"/>
      <c r="UFJ27" s="1"/>
      <c r="UFK27" s="1"/>
      <c r="UFL27" s="1"/>
      <c r="UFM27" s="1"/>
      <c r="UFN27" s="1"/>
      <c r="UFO27" s="1"/>
      <c r="UFP27" s="1"/>
      <c r="UFQ27" s="1"/>
      <c r="UFR27" s="1"/>
      <c r="UFS27" s="1"/>
      <c r="UFT27" s="1"/>
      <c r="UFU27" s="1"/>
      <c r="UFV27" s="1"/>
      <c r="UFW27" s="1"/>
      <c r="UFX27" s="1"/>
      <c r="UFY27" s="1"/>
      <c r="UFZ27" s="1"/>
      <c r="UGA27" s="1"/>
      <c r="UGB27" s="1"/>
      <c r="UGC27" s="1"/>
      <c r="UGD27" s="1"/>
      <c r="UGE27" s="1"/>
      <c r="UGF27" s="1"/>
      <c r="UGG27" s="1"/>
      <c r="UGH27" s="1"/>
      <c r="UGI27" s="1"/>
      <c r="UGJ27" s="1"/>
      <c r="UGK27" s="1"/>
      <c r="UGL27" s="1"/>
      <c r="UGM27" s="1"/>
      <c r="UGN27" s="1"/>
      <c r="UGO27" s="1"/>
      <c r="UGP27" s="1"/>
      <c r="UGQ27" s="1"/>
      <c r="UGR27" s="1"/>
      <c r="UGS27" s="1"/>
      <c r="UGT27" s="1"/>
      <c r="UGU27" s="1"/>
      <c r="UGV27" s="1"/>
      <c r="UGW27" s="1"/>
      <c r="UGX27" s="1"/>
      <c r="UGY27" s="1"/>
      <c r="UGZ27" s="1"/>
      <c r="UHA27" s="1"/>
      <c r="UHB27" s="1"/>
      <c r="UHC27" s="1"/>
      <c r="UHD27" s="1"/>
      <c r="UHE27" s="1"/>
      <c r="UHF27" s="1"/>
      <c r="UHG27" s="1"/>
      <c r="UHH27" s="1"/>
      <c r="UHI27" s="1"/>
      <c r="UHJ27" s="1"/>
      <c r="UHK27" s="1"/>
      <c r="UHL27" s="1"/>
      <c r="UHM27" s="1"/>
      <c r="UHN27" s="1"/>
      <c r="UHO27" s="1"/>
      <c r="UHP27" s="1"/>
      <c r="UHQ27" s="1"/>
      <c r="UHR27" s="1"/>
      <c r="UHS27" s="1"/>
      <c r="UHT27" s="1"/>
      <c r="UHU27" s="1"/>
      <c r="UHV27" s="1"/>
      <c r="UHW27" s="1"/>
      <c r="UHX27" s="1"/>
      <c r="UHY27" s="1"/>
      <c r="UHZ27" s="1"/>
      <c r="UIA27" s="1"/>
      <c r="UIB27" s="1"/>
      <c r="UIC27" s="1"/>
      <c r="UID27" s="1"/>
      <c r="UIE27" s="1"/>
      <c r="UIF27" s="1"/>
      <c r="UIG27" s="1"/>
      <c r="UIH27" s="1"/>
      <c r="UII27" s="1"/>
      <c r="UIJ27" s="1"/>
      <c r="UIK27" s="1"/>
      <c r="UIL27" s="1"/>
      <c r="UIM27" s="1"/>
      <c r="UIN27" s="1"/>
      <c r="UIO27" s="1"/>
      <c r="UIP27" s="1"/>
      <c r="UIQ27" s="1"/>
      <c r="UIR27" s="1"/>
      <c r="UIS27" s="1"/>
      <c r="UIT27" s="1"/>
      <c r="UIU27" s="1"/>
      <c r="UIV27" s="1"/>
      <c r="UIW27" s="1"/>
      <c r="UIX27" s="1"/>
      <c r="UIY27" s="1"/>
      <c r="UIZ27" s="1"/>
      <c r="UJA27" s="1"/>
      <c r="UJB27" s="1"/>
      <c r="UJC27" s="1"/>
      <c r="UJD27" s="1"/>
      <c r="UJE27" s="1"/>
      <c r="UJF27" s="1"/>
      <c r="UJG27" s="1"/>
      <c r="UJH27" s="1"/>
      <c r="UJI27" s="1"/>
      <c r="UJJ27" s="1"/>
      <c r="UJK27" s="1"/>
      <c r="UJL27" s="1"/>
      <c r="UJM27" s="1"/>
      <c r="UJN27" s="1"/>
      <c r="UJO27" s="1"/>
      <c r="UJP27" s="1"/>
      <c r="UJQ27" s="1"/>
      <c r="UJR27" s="1"/>
      <c r="UJS27" s="1"/>
      <c r="UJT27" s="1"/>
      <c r="UJU27" s="1"/>
      <c r="UJV27" s="1"/>
      <c r="UJW27" s="1"/>
      <c r="UJX27" s="1"/>
      <c r="UJY27" s="1"/>
      <c r="UJZ27" s="1"/>
      <c r="UKA27" s="1"/>
      <c r="UKB27" s="1"/>
      <c r="UKC27" s="1"/>
      <c r="UKD27" s="1"/>
      <c r="UKE27" s="1"/>
      <c r="UKF27" s="1"/>
      <c r="UKG27" s="1"/>
      <c r="UKH27" s="1"/>
      <c r="UKI27" s="1"/>
      <c r="UKJ27" s="1"/>
      <c r="UKK27" s="1"/>
      <c r="UKL27" s="1"/>
      <c r="UKM27" s="1"/>
      <c r="UKN27" s="1"/>
      <c r="UKO27" s="1"/>
      <c r="UKP27" s="1"/>
      <c r="UKQ27" s="1"/>
      <c r="UKR27" s="1"/>
      <c r="UKS27" s="1"/>
      <c r="UKT27" s="1"/>
      <c r="UKU27" s="1"/>
      <c r="UKV27" s="1"/>
      <c r="UKW27" s="1"/>
      <c r="UKX27" s="1"/>
      <c r="UKY27" s="1"/>
      <c r="UKZ27" s="1"/>
      <c r="ULA27" s="1"/>
      <c r="ULB27" s="1"/>
      <c r="ULC27" s="1"/>
      <c r="ULD27" s="1"/>
      <c r="ULE27" s="1"/>
      <c r="ULF27" s="1"/>
      <c r="ULG27" s="1"/>
      <c r="ULH27" s="1"/>
      <c r="ULI27" s="1"/>
      <c r="ULJ27" s="1"/>
      <c r="ULK27" s="1"/>
      <c r="ULL27" s="1"/>
      <c r="ULM27" s="1"/>
      <c r="ULN27" s="1"/>
      <c r="ULO27" s="1"/>
      <c r="ULP27" s="1"/>
      <c r="ULQ27" s="1"/>
      <c r="ULR27" s="1"/>
      <c r="ULS27" s="1"/>
      <c r="ULT27" s="1"/>
      <c r="ULU27" s="1"/>
      <c r="ULV27" s="1"/>
      <c r="ULW27" s="1"/>
      <c r="ULX27" s="1"/>
      <c r="ULY27" s="1"/>
      <c r="ULZ27" s="1"/>
      <c r="UMA27" s="1"/>
      <c r="UMB27" s="1"/>
      <c r="UMC27" s="1"/>
      <c r="UMD27" s="1"/>
      <c r="UME27" s="1"/>
      <c r="UMF27" s="1"/>
      <c r="UMG27" s="1"/>
      <c r="UMH27" s="1"/>
      <c r="UMI27" s="1"/>
      <c r="UMJ27" s="1"/>
      <c r="UMK27" s="1"/>
      <c r="UML27" s="1"/>
      <c r="UMM27" s="1"/>
      <c r="UMN27" s="1"/>
      <c r="UMO27" s="1"/>
      <c r="UMP27" s="1"/>
      <c r="UMQ27" s="1"/>
      <c r="UMR27" s="1"/>
      <c r="UMS27" s="1"/>
      <c r="UMT27" s="1"/>
      <c r="UMU27" s="1"/>
      <c r="UMV27" s="1"/>
      <c r="UMW27" s="1"/>
      <c r="UMX27" s="1"/>
      <c r="UMY27" s="1"/>
      <c r="UMZ27" s="1"/>
      <c r="UNA27" s="1"/>
      <c r="UNB27" s="1"/>
      <c r="UNC27" s="1"/>
      <c r="UND27" s="1"/>
      <c r="UNE27" s="1"/>
      <c r="UNF27" s="1"/>
      <c r="UNG27" s="1"/>
      <c r="UNH27" s="1"/>
      <c r="UNI27" s="1"/>
      <c r="UNJ27" s="1"/>
      <c r="UNK27" s="1"/>
      <c r="UNL27" s="1"/>
      <c r="UNM27" s="1"/>
      <c r="UNN27" s="1"/>
      <c r="UNO27" s="1"/>
      <c r="UNP27" s="1"/>
      <c r="UNQ27" s="1"/>
      <c r="UNR27" s="1"/>
      <c r="UNS27" s="1"/>
      <c r="UNT27" s="1"/>
      <c r="UNU27" s="1"/>
      <c r="UNV27" s="1"/>
      <c r="UNW27" s="1"/>
      <c r="UNX27" s="1"/>
      <c r="UNY27" s="1"/>
      <c r="UNZ27" s="1"/>
      <c r="UOA27" s="1"/>
      <c r="UOB27" s="1"/>
      <c r="UOC27" s="1"/>
      <c r="UOD27" s="1"/>
      <c r="UOE27" s="1"/>
      <c r="UOF27" s="1"/>
      <c r="UOG27" s="1"/>
      <c r="UOH27" s="1"/>
      <c r="UOI27" s="1"/>
      <c r="UOJ27" s="1"/>
      <c r="UOK27" s="1"/>
      <c r="UOL27" s="1"/>
      <c r="UOM27" s="1"/>
      <c r="UON27" s="1"/>
      <c r="UOO27" s="1"/>
      <c r="UOP27" s="1"/>
      <c r="UOQ27" s="1"/>
      <c r="UOR27" s="1"/>
      <c r="UOS27" s="1"/>
      <c r="UOT27" s="1"/>
      <c r="UOU27" s="1"/>
      <c r="UOV27" s="1"/>
      <c r="UOW27" s="1"/>
      <c r="UOX27" s="1"/>
      <c r="UOY27" s="1"/>
      <c r="UOZ27" s="1"/>
      <c r="UPA27" s="1"/>
      <c r="UPB27" s="1"/>
      <c r="UPC27" s="1"/>
      <c r="UPD27" s="1"/>
      <c r="UPE27" s="1"/>
      <c r="UPF27" s="1"/>
      <c r="UPG27" s="1"/>
      <c r="UPH27" s="1"/>
      <c r="UPI27" s="1"/>
      <c r="UPJ27" s="1"/>
      <c r="UPK27" s="1"/>
      <c r="UPL27" s="1"/>
      <c r="UPM27" s="1"/>
      <c r="UPN27" s="1"/>
      <c r="UPO27" s="1"/>
      <c r="UPP27" s="1"/>
      <c r="UPQ27" s="1"/>
      <c r="UPR27" s="1"/>
      <c r="UPS27" s="1"/>
      <c r="UPT27" s="1"/>
      <c r="UPU27" s="1"/>
      <c r="UPV27" s="1"/>
      <c r="UPW27" s="1"/>
      <c r="UPX27" s="1"/>
      <c r="UPY27" s="1"/>
      <c r="UPZ27" s="1"/>
      <c r="UQA27" s="1"/>
      <c r="UQB27" s="1"/>
      <c r="UQC27" s="1"/>
      <c r="UQD27" s="1"/>
      <c r="UQE27" s="1"/>
      <c r="UQF27" s="1"/>
      <c r="UQG27" s="1"/>
      <c r="UQH27" s="1"/>
      <c r="UQI27" s="1"/>
      <c r="UQJ27" s="1"/>
      <c r="UQK27" s="1"/>
      <c r="UQL27" s="1"/>
      <c r="UQM27" s="1"/>
      <c r="UQN27" s="1"/>
      <c r="UQO27" s="1"/>
      <c r="UQP27" s="1"/>
      <c r="UQQ27" s="1"/>
      <c r="UQR27" s="1"/>
      <c r="UQS27" s="1"/>
      <c r="UQT27" s="1"/>
      <c r="UQU27" s="1"/>
      <c r="UQV27" s="1"/>
      <c r="UQW27" s="1"/>
      <c r="UQX27" s="1"/>
      <c r="UQY27" s="1"/>
      <c r="UQZ27" s="1"/>
      <c r="URA27" s="1"/>
      <c r="URB27" s="1"/>
      <c r="URC27" s="1"/>
      <c r="URD27" s="1"/>
      <c r="URE27" s="1"/>
      <c r="URF27" s="1"/>
      <c r="URG27" s="1"/>
      <c r="URH27" s="1"/>
      <c r="URI27" s="1"/>
      <c r="URJ27" s="1"/>
      <c r="URK27" s="1"/>
      <c r="URL27" s="1"/>
      <c r="URM27" s="1"/>
      <c r="URN27" s="1"/>
      <c r="URO27" s="1"/>
      <c r="URP27" s="1"/>
      <c r="URQ27" s="1"/>
      <c r="URR27" s="1"/>
      <c r="URS27" s="1"/>
      <c r="URT27" s="1"/>
      <c r="URU27" s="1"/>
      <c r="URV27" s="1"/>
      <c r="URW27" s="1"/>
      <c r="URX27" s="1"/>
      <c r="URY27" s="1"/>
      <c r="URZ27" s="1"/>
      <c r="USA27" s="1"/>
      <c r="USB27" s="1"/>
      <c r="USC27" s="1"/>
      <c r="USD27" s="1"/>
      <c r="USE27" s="1"/>
      <c r="USF27" s="1"/>
      <c r="USG27" s="1"/>
      <c r="USH27" s="1"/>
      <c r="USI27" s="1"/>
      <c r="USJ27" s="1"/>
      <c r="USK27" s="1"/>
      <c r="USL27" s="1"/>
      <c r="USM27" s="1"/>
      <c r="USN27" s="1"/>
      <c r="USO27" s="1"/>
      <c r="USP27" s="1"/>
      <c r="USQ27" s="1"/>
      <c r="USR27" s="1"/>
      <c r="USS27" s="1"/>
      <c r="UST27" s="1"/>
      <c r="USU27" s="1"/>
      <c r="USV27" s="1"/>
      <c r="USW27" s="1"/>
      <c r="USX27" s="1"/>
      <c r="USY27" s="1"/>
      <c r="USZ27" s="1"/>
      <c r="UTA27" s="1"/>
      <c r="UTB27" s="1"/>
      <c r="UTC27" s="1"/>
      <c r="UTD27" s="1"/>
      <c r="UTE27" s="1"/>
      <c r="UTF27" s="1"/>
      <c r="UTG27" s="1"/>
      <c r="UTH27" s="1"/>
      <c r="UTI27" s="1"/>
      <c r="UTJ27" s="1"/>
      <c r="UTK27" s="1"/>
      <c r="UTL27" s="1"/>
      <c r="UTM27" s="1"/>
      <c r="UTN27" s="1"/>
      <c r="UTO27" s="1"/>
      <c r="UTP27" s="1"/>
      <c r="UTQ27" s="1"/>
      <c r="UTR27" s="1"/>
      <c r="UTS27" s="1"/>
      <c r="UTT27" s="1"/>
      <c r="UTU27" s="1"/>
      <c r="UTV27" s="1"/>
      <c r="UTW27" s="1"/>
      <c r="UTX27" s="1"/>
      <c r="UTY27" s="1"/>
      <c r="UTZ27" s="1"/>
      <c r="UUA27" s="1"/>
      <c r="UUB27" s="1"/>
      <c r="UUC27" s="1"/>
      <c r="UUD27" s="1"/>
      <c r="UUE27" s="1"/>
      <c r="UUF27" s="1"/>
      <c r="UUG27" s="1"/>
      <c r="UUH27" s="1"/>
      <c r="UUI27" s="1"/>
      <c r="UUJ27" s="1"/>
      <c r="UUK27" s="1"/>
      <c r="UUL27" s="1"/>
      <c r="UUM27" s="1"/>
      <c r="UUN27" s="1"/>
      <c r="UUO27" s="1"/>
      <c r="UUP27" s="1"/>
      <c r="UUQ27" s="1"/>
      <c r="UUR27" s="1"/>
      <c r="UUS27" s="1"/>
      <c r="UUT27" s="1"/>
      <c r="UUU27" s="1"/>
      <c r="UUV27" s="1"/>
      <c r="UUW27" s="1"/>
      <c r="UUX27" s="1"/>
      <c r="UUY27" s="1"/>
      <c r="UUZ27" s="1"/>
      <c r="UVA27" s="1"/>
      <c r="UVB27" s="1"/>
      <c r="UVC27" s="1"/>
      <c r="UVD27" s="1"/>
      <c r="UVE27" s="1"/>
      <c r="UVF27" s="1"/>
      <c r="UVG27" s="1"/>
      <c r="UVH27" s="1"/>
      <c r="UVI27" s="1"/>
      <c r="UVJ27" s="1"/>
      <c r="UVK27" s="1"/>
      <c r="UVL27" s="1"/>
      <c r="UVM27" s="1"/>
      <c r="UVN27" s="1"/>
      <c r="UVO27" s="1"/>
      <c r="UVP27" s="1"/>
      <c r="UVQ27" s="1"/>
      <c r="UVR27" s="1"/>
      <c r="UVS27" s="1"/>
      <c r="UVT27" s="1"/>
      <c r="UVU27" s="1"/>
      <c r="UVV27" s="1"/>
      <c r="UVW27" s="1"/>
      <c r="UVX27" s="1"/>
      <c r="UVY27" s="1"/>
      <c r="UVZ27" s="1"/>
      <c r="UWA27" s="1"/>
      <c r="UWB27" s="1"/>
      <c r="UWC27" s="1"/>
      <c r="UWD27" s="1"/>
      <c r="UWE27" s="1"/>
      <c r="UWF27" s="1"/>
      <c r="UWG27" s="1"/>
      <c r="UWH27" s="1"/>
      <c r="UWI27" s="1"/>
      <c r="UWJ27" s="1"/>
      <c r="UWK27" s="1"/>
      <c r="UWL27" s="1"/>
      <c r="UWM27" s="1"/>
      <c r="UWN27" s="1"/>
      <c r="UWO27" s="1"/>
      <c r="UWP27" s="1"/>
      <c r="UWQ27" s="1"/>
      <c r="UWR27" s="1"/>
      <c r="UWS27" s="1"/>
      <c r="UWT27" s="1"/>
      <c r="UWU27" s="1"/>
      <c r="UWV27" s="1"/>
      <c r="UWW27" s="1"/>
      <c r="UWX27" s="1"/>
      <c r="UWY27" s="1"/>
      <c r="UWZ27" s="1"/>
      <c r="UXA27" s="1"/>
      <c r="UXB27" s="1"/>
      <c r="UXC27" s="1"/>
      <c r="UXD27" s="1"/>
      <c r="UXE27" s="1"/>
      <c r="UXF27" s="1"/>
      <c r="UXG27" s="1"/>
      <c r="UXH27" s="1"/>
      <c r="UXI27" s="1"/>
      <c r="UXJ27" s="1"/>
      <c r="UXK27" s="1"/>
      <c r="UXL27" s="1"/>
      <c r="UXM27" s="1"/>
      <c r="UXN27" s="1"/>
      <c r="UXO27" s="1"/>
      <c r="UXP27" s="1"/>
      <c r="UXQ27" s="1"/>
      <c r="UXR27" s="1"/>
      <c r="UXS27" s="1"/>
      <c r="UXT27" s="1"/>
      <c r="UXU27" s="1"/>
      <c r="UXV27" s="1"/>
      <c r="UXW27" s="1"/>
      <c r="UXX27" s="1"/>
      <c r="UXY27" s="1"/>
      <c r="UXZ27" s="1"/>
      <c r="UYA27" s="1"/>
      <c r="UYB27" s="1"/>
      <c r="UYC27" s="1"/>
      <c r="UYD27" s="1"/>
      <c r="UYE27" s="1"/>
      <c r="UYF27" s="1"/>
      <c r="UYG27" s="1"/>
      <c r="UYH27" s="1"/>
      <c r="UYI27" s="1"/>
      <c r="UYJ27" s="1"/>
      <c r="UYK27" s="1"/>
      <c r="UYL27" s="1"/>
      <c r="UYM27" s="1"/>
      <c r="UYN27" s="1"/>
      <c r="UYO27" s="1"/>
      <c r="UYP27" s="1"/>
      <c r="UYQ27" s="1"/>
      <c r="UYR27" s="1"/>
      <c r="UYS27" s="1"/>
      <c r="UYT27" s="1"/>
      <c r="UYU27" s="1"/>
      <c r="UYV27" s="1"/>
      <c r="UYW27" s="1"/>
      <c r="UYX27" s="1"/>
      <c r="UYY27" s="1"/>
      <c r="UYZ27" s="1"/>
      <c r="UZA27" s="1"/>
      <c r="UZB27" s="1"/>
      <c r="UZC27" s="1"/>
      <c r="UZD27" s="1"/>
      <c r="UZE27" s="1"/>
      <c r="UZF27" s="1"/>
      <c r="UZG27" s="1"/>
      <c r="UZH27" s="1"/>
      <c r="UZI27" s="1"/>
      <c r="UZJ27" s="1"/>
      <c r="UZK27" s="1"/>
      <c r="UZL27" s="1"/>
      <c r="UZM27" s="1"/>
      <c r="UZN27" s="1"/>
      <c r="UZO27" s="1"/>
      <c r="UZP27" s="1"/>
      <c r="UZQ27" s="1"/>
      <c r="UZR27" s="1"/>
      <c r="UZS27" s="1"/>
      <c r="UZT27" s="1"/>
      <c r="UZU27" s="1"/>
      <c r="UZV27" s="1"/>
      <c r="UZW27" s="1"/>
      <c r="UZX27" s="1"/>
      <c r="UZY27" s="1"/>
      <c r="UZZ27" s="1"/>
      <c r="VAA27" s="1"/>
      <c r="VAB27" s="1"/>
      <c r="VAC27" s="1"/>
      <c r="VAD27" s="1"/>
      <c r="VAE27" s="1"/>
      <c r="VAF27" s="1"/>
      <c r="VAG27" s="1"/>
      <c r="VAH27" s="1"/>
      <c r="VAI27" s="1"/>
      <c r="VAJ27" s="1"/>
      <c r="VAK27" s="1"/>
      <c r="VAL27" s="1"/>
      <c r="VAM27" s="1"/>
      <c r="VAN27" s="1"/>
      <c r="VAO27" s="1"/>
      <c r="VAP27" s="1"/>
      <c r="VAQ27" s="1"/>
      <c r="VAR27" s="1"/>
      <c r="VAS27" s="1"/>
      <c r="VAT27" s="1"/>
      <c r="VAU27" s="1"/>
      <c r="VAV27" s="1"/>
      <c r="VAW27" s="1"/>
      <c r="VAX27" s="1"/>
      <c r="VAY27" s="1"/>
      <c r="VAZ27" s="1"/>
      <c r="VBA27" s="1"/>
      <c r="VBB27" s="1"/>
      <c r="VBC27" s="1"/>
      <c r="VBD27" s="1"/>
      <c r="VBE27" s="1"/>
      <c r="VBF27" s="1"/>
      <c r="VBG27" s="1"/>
      <c r="VBH27" s="1"/>
      <c r="VBI27" s="1"/>
      <c r="VBJ27" s="1"/>
      <c r="VBK27" s="1"/>
      <c r="VBL27" s="1"/>
      <c r="VBM27" s="1"/>
      <c r="VBN27" s="1"/>
      <c r="VBO27" s="1"/>
      <c r="VBP27" s="1"/>
      <c r="VBQ27" s="1"/>
      <c r="VBR27" s="1"/>
      <c r="VBS27" s="1"/>
      <c r="VBT27" s="1"/>
      <c r="VBU27" s="1"/>
      <c r="VBV27" s="1"/>
      <c r="VBW27" s="1"/>
      <c r="VBX27" s="1"/>
      <c r="VBY27" s="1"/>
      <c r="VBZ27" s="1"/>
      <c r="VCA27" s="1"/>
      <c r="VCB27" s="1"/>
      <c r="VCC27" s="1"/>
      <c r="VCD27" s="1"/>
      <c r="VCE27" s="1"/>
      <c r="VCF27" s="1"/>
      <c r="VCG27" s="1"/>
      <c r="VCH27" s="1"/>
      <c r="VCI27" s="1"/>
      <c r="VCJ27" s="1"/>
      <c r="VCK27" s="1"/>
      <c r="VCL27" s="1"/>
      <c r="VCM27" s="1"/>
      <c r="VCN27" s="1"/>
      <c r="VCO27" s="1"/>
      <c r="VCP27" s="1"/>
      <c r="VCQ27" s="1"/>
      <c r="VCR27" s="1"/>
      <c r="VCS27" s="1"/>
      <c r="VCT27" s="1"/>
      <c r="VCU27" s="1"/>
      <c r="VCV27" s="1"/>
      <c r="VCW27" s="1"/>
      <c r="VCX27" s="1"/>
      <c r="VCY27" s="1"/>
      <c r="VCZ27" s="1"/>
      <c r="VDA27" s="1"/>
      <c r="VDB27" s="1"/>
      <c r="VDC27" s="1"/>
      <c r="VDD27" s="1"/>
      <c r="VDE27" s="1"/>
      <c r="VDF27" s="1"/>
      <c r="VDG27" s="1"/>
      <c r="VDH27" s="1"/>
      <c r="VDI27" s="1"/>
      <c r="VDJ27" s="1"/>
      <c r="VDK27" s="1"/>
      <c r="VDL27" s="1"/>
      <c r="VDM27" s="1"/>
      <c r="VDN27" s="1"/>
      <c r="VDO27" s="1"/>
      <c r="VDP27" s="1"/>
      <c r="VDQ27" s="1"/>
      <c r="VDR27" s="1"/>
      <c r="VDS27" s="1"/>
      <c r="VDT27" s="1"/>
      <c r="VDU27" s="1"/>
      <c r="VDV27" s="1"/>
      <c r="VDW27" s="1"/>
      <c r="VDX27" s="1"/>
      <c r="VDY27" s="1"/>
      <c r="VDZ27" s="1"/>
      <c r="VEA27" s="1"/>
      <c r="VEB27" s="1"/>
      <c r="VEC27" s="1"/>
      <c r="VED27" s="1"/>
      <c r="VEE27" s="1"/>
      <c r="VEF27" s="1"/>
      <c r="VEG27" s="1"/>
      <c r="VEH27" s="1"/>
      <c r="VEI27" s="1"/>
      <c r="VEJ27" s="1"/>
      <c r="VEK27" s="1"/>
      <c r="VEL27" s="1"/>
      <c r="VEM27" s="1"/>
      <c r="VEN27" s="1"/>
      <c r="VEO27" s="1"/>
      <c r="VEP27" s="1"/>
      <c r="VEQ27" s="1"/>
      <c r="VER27" s="1"/>
      <c r="VES27" s="1"/>
      <c r="VET27" s="1"/>
      <c r="VEU27" s="1"/>
      <c r="VEV27" s="1"/>
      <c r="VEW27" s="1"/>
      <c r="VEX27" s="1"/>
      <c r="VEY27" s="1"/>
      <c r="VEZ27" s="1"/>
      <c r="VFA27" s="1"/>
      <c r="VFB27" s="1"/>
      <c r="VFC27" s="1"/>
      <c r="VFD27" s="1"/>
      <c r="VFE27" s="1"/>
      <c r="VFF27" s="1"/>
      <c r="VFG27" s="1"/>
      <c r="VFH27" s="1"/>
      <c r="VFI27" s="1"/>
      <c r="VFJ27" s="1"/>
      <c r="VFK27" s="1"/>
      <c r="VFL27" s="1"/>
      <c r="VFM27" s="1"/>
      <c r="VFN27" s="1"/>
      <c r="VFO27" s="1"/>
      <c r="VFP27" s="1"/>
      <c r="VFQ27" s="1"/>
      <c r="VFR27" s="1"/>
      <c r="VFS27" s="1"/>
      <c r="VFT27" s="1"/>
      <c r="VFU27" s="1"/>
      <c r="VFV27" s="1"/>
      <c r="VFW27" s="1"/>
      <c r="VFX27" s="1"/>
      <c r="VFY27" s="1"/>
      <c r="VFZ27" s="1"/>
      <c r="VGA27" s="1"/>
      <c r="VGB27" s="1"/>
      <c r="VGC27" s="1"/>
      <c r="VGD27" s="1"/>
      <c r="VGE27" s="1"/>
      <c r="VGF27" s="1"/>
      <c r="VGG27" s="1"/>
      <c r="VGH27" s="1"/>
      <c r="VGI27" s="1"/>
      <c r="VGJ27" s="1"/>
      <c r="VGK27" s="1"/>
      <c r="VGL27" s="1"/>
      <c r="VGM27" s="1"/>
      <c r="VGN27" s="1"/>
      <c r="VGO27" s="1"/>
      <c r="VGP27" s="1"/>
      <c r="VGQ27" s="1"/>
      <c r="VGR27" s="1"/>
      <c r="VGS27" s="1"/>
      <c r="VGT27" s="1"/>
      <c r="VGU27" s="1"/>
      <c r="VGV27" s="1"/>
      <c r="VGW27" s="1"/>
      <c r="VGX27" s="1"/>
      <c r="VGY27" s="1"/>
      <c r="VGZ27" s="1"/>
      <c r="VHA27" s="1"/>
      <c r="VHB27" s="1"/>
      <c r="VHC27" s="1"/>
      <c r="VHD27" s="1"/>
      <c r="VHE27" s="1"/>
      <c r="VHF27" s="1"/>
      <c r="VHG27" s="1"/>
      <c r="VHH27" s="1"/>
      <c r="VHI27" s="1"/>
      <c r="VHJ27" s="1"/>
      <c r="VHK27" s="1"/>
      <c r="VHL27" s="1"/>
      <c r="VHM27" s="1"/>
      <c r="VHN27" s="1"/>
      <c r="VHO27" s="1"/>
      <c r="VHP27" s="1"/>
      <c r="VHQ27" s="1"/>
      <c r="VHR27" s="1"/>
      <c r="VHS27" s="1"/>
      <c r="VHT27" s="1"/>
      <c r="VHU27" s="1"/>
      <c r="VHV27" s="1"/>
      <c r="VHW27" s="1"/>
      <c r="VHX27" s="1"/>
      <c r="VHY27" s="1"/>
      <c r="VHZ27" s="1"/>
      <c r="VIA27" s="1"/>
      <c r="VIB27" s="1"/>
      <c r="VIC27" s="1"/>
      <c r="VID27" s="1"/>
      <c r="VIE27" s="1"/>
      <c r="VIF27" s="1"/>
      <c r="VIG27" s="1"/>
      <c r="VIH27" s="1"/>
      <c r="VII27" s="1"/>
      <c r="VIJ27" s="1"/>
      <c r="VIK27" s="1"/>
      <c r="VIL27" s="1"/>
      <c r="VIM27" s="1"/>
      <c r="VIN27" s="1"/>
      <c r="VIO27" s="1"/>
      <c r="VIP27" s="1"/>
      <c r="VIQ27" s="1"/>
      <c r="VIR27" s="1"/>
      <c r="VIS27" s="1"/>
      <c r="VIT27" s="1"/>
      <c r="VIU27" s="1"/>
      <c r="VIV27" s="1"/>
      <c r="VIW27" s="1"/>
      <c r="VIX27" s="1"/>
      <c r="VIY27" s="1"/>
      <c r="VIZ27" s="1"/>
      <c r="VJA27" s="1"/>
      <c r="VJB27" s="1"/>
      <c r="VJC27" s="1"/>
      <c r="VJD27" s="1"/>
      <c r="VJE27" s="1"/>
      <c r="VJF27" s="1"/>
      <c r="VJG27" s="1"/>
      <c r="VJH27" s="1"/>
      <c r="VJI27" s="1"/>
      <c r="VJJ27" s="1"/>
      <c r="VJK27" s="1"/>
      <c r="VJL27" s="1"/>
      <c r="VJM27" s="1"/>
      <c r="VJN27" s="1"/>
      <c r="VJO27" s="1"/>
      <c r="VJP27" s="1"/>
      <c r="VJQ27" s="1"/>
      <c r="VJR27" s="1"/>
      <c r="VJS27" s="1"/>
      <c r="VJT27" s="1"/>
      <c r="VJU27" s="1"/>
      <c r="VJV27" s="1"/>
      <c r="VJW27" s="1"/>
      <c r="VJX27" s="1"/>
      <c r="VJY27" s="1"/>
      <c r="VJZ27" s="1"/>
      <c r="VKA27" s="1"/>
      <c r="VKB27" s="1"/>
      <c r="VKC27" s="1"/>
      <c r="VKD27" s="1"/>
      <c r="VKE27" s="1"/>
      <c r="VKF27" s="1"/>
      <c r="VKG27" s="1"/>
      <c r="VKH27" s="1"/>
      <c r="VKI27" s="1"/>
      <c r="VKJ27" s="1"/>
      <c r="VKK27" s="1"/>
      <c r="VKL27" s="1"/>
      <c r="VKM27" s="1"/>
      <c r="VKN27" s="1"/>
      <c r="VKO27" s="1"/>
      <c r="VKP27" s="1"/>
      <c r="VKQ27" s="1"/>
      <c r="VKR27" s="1"/>
      <c r="VKS27" s="1"/>
      <c r="VKT27" s="1"/>
      <c r="VKU27" s="1"/>
      <c r="VKV27" s="1"/>
      <c r="VKW27" s="1"/>
      <c r="VKX27" s="1"/>
      <c r="VKY27" s="1"/>
      <c r="VKZ27" s="1"/>
      <c r="VLA27" s="1"/>
      <c r="VLB27" s="1"/>
      <c r="VLC27" s="1"/>
      <c r="VLD27" s="1"/>
      <c r="VLE27" s="1"/>
      <c r="VLF27" s="1"/>
      <c r="VLG27" s="1"/>
      <c r="VLH27" s="1"/>
      <c r="VLI27" s="1"/>
      <c r="VLJ27" s="1"/>
      <c r="VLK27" s="1"/>
      <c r="VLL27" s="1"/>
      <c r="VLM27" s="1"/>
      <c r="VLN27" s="1"/>
      <c r="VLO27" s="1"/>
      <c r="VLP27" s="1"/>
      <c r="VLQ27" s="1"/>
      <c r="VLR27" s="1"/>
      <c r="VLS27" s="1"/>
      <c r="VLT27" s="1"/>
      <c r="VLU27" s="1"/>
      <c r="VLV27" s="1"/>
      <c r="VLW27" s="1"/>
      <c r="VLX27" s="1"/>
      <c r="VLY27" s="1"/>
      <c r="VLZ27" s="1"/>
      <c r="VMA27" s="1"/>
      <c r="VMB27" s="1"/>
      <c r="VMC27" s="1"/>
      <c r="VMD27" s="1"/>
      <c r="VME27" s="1"/>
      <c r="VMF27" s="1"/>
      <c r="VMG27" s="1"/>
      <c r="VMH27" s="1"/>
      <c r="VMI27" s="1"/>
      <c r="VMJ27" s="1"/>
      <c r="VMK27" s="1"/>
      <c r="VML27" s="1"/>
      <c r="VMM27" s="1"/>
      <c r="VMN27" s="1"/>
      <c r="VMO27" s="1"/>
      <c r="VMP27" s="1"/>
      <c r="VMQ27" s="1"/>
      <c r="VMR27" s="1"/>
      <c r="VMS27" s="1"/>
      <c r="VMT27" s="1"/>
      <c r="VMU27" s="1"/>
      <c r="VMV27" s="1"/>
      <c r="VMW27" s="1"/>
      <c r="VMX27" s="1"/>
      <c r="VMY27" s="1"/>
      <c r="VMZ27" s="1"/>
      <c r="VNA27" s="1"/>
      <c r="VNB27" s="1"/>
      <c r="VNC27" s="1"/>
      <c r="VND27" s="1"/>
      <c r="VNE27" s="1"/>
      <c r="VNF27" s="1"/>
      <c r="VNG27" s="1"/>
      <c r="VNH27" s="1"/>
      <c r="VNI27" s="1"/>
      <c r="VNJ27" s="1"/>
      <c r="VNK27" s="1"/>
      <c r="VNL27" s="1"/>
      <c r="VNM27" s="1"/>
      <c r="VNN27" s="1"/>
      <c r="VNO27" s="1"/>
      <c r="VNP27" s="1"/>
      <c r="VNQ27" s="1"/>
      <c r="VNR27" s="1"/>
      <c r="VNS27" s="1"/>
      <c r="VNT27" s="1"/>
      <c r="VNU27" s="1"/>
      <c r="VNV27" s="1"/>
      <c r="VNW27" s="1"/>
      <c r="VNX27" s="1"/>
      <c r="VNY27" s="1"/>
      <c r="VNZ27" s="1"/>
      <c r="VOA27" s="1"/>
      <c r="VOB27" s="1"/>
      <c r="VOC27" s="1"/>
      <c r="VOD27" s="1"/>
      <c r="VOE27" s="1"/>
      <c r="VOF27" s="1"/>
      <c r="VOG27" s="1"/>
      <c r="VOH27" s="1"/>
      <c r="VOI27" s="1"/>
      <c r="VOJ27" s="1"/>
      <c r="VOK27" s="1"/>
      <c r="VOL27" s="1"/>
      <c r="VOM27" s="1"/>
      <c r="VON27" s="1"/>
      <c r="VOO27" s="1"/>
      <c r="VOP27" s="1"/>
      <c r="VOQ27" s="1"/>
      <c r="VOR27" s="1"/>
      <c r="VOS27" s="1"/>
      <c r="VOT27" s="1"/>
      <c r="VOU27" s="1"/>
      <c r="VOV27" s="1"/>
      <c r="VOW27" s="1"/>
      <c r="VOX27" s="1"/>
      <c r="VOY27" s="1"/>
      <c r="VOZ27" s="1"/>
      <c r="VPA27" s="1"/>
      <c r="VPB27" s="1"/>
      <c r="VPC27" s="1"/>
      <c r="VPD27" s="1"/>
      <c r="VPE27" s="1"/>
      <c r="VPF27" s="1"/>
      <c r="VPG27" s="1"/>
      <c r="VPH27" s="1"/>
      <c r="VPI27" s="1"/>
      <c r="VPJ27" s="1"/>
      <c r="VPK27" s="1"/>
      <c r="VPL27" s="1"/>
      <c r="VPM27" s="1"/>
      <c r="VPN27" s="1"/>
      <c r="VPO27" s="1"/>
      <c r="VPP27" s="1"/>
      <c r="VPQ27" s="1"/>
      <c r="VPR27" s="1"/>
      <c r="VPS27" s="1"/>
      <c r="VPT27" s="1"/>
      <c r="VPU27" s="1"/>
      <c r="VPV27" s="1"/>
      <c r="VPW27" s="1"/>
      <c r="VPX27" s="1"/>
      <c r="VPY27" s="1"/>
      <c r="VPZ27" s="1"/>
      <c r="VQA27" s="1"/>
      <c r="VQB27" s="1"/>
      <c r="VQC27" s="1"/>
      <c r="VQD27" s="1"/>
      <c r="VQE27" s="1"/>
      <c r="VQF27" s="1"/>
      <c r="VQG27" s="1"/>
      <c r="VQH27" s="1"/>
      <c r="VQI27" s="1"/>
      <c r="VQJ27" s="1"/>
      <c r="VQK27" s="1"/>
      <c r="VQL27" s="1"/>
      <c r="VQM27" s="1"/>
      <c r="VQN27" s="1"/>
      <c r="VQO27" s="1"/>
      <c r="VQP27" s="1"/>
      <c r="VQQ27" s="1"/>
      <c r="VQR27" s="1"/>
      <c r="VQS27" s="1"/>
      <c r="VQT27" s="1"/>
      <c r="VQU27" s="1"/>
      <c r="VQV27" s="1"/>
      <c r="VQW27" s="1"/>
      <c r="VQX27" s="1"/>
      <c r="VQY27" s="1"/>
      <c r="VQZ27" s="1"/>
      <c r="VRA27" s="1"/>
      <c r="VRB27" s="1"/>
      <c r="VRC27" s="1"/>
      <c r="VRD27" s="1"/>
      <c r="VRE27" s="1"/>
      <c r="VRF27" s="1"/>
      <c r="VRG27" s="1"/>
      <c r="VRH27" s="1"/>
      <c r="VRI27" s="1"/>
      <c r="VRJ27" s="1"/>
      <c r="VRK27" s="1"/>
      <c r="VRL27" s="1"/>
      <c r="VRM27" s="1"/>
      <c r="VRN27" s="1"/>
      <c r="VRO27" s="1"/>
      <c r="VRP27" s="1"/>
      <c r="VRQ27" s="1"/>
      <c r="VRR27" s="1"/>
      <c r="VRS27" s="1"/>
      <c r="VRT27" s="1"/>
      <c r="VRU27" s="1"/>
      <c r="VRV27" s="1"/>
      <c r="VRW27" s="1"/>
      <c r="VRX27" s="1"/>
      <c r="VRY27" s="1"/>
      <c r="VRZ27" s="1"/>
      <c r="VSA27" s="1"/>
      <c r="VSB27" s="1"/>
      <c r="VSC27" s="1"/>
      <c r="VSD27" s="1"/>
      <c r="VSE27" s="1"/>
      <c r="VSF27" s="1"/>
      <c r="VSG27" s="1"/>
      <c r="VSH27" s="1"/>
      <c r="VSI27" s="1"/>
      <c r="VSJ27" s="1"/>
      <c r="VSK27" s="1"/>
      <c r="VSL27" s="1"/>
      <c r="VSM27" s="1"/>
      <c r="VSN27" s="1"/>
      <c r="VSO27" s="1"/>
      <c r="VSP27" s="1"/>
      <c r="VSQ27" s="1"/>
      <c r="VSR27" s="1"/>
      <c r="VSS27" s="1"/>
      <c r="VST27" s="1"/>
      <c r="VSU27" s="1"/>
      <c r="VSV27" s="1"/>
      <c r="VSW27" s="1"/>
      <c r="VSX27" s="1"/>
      <c r="VSY27" s="1"/>
      <c r="VSZ27" s="1"/>
      <c r="VTA27" s="1"/>
      <c r="VTB27" s="1"/>
      <c r="VTC27" s="1"/>
      <c r="VTD27" s="1"/>
      <c r="VTE27" s="1"/>
      <c r="VTF27" s="1"/>
      <c r="VTG27" s="1"/>
      <c r="VTH27" s="1"/>
      <c r="VTI27" s="1"/>
      <c r="VTJ27" s="1"/>
      <c r="VTK27" s="1"/>
      <c r="VTL27" s="1"/>
      <c r="VTM27" s="1"/>
      <c r="VTN27" s="1"/>
      <c r="VTO27" s="1"/>
      <c r="VTP27" s="1"/>
      <c r="VTQ27" s="1"/>
      <c r="VTR27" s="1"/>
      <c r="VTS27" s="1"/>
      <c r="VTT27" s="1"/>
      <c r="VTU27" s="1"/>
      <c r="VTV27" s="1"/>
      <c r="VTW27" s="1"/>
      <c r="VTX27" s="1"/>
      <c r="VTY27" s="1"/>
      <c r="VTZ27" s="1"/>
      <c r="VUA27" s="1"/>
      <c r="VUB27" s="1"/>
      <c r="VUC27" s="1"/>
      <c r="VUD27" s="1"/>
      <c r="VUE27" s="1"/>
      <c r="VUF27" s="1"/>
      <c r="VUG27" s="1"/>
      <c r="VUH27" s="1"/>
      <c r="VUI27" s="1"/>
      <c r="VUJ27" s="1"/>
      <c r="VUK27" s="1"/>
      <c r="VUL27" s="1"/>
      <c r="VUM27" s="1"/>
      <c r="VUN27" s="1"/>
      <c r="VUO27" s="1"/>
      <c r="VUP27" s="1"/>
      <c r="VUQ27" s="1"/>
      <c r="VUR27" s="1"/>
      <c r="VUS27" s="1"/>
      <c r="VUT27" s="1"/>
      <c r="VUU27" s="1"/>
      <c r="VUV27" s="1"/>
      <c r="VUW27" s="1"/>
      <c r="VUX27" s="1"/>
      <c r="VUY27" s="1"/>
      <c r="VUZ27" s="1"/>
      <c r="VVA27" s="1"/>
      <c r="VVB27" s="1"/>
      <c r="VVC27" s="1"/>
      <c r="VVD27" s="1"/>
      <c r="VVE27" s="1"/>
      <c r="VVF27" s="1"/>
      <c r="VVG27" s="1"/>
      <c r="VVH27" s="1"/>
      <c r="VVI27" s="1"/>
      <c r="VVJ27" s="1"/>
      <c r="VVK27" s="1"/>
      <c r="VVL27" s="1"/>
      <c r="VVM27" s="1"/>
      <c r="VVN27" s="1"/>
      <c r="VVO27" s="1"/>
      <c r="VVP27" s="1"/>
      <c r="VVQ27" s="1"/>
      <c r="VVR27" s="1"/>
      <c r="VVS27" s="1"/>
      <c r="VVT27" s="1"/>
      <c r="VVU27" s="1"/>
      <c r="VVV27" s="1"/>
      <c r="VVW27" s="1"/>
      <c r="VVX27" s="1"/>
      <c r="VVY27" s="1"/>
      <c r="VVZ27" s="1"/>
      <c r="VWA27" s="1"/>
      <c r="VWB27" s="1"/>
      <c r="VWC27" s="1"/>
      <c r="VWD27" s="1"/>
      <c r="VWE27" s="1"/>
      <c r="VWF27" s="1"/>
      <c r="VWG27" s="1"/>
      <c r="VWH27" s="1"/>
      <c r="VWI27" s="1"/>
      <c r="VWJ27" s="1"/>
      <c r="VWK27" s="1"/>
      <c r="VWL27" s="1"/>
      <c r="VWM27" s="1"/>
      <c r="VWN27" s="1"/>
      <c r="VWO27" s="1"/>
      <c r="VWP27" s="1"/>
      <c r="VWQ27" s="1"/>
      <c r="VWR27" s="1"/>
      <c r="VWS27" s="1"/>
      <c r="VWT27" s="1"/>
      <c r="VWU27" s="1"/>
      <c r="VWV27" s="1"/>
      <c r="VWW27" s="1"/>
      <c r="VWX27" s="1"/>
      <c r="VWY27" s="1"/>
      <c r="VWZ27" s="1"/>
      <c r="VXA27" s="1"/>
      <c r="VXB27" s="1"/>
      <c r="VXC27" s="1"/>
      <c r="VXD27" s="1"/>
      <c r="VXE27" s="1"/>
      <c r="VXF27" s="1"/>
      <c r="VXG27" s="1"/>
      <c r="VXH27" s="1"/>
      <c r="VXI27" s="1"/>
      <c r="VXJ27" s="1"/>
      <c r="VXK27" s="1"/>
      <c r="VXL27" s="1"/>
      <c r="VXM27" s="1"/>
      <c r="VXN27" s="1"/>
      <c r="VXO27" s="1"/>
      <c r="VXP27" s="1"/>
      <c r="VXQ27" s="1"/>
      <c r="VXR27" s="1"/>
      <c r="VXS27" s="1"/>
      <c r="VXT27" s="1"/>
      <c r="VXU27" s="1"/>
      <c r="VXV27" s="1"/>
      <c r="VXW27" s="1"/>
      <c r="VXX27" s="1"/>
      <c r="VXY27" s="1"/>
      <c r="VXZ27" s="1"/>
      <c r="VYA27" s="1"/>
      <c r="VYB27" s="1"/>
      <c r="VYC27" s="1"/>
      <c r="VYD27" s="1"/>
      <c r="VYE27" s="1"/>
      <c r="VYF27" s="1"/>
      <c r="VYG27" s="1"/>
      <c r="VYH27" s="1"/>
      <c r="VYI27" s="1"/>
      <c r="VYJ27" s="1"/>
      <c r="VYK27" s="1"/>
      <c r="VYL27" s="1"/>
      <c r="VYM27" s="1"/>
      <c r="VYN27" s="1"/>
      <c r="VYO27" s="1"/>
      <c r="VYP27" s="1"/>
      <c r="VYQ27" s="1"/>
      <c r="VYR27" s="1"/>
      <c r="VYS27" s="1"/>
      <c r="VYT27" s="1"/>
      <c r="VYU27" s="1"/>
      <c r="VYV27" s="1"/>
      <c r="VYW27" s="1"/>
      <c r="VYX27" s="1"/>
      <c r="VYY27" s="1"/>
      <c r="VYZ27" s="1"/>
      <c r="VZA27" s="1"/>
      <c r="VZB27" s="1"/>
      <c r="VZC27" s="1"/>
      <c r="VZD27" s="1"/>
      <c r="VZE27" s="1"/>
      <c r="VZF27" s="1"/>
      <c r="VZG27" s="1"/>
      <c r="VZH27" s="1"/>
      <c r="VZI27" s="1"/>
      <c r="VZJ27" s="1"/>
      <c r="VZK27" s="1"/>
      <c r="VZL27" s="1"/>
      <c r="VZM27" s="1"/>
      <c r="VZN27" s="1"/>
      <c r="VZO27" s="1"/>
      <c r="VZP27" s="1"/>
      <c r="VZQ27" s="1"/>
      <c r="VZR27" s="1"/>
      <c r="VZS27" s="1"/>
      <c r="VZT27" s="1"/>
      <c r="VZU27" s="1"/>
      <c r="VZV27" s="1"/>
      <c r="VZW27" s="1"/>
      <c r="VZX27" s="1"/>
      <c r="VZY27" s="1"/>
      <c r="VZZ27" s="1"/>
      <c r="WAA27" s="1"/>
      <c r="WAB27" s="1"/>
      <c r="WAC27" s="1"/>
      <c r="WAD27" s="1"/>
      <c r="WAE27" s="1"/>
      <c r="WAF27" s="1"/>
      <c r="WAG27" s="1"/>
      <c r="WAH27" s="1"/>
      <c r="WAI27" s="1"/>
      <c r="WAJ27" s="1"/>
      <c r="WAK27" s="1"/>
      <c r="WAL27" s="1"/>
      <c r="WAM27" s="1"/>
      <c r="WAN27" s="1"/>
      <c r="WAO27" s="1"/>
      <c r="WAP27" s="1"/>
      <c r="WAQ27" s="1"/>
      <c r="WAR27" s="1"/>
      <c r="WAS27" s="1"/>
      <c r="WAT27" s="1"/>
      <c r="WAU27" s="1"/>
      <c r="WAV27" s="1"/>
      <c r="WAW27" s="1"/>
      <c r="WAX27" s="1"/>
      <c r="WAY27" s="1"/>
      <c r="WAZ27" s="1"/>
      <c r="WBA27" s="1"/>
      <c r="WBB27" s="1"/>
      <c r="WBC27" s="1"/>
      <c r="WBD27" s="1"/>
      <c r="WBE27" s="1"/>
      <c r="WBF27" s="1"/>
      <c r="WBG27" s="1"/>
      <c r="WBH27" s="1"/>
      <c r="WBI27" s="1"/>
      <c r="WBJ27" s="1"/>
      <c r="WBK27" s="1"/>
      <c r="WBL27" s="1"/>
      <c r="WBM27" s="1"/>
      <c r="WBN27" s="1"/>
      <c r="WBO27" s="1"/>
      <c r="WBP27" s="1"/>
      <c r="WBQ27" s="1"/>
      <c r="WBR27" s="1"/>
      <c r="WBS27" s="1"/>
      <c r="WBT27" s="1"/>
      <c r="WBU27" s="1"/>
      <c r="WBV27" s="1"/>
      <c r="WBW27" s="1"/>
      <c r="WBX27" s="1"/>
      <c r="WBY27" s="1"/>
      <c r="WBZ27" s="1"/>
      <c r="WCA27" s="1"/>
      <c r="WCB27" s="1"/>
      <c r="WCC27" s="1"/>
      <c r="WCD27" s="1"/>
      <c r="WCE27" s="1"/>
      <c r="WCF27" s="1"/>
      <c r="WCG27" s="1"/>
      <c r="WCH27" s="1"/>
      <c r="WCI27" s="1"/>
      <c r="WCJ27" s="1"/>
      <c r="WCK27" s="1"/>
      <c r="WCL27" s="1"/>
      <c r="WCM27" s="1"/>
      <c r="WCN27" s="1"/>
      <c r="WCO27" s="1"/>
      <c r="WCP27" s="1"/>
      <c r="WCQ27" s="1"/>
      <c r="WCR27" s="1"/>
      <c r="WCS27" s="1"/>
      <c r="WCT27" s="1"/>
      <c r="WCU27" s="1"/>
      <c r="WCV27" s="1"/>
      <c r="WCW27" s="1"/>
      <c r="WCX27" s="1"/>
      <c r="WCY27" s="1"/>
      <c r="WCZ27" s="1"/>
      <c r="WDA27" s="1"/>
      <c r="WDB27" s="1"/>
      <c r="WDC27" s="1"/>
      <c r="WDD27" s="1"/>
      <c r="WDE27" s="1"/>
      <c r="WDF27" s="1"/>
      <c r="WDG27" s="1"/>
      <c r="WDH27" s="1"/>
      <c r="WDI27" s="1"/>
      <c r="WDJ27" s="1"/>
      <c r="WDK27" s="1"/>
      <c r="WDL27" s="1"/>
      <c r="WDM27" s="1"/>
      <c r="WDN27" s="1"/>
      <c r="WDO27" s="1"/>
      <c r="WDP27" s="1"/>
      <c r="WDQ27" s="1"/>
      <c r="WDR27" s="1"/>
      <c r="WDS27" s="1"/>
      <c r="WDT27" s="1"/>
      <c r="WDU27" s="1"/>
      <c r="WDV27" s="1"/>
      <c r="WDW27" s="1"/>
      <c r="WDX27" s="1"/>
      <c r="WDY27" s="1"/>
      <c r="WDZ27" s="1"/>
      <c r="WEA27" s="1"/>
      <c r="WEB27" s="1"/>
      <c r="WEC27" s="1"/>
      <c r="WED27" s="1"/>
      <c r="WEE27" s="1"/>
      <c r="WEF27" s="1"/>
      <c r="WEG27" s="1"/>
      <c r="WEH27" s="1"/>
      <c r="WEI27" s="1"/>
      <c r="WEJ27" s="1"/>
      <c r="WEK27" s="1"/>
      <c r="WEL27" s="1"/>
      <c r="WEM27" s="1"/>
      <c r="WEN27" s="1"/>
      <c r="WEO27" s="1"/>
      <c r="WEP27" s="1"/>
      <c r="WEQ27" s="1"/>
      <c r="WER27" s="1"/>
      <c r="WES27" s="1"/>
      <c r="WET27" s="1"/>
      <c r="WEU27" s="1"/>
      <c r="WEV27" s="1"/>
      <c r="WEW27" s="1"/>
      <c r="WEX27" s="1"/>
      <c r="WEY27" s="1"/>
      <c r="WEZ27" s="1"/>
      <c r="WFA27" s="1"/>
      <c r="WFB27" s="1"/>
      <c r="WFC27" s="1"/>
      <c r="WFD27" s="1"/>
      <c r="WFE27" s="1"/>
      <c r="WFF27" s="1"/>
      <c r="WFG27" s="1"/>
      <c r="WFH27" s="1"/>
      <c r="WFI27" s="1"/>
      <c r="WFJ27" s="1"/>
      <c r="WFK27" s="1"/>
      <c r="WFL27" s="1"/>
      <c r="WFM27" s="1"/>
      <c r="WFN27" s="1"/>
      <c r="WFO27" s="1"/>
      <c r="WFP27" s="1"/>
      <c r="WFQ27" s="1"/>
      <c r="WFR27" s="1"/>
      <c r="WFS27" s="1"/>
      <c r="WFT27" s="1"/>
      <c r="WFU27" s="1"/>
      <c r="WFV27" s="1"/>
      <c r="WFW27" s="1"/>
      <c r="WFX27" s="1"/>
      <c r="WFY27" s="1"/>
      <c r="WFZ27" s="1"/>
      <c r="WGA27" s="1"/>
      <c r="WGB27" s="1"/>
      <c r="WGC27" s="1"/>
      <c r="WGD27" s="1"/>
      <c r="WGE27" s="1"/>
      <c r="WGF27" s="1"/>
      <c r="WGG27" s="1"/>
      <c r="WGH27" s="1"/>
      <c r="WGI27" s="1"/>
      <c r="WGJ27" s="1"/>
      <c r="WGK27" s="1"/>
      <c r="WGL27" s="1"/>
      <c r="WGM27" s="1"/>
      <c r="WGN27" s="1"/>
      <c r="WGO27" s="1"/>
      <c r="WGP27" s="1"/>
      <c r="WGQ27" s="1"/>
      <c r="WGR27" s="1"/>
      <c r="WGS27" s="1"/>
      <c r="WGT27" s="1"/>
      <c r="WGU27" s="1"/>
      <c r="WGV27" s="1"/>
      <c r="WGW27" s="1"/>
      <c r="WGX27" s="1"/>
      <c r="WGY27" s="1"/>
      <c r="WGZ27" s="1"/>
      <c r="WHA27" s="1"/>
      <c r="WHB27" s="1"/>
      <c r="WHC27" s="1"/>
      <c r="WHD27" s="1"/>
      <c r="WHE27" s="1"/>
      <c r="WHF27" s="1"/>
      <c r="WHG27" s="1"/>
      <c r="WHH27" s="1"/>
      <c r="WHI27" s="1"/>
      <c r="WHJ27" s="1"/>
      <c r="WHK27" s="1"/>
      <c r="WHL27" s="1"/>
      <c r="WHM27" s="1"/>
      <c r="WHN27" s="1"/>
      <c r="WHO27" s="1"/>
      <c r="WHP27" s="1"/>
      <c r="WHQ27" s="1"/>
      <c r="WHR27" s="1"/>
      <c r="WHS27" s="1"/>
      <c r="WHT27" s="1"/>
      <c r="WHU27" s="1"/>
      <c r="WHV27" s="1"/>
      <c r="WHW27" s="1"/>
      <c r="WHX27" s="1"/>
      <c r="WHY27" s="1"/>
      <c r="WHZ27" s="1"/>
      <c r="WIA27" s="1"/>
      <c r="WIB27" s="1"/>
      <c r="WIC27" s="1"/>
      <c r="WID27" s="1"/>
      <c r="WIE27" s="1"/>
      <c r="WIF27" s="1"/>
      <c r="WIG27" s="1"/>
      <c r="WIH27" s="1"/>
      <c r="WII27" s="1"/>
      <c r="WIJ27" s="1"/>
      <c r="WIK27" s="1"/>
      <c r="WIL27" s="1"/>
      <c r="WIM27" s="1"/>
      <c r="WIN27" s="1"/>
      <c r="WIO27" s="1"/>
      <c r="WIP27" s="1"/>
      <c r="WIQ27" s="1"/>
      <c r="WIR27" s="1"/>
      <c r="WIS27" s="1"/>
      <c r="WIT27" s="1"/>
      <c r="WIU27" s="1"/>
      <c r="WIV27" s="1"/>
      <c r="WIW27" s="1"/>
      <c r="WIX27" s="1"/>
      <c r="WIY27" s="1"/>
      <c r="WIZ27" s="1"/>
      <c r="WJA27" s="1"/>
      <c r="WJB27" s="1"/>
      <c r="WJC27" s="1"/>
      <c r="WJD27" s="1"/>
      <c r="WJE27" s="1"/>
      <c r="WJF27" s="1"/>
      <c r="WJG27" s="1"/>
      <c r="WJH27" s="1"/>
      <c r="WJI27" s="1"/>
      <c r="WJJ27" s="1"/>
      <c r="WJK27" s="1"/>
      <c r="WJL27" s="1"/>
      <c r="WJM27" s="1"/>
      <c r="WJN27" s="1"/>
      <c r="WJO27" s="1"/>
      <c r="WJP27" s="1"/>
      <c r="WJQ27" s="1"/>
      <c r="WJR27" s="1"/>
      <c r="WJS27" s="1"/>
      <c r="WJT27" s="1"/>
      <c r="WJU27" s="1"/>
      <c r="WJV27" s="1"/>
      <c r="WJW27" s="1"/>
      <c r="WJX27" s="1"/>
      <c r="WJY27" s="1"/>
      <c r="WJZ27" s="1"/>
      <c r="WKA27" s="1"/>
      <c r="WKB27" s="1"/>
      <c r="WKC27" s="1"/>
      <c r="WKD27" s="1"/>
      <c r="WKE27" s="1"/>
      <c r="WKF27" s="1"/>
      <c r="WKG27" s="1"/>
      <c r="WKH27" s="1"/>
      <c r="WKI27" s="1"/>
      <c r="WKJ27" s="1"/>
      <c r="WKK27" s="1"/>
      <c r="WKL27" s="1"/>
      <c r="WKM27" s="1"/>
      <c r="WKN27" s="1"/>
      <c r="WKO27" s="1"/>
      <c r="WKP27" s="1"/>
      <c r="WKQ27" s="1"/>
      <c r="WKR27" s="1"/>
      <c r="WKS27" s="1"/>
      <c r="WKT27" s="1"/>
      <c r="WKU27" s="1"/>
      <c r="WKV27" s="1"/>
      <c r="WKW27" s="1"/>
      <c r="WKX27" s="1"/>
      <c r="WKY27" s="1"/>
      <c r="WKZ27" s="1"/>
      <c r="WLA27" s="1"/>
      <c r="WLB27" s="1"/>
      <c r="WLC27" s="1"/>
      <c r="WLD27" s="1"/>
      <c r="WLE27" s="1"/>
      <c r="WLF27" s="1"/>
      <c r="WLG27" s="1"/>
      <c r="WLH27" s="1"/>
      <c r="WLI27" s="1"/>
      <c r="WLJ27" s="1"/>
      <c r="WLK27" s="1"/>
      <c r="WLL27" s="1"/>
      <c r="WLM27" s="1"/>
      <c r="WLN27" s="1"/>
      <c r="WLO27" s="1"/>
      <c r="WLP27" s="1"/>
      <c r="WLQ27" s="1"/>
      <c r="WLR27" s="1"/>
      <c r="WLS27" s="1"/>
      <c r="WLT27" s="1"/>
      <c r="WLU27" s="1"/>
      <c r="WLV27" s="1"/>
      <c r="WLW27" s="1"/>
      <c r="WLX27" s="1"/>
      <c r="WLY27" s="1"/>
      <c r="WLZ27" s="1"/>
      <c r="WMA27" s="1"/>
      <c r="WMB27" s="1"/>
      <c r="WMC27" s="1"/>
      <c r="WMD27" s="1"/>
      <c r="WME27" s="1"/>
      <c r="WMF27" s="1"/>
      <c r="WMG27" s="1"/>
      <c r="WMH27" s="1"/>
      <c r="WMI27" s="1"/>
      <c r="WMJ27" s="1"/>
      <c r="WMK27" s="1"/>
      <c r="WML27" s="1"/>
      <c r="WMM27" s="1"/>
      <c r="WMN27" s="1"/>
      <c r="WMO27" s="1"/>
      <c r="WMP27" s="1"/>
      <c r="WMQ27" s="1"/>
      <c r="WMR27" s="1"/>
      <c r="WMS27" s="1"/>
      <c r="WMT27" s="1"/>
      <c r="WMU27" s="1"/>
      <c r="WMV27" s="1"/>
      <c r="WMW27" s="1"/>
      <c r="WMX27" s="1"/>
      <c r="WMY27" s="1"/>
      <c r="WMZ27" s="1"/>
      <c r="WNA27" s="1"/>
      <c r="WNB27" s="1"/>
      <c r="WNC27" s="1"/>
      <c r="WND27" s="1"/>
      <c r="WNE27" s="1"/>
      <c r="WNF27" s="1"/>
      <c r="WNG27" s="1"/>
      <c r="WNH27" s="1"/>
      <c r="WNI27" s="1"/>
      <c r="WNJ27" s="1"/>
      <c r="WNK27" s="1"/>
      <c r="WNL27" s="1"/>
      <c r="WNM27" s="1"/>
      <c r="WNN27" s="1"/>
      <c r="WNO27" s="1"/>
      <c r="WNP27" s="1"/>
      <c r="WNQ27" s="1"/>
      <c r="WNR27" s="1"/>
      <c r="WNS27" s="1"/>
      <c r="WNT27" s="1"/>
      <c r="WNU27" s="1"/>
      <c r="WNV27" s="1"/>
      <c r="WNW27" s="1"/>
      <c r="WNX27" s="1"/>
      <c r="WNY27" s="1"/>
      <c r="WNZ27" s="1"/>
      <c r="WOA27" s="1"/>
      <c r="WOB27" s="1"/>
      <c r="WOC27" s="1"/>
      <c r="WOD27" s="1"/>
      <c r="WOE27" s="1"/>
      <c r="WOF27" s="1"/>
      <c r="WOG27" s="1"/>
      <c r="WOH27" s="1"/>
      <c r="WOI27" s="1"/>
      <c r="WOJ27" s="1"/>
      <c r="WOK27" s="1"/>
      <c r="WOL27" s="1"/>
      <c r="WOM27" s="1"/>
      <c r="WON27" s="1"/>
      <c r="WOO27" s="1"/>
      <c r="WOP27" s="1"/>
      <c r="WOQ27" s="1"/>
      <c r="WOR27" s="1"/>
      <c r="WOS27" s="1"/>
      <c r="WOT27" s="1"/>
      <c r="WOU27" s="1"/>
      <c r="WOV27" s="1"/>
      <c r="WOW27" s="1"/>
      <c r="WOX27" s="1"/>
      <c r="WOY27" s="1"/>
      <c r="WOZ27" s="1"/>
      <c r="WPA27" s="1"/>
      <c r="WPB27" s="1"/>
      <c r="WPC27" s="1"/>
      <c r="WPD27" s="1"/>
      <c r="WPE27" s="1"/>
      <c r="WPF27" s="1"/>
      <c r="WPG27" s="1"/>
      <c r="WPH27" s="1"/>
      <c r="WPI27" s="1"/>
      <c r="WPJ27" s="1"/>
      <c r="WPK27" s="1"/>
      <c r="WPL27" s="1"/>
      <c r="WPM27" s="1"/>
      <c r="WPN27" s="1"/>
      <c r="WPO27" s="1"/>
      <c r="WPP27" s="1"/>
      <c r="WPQ27" s="1"/>
      <c r="WPR27" s="1"/>
      <c r="WPS27" s="1"/>
      <c r="WPT27" s="1"/>
      <c r="WPU27" s="1"/>
      <c r="WPV27" s="1"/>
      <c r="WPW27" s="1"/>
      <c r="WPX27" s="1"/>
      <c r="WPY27" s="1"/>
      <c r="WPZ27" s="1"/>
      <c r="WQA27" s="1"/>
      <c r="WQB27" s="1"/>
      <c r="WQC27" s="1"/>
      <c r="WQD27" s="1"/>
      <c r="WQE27" s="1"/>
      <c r="WQF27" s="1"/>
      <c r="WQG27" s="1"/>
      <c r="WQH27" s="1"/>
      <c r="WQI27" s="1"/>
      <c r="WQJ27" s="1"/>
      <c r="WQK27" s="1"/>
      <c r="WQL27" s="1"/>
      <c r="WQM27" s="1"/>
      <c r="WQN27" s="1"/>
      <c r="WQO27" s="1"/>
      <c r="WQP27" s="1"/>
      <c r="WQQ27" s="1"/>
      <c r="WQR27" s="1"/>
      <c r="WQS27" s="1"/>
      <c r="WQT27" s="1"/>
      <c r="WQU27" s="1"/>
      <c r="WQV27" s="1"/>
      <c r="WQW27" s="1"/>
      <c r="WQX27" s="1"/>
      <c r="WQY27" s="1"/>
      <c r="WQZ27" s="1"/>
      <c r="WRA27" s="1"/>
      <c r="WRB27" s="1"/>
      <c r="WRC27" s="1"/>
      <c r="WRD27" s="1"/>
      <c r="WRE27" s="1"/>
      <c r="WRF27" s="1"/>
      <c r="WRG27" s="1"/>
      <c r="WRH27" s="1"/>
      <c r="WRI27" s="1"/>
      <c r="WRJ27" s="1"/>
      <c r="WRK27" s="1"/>
      <c r="WRL27" s="1"/>
      <c r="WRM27" s="1"/>
      <c r="WRN27" s="1"/>
      <c r="WRO27" s="1"/>
      <c r="WRP27" s="1"/>
      <c r="WRQ27" s="1"/>
      <c r="WRR27" s="1"/>
      <c r="WRS27" s="1"/>
      <c r="WRT27" s="1"/>
      <c r="WRU27" s="1"/>
      <c r="WRV27" s="1"/>
      <c r="WRW27" s="1"/>
      <c r="WRX27" s="1"/>
      <c r="WRY27" s="1"/>
      <c r="WRZ27" s="1"/>
      <c r="WSA27" s="1"/>
      <c r="WSB27" s="1"/>
      <c r="WSC27" s="1"/>
      <c r="WSD27" s="1"/>
      <c r="WSE27" s="1"/>
      <c r="WSF27" s="1"/>
      <c r="WSG27" s="1"/>
      <c r="WSH27" s="1"/>
      <c r="WSI27" s="1"/>
      <c r="WSJ27" s="1"/>
      <c r="WSK27" s="1"/>
      <c r="WSL27" s="1"/>
      <c r="WSM27" s="1"/>
      <c r="WSN27" s="1"/>
      <c r="WSO27" s="1"/>
      <c r="WSP27" s="1"/>
      <c r="WSQ27" s="1"/>
      <c r="WSR27" s="1"/>
      <c r="WSS27" s="1"/>
      <c r="WST27" s="1"/>
      <c r="WSU27" s="1"/>
      <c r="WSV27" s="1"/>
      <c r="WSW27" s="1"/>
      <c r="WSX27" s="1"/>
      <c r="WSY27" s="1"/>
      <c r="WSZ27" s="1"/>
      <c r="WTA27" s="1"/>
      <c r="WTB27" s="1"/>
      <c r="WTC27" s="1"/>
      <c r="WTD27" s="1"/>
      <c r="WTE27" s="1"/>
      <c r="WTF27" s="1"/>
      <c r="WTG27" s="1"/>
      <c r="WTH27" s="1"/>
      <c r="WTI27" s="1"/>
      <c r="WTJ27" s="1"/>
      <c r="WTK27" s="1"/>
      <c r="WTL27" s="1"/>
      <c r="WTM27" s="1"/>
      <c r="WTN27" s="1"/>
      <c r="WTO27" s="1"/>
      <c r="WTP27" s="1"/>
      <c r="WTQ27" s="1"/>
      <c r="WTR27" s="1"/>
      <c r="WTS27" s="1"/>
      <c r="WTT27" s="1"/>
      <c r="WTU27" s="1"/>
      <c r="WTV27" s="1"/>
      <c r="WTW27" s="1"/>
      <c r="WTX27" s="1"/>
      <c r="WTY27" s="1"/>
      <c r="WTZ27" s="1"/>
      <c r="WUA27" s="1"/>
      <c r="WUB27" s="1"/>
      <c r="WUC27" s="1"/>
      <c r="WUD27" s="1"/>
      <c r="WUE27" s="1"/>
      <c r="WUF27" s="1"/>
      <c r="WUG27" s="1"/>
      <c r="WUH27" s="1"/>
      <c r="WUI27" s="1"/>
      <c r="WUJ27" s="1"/>
      <c r="WUK27" s="1"/>
      <c r="WUL27" s="1"/>
      <c r="WUM27" s="1"/>
      <c r="WUN27" s="1"/>
      <c r="WUO27" s="1"/>
      <c r="WUP27" s="1"/>
      <c r="WUQ27" s="1"/>
      <c r="WUR27" s="1"/>
      <c r="WUS27" s="1"/>
      <c r="WUT27" s="1"/>
      <c r="WUU27" s="1"/>
      <c r="WUV27" s="1"/>
      <c r="WUW27" s="1"/>
      <c r="WUX27" s="1"/>
      <c r="WUY27" s="1"/>
      <c r="WUZ27" s="1"/>
      <c r="WVA27" s="1"/>
      <c r="WVB27" s="1"/>
      <c r="WVC27" s="1"/>
      <c r="WVD27" s="1"/>
      <c r="WVE27" s="1"/>
      <c r="WVF27" s="1"/>
      <c r="WVG27" s="1"/>
      <c r="WVH27" s="1"/>
      <c r="WVI27" s="1"/>
      <c r="WVJ27" s="1"/>
      <c r="WVK27" s="1"/>
      <c r="WVL27" s="1"/>
      <c r="WVM27" s="1"/>
      <c r="WVN27" s="1"/>
      <c r="WVO27" s="1"/>
      <c r="WVP27" s="1"/>
      <c r="WVQ27" s="1"/>
      <c r="WVR27" s="1"/>
      <c r="WVS27" s="1"/>
      <c r="WVT27" s="1"/>
      <c r="WVU27" s="1"/>
      <c r="WVV27" s="1"/>
      <c r="WVW27" s="1"/>
      <c r="WVX27" s="1"/>
      <c r="WVY27" s="1"/>
      <c r="WVZ27" s="1"/>
      <c r="WWA27" s="1"/>
      <c r="WWB27" s="1"/>
      <c r="WWC27" s="1"/>
      <c r="WWD27" s="1"/>
      <c r="WWE27" s="1"/>
      <c r="WWF27" s="1"/>
      <c r="WWG27" s="1"/>
      <c r="WWH27" s="1"/>
      <c r="WWI27" s="1"/>
      <c r="WWJ27" s="1"/>
      <c r="WWK27" s="1"/>
      <c r="WWL27" s="1"/>
      <c r="WWM27" s="1"/>
      <c r="WWN27" s="1"/>
      <c r="WWO27" s="1"/>
      <c r="WWP27" s="1"/>
      <c r="WWQ27" s="1"/>
      <c r="WWR27" s="1"/>
      <c r="WWS27" s="1"/>
      <c r="WWT27" s="1"/>
      <c r="WWU27" s="1"/>
      <c r="WWV27" s="1"/>
      <c r="WWW27" s="1"/>
      <c r="WWX27" s="1"/>
      <c r="WWY27" s="1"/>
      <c r="WWZ27" s="1"/>
      <c r="WXA27" s="1"/>
      <c r="WXB27" s="1"/>
      <c r="WXC27" s="1"/>
      <c r="WXD27" s="1"/>
      <c r="WXE27" s="1"/>
      <c r="WXF27" s="1"/>
      <c r="WXG27" s="1"/>
      <c r="WXH27" s="1"/>
      <c r="WXI27" s="1"/>
      <c r="WXJ27" s="1"/>
      <c r="WXK27" s="1"/>
      <c r="WXL27" s="1"/>
      <c r="WXM27" s="1"/>
      <c r="WXN27" s="1"/>
      <c r="WXO27" s="1"/>
      <c r="WXP27" s="1"/>
      <c r="WXQ27" s="1"/>
      <c r="WXR27" s="1"/>
      <c r="WXS27" s="1"/>
      <c r="WXT27" s="1"/>
      <c r="WXU27" s="1"/>
      <c r="WXV27" s="1"/>
      <c r="WXW27" s="1"/>
      <c r="WXX27" s="1"/>
      <c r="WXY27" s="1"/>
      <c r="WXZ27" s="1"/>
      <c r="WYA27" s="1"/>
      <c r="WYB27" s="1"/>
      <c r="WYC27" s="1"/>
      <c r="WYD27" s="1"/>
      <c r="WYE27" s="1"/>
      <c r="WYF27" s="1"/>
      <c r="WYG27" s="1"/>
      <c r="WYH27" s="1"/>
      <c r="WYI27" s="1"/>
      <c r="WYJ27" s="1"/>
      <c r="WYK27" s="1"/>
      <c r="WYL27" s="1"/>
      <c r="WYM27" s="1"/>
      <c r="WYN27" s="1"/>
      <c r="WYO27" s="1"/>
      <c r="WYP27" s="1"/>
      <c r="WYQ27" s="1"/>
      <c r="WYR27" s="1"/>
      <c r="WYS27" s="1"/>
      <c r="WYT27" s="1"/>
      <c r="WYU27" s="1"/>
      <c r="WYV27" s="1"/>
      <c r="WYW27" s="1"/>
      <c r="WYX27" s="1"/>
      <c r="WYY27" s="1"/>
      <c r="WYZ27" s="1"/>
      <c r="WZA27" s="1"/>
      <c r="WZB27" s="1"/>
      <c r="WZC27" s="1"/>
      <c r="WZD27" s="1"/>
      <c r="WZE27" s="1"/>
      <c r="WZF27" s="1"/>
      <c r="WZG27" s="1"/>
      <c r="WZH27" s="1"/>
      <c r="WZI27" s="1"/>
      <c r="WZJ27" s="1"/>
      <c r="WZK27" s="1"/>
      <c r="WZL27" s="1"/>
      <c r="WZM27" s="1"/>
      <c r="WZN27" s="1"/>
      <c r="WZO27" s="1"/>
      <c r="WZP27" s="1"/>
      <c r="WZQ27" s="1"/>
      <c r="WZR27" s="1"/>
      <c r="WZS27" s="1"/>
      <c r="WZT27" s="1"/>
      <c r="WZU27" s="1"/>
      <c r="WZV27" s="1"/>
      <c r="WZW27" s="1"/>
      <c r="WZX27" s="1"/>
      <c r="WZY27" s="1"/>
      <c r="WZZ27" s="1"/>
      <c r="XAA27" s="1"/>
      <c r="XAB27" s="1"/>
      <c r="XAC27" s="1"/>
      <c r="XAD27" s="1"/>
      <c r="XAE27" s="1"/>
      <c r="XAF27" s="1"/>
      <c r="XAG27" s="1"/>
      <c r="XAH27" s="1"/>
      <c r="XAI27" s="1"/>
      <c r="XAJ27" s="1"/>
      <c r="XAK27" s="1"/>
      <c r="XAL27" s="1"/>
      <c r="XAM27" s="1"/>
      <c r="XAN27" s="1"/>
      <c r="XAO27" s="1"/>
      <c r="XAP27" s="1"/>
      <c r="XAQ27" s="1"/>
      <c r="XAR27" s="1"/>
      <c r="XAS27" s="1"/>
      <c r="XAT27" s="1"/>
      <c r="XAU27" s="1"/>
      <c r="XAV27" s="1"/>
      <c r="XAW27" s="1"/>
      <c r="XAX27" s="1"/>
      <c r="XAY27" s="1"/>
      <c r="XAZ27" s="1"/>
      <c r="XBA27" s="1"/>
      <c r="XBB27" s="1"/>
      <c r="XBC27" s="1"/>
      <c r="XBD27" s="1"/>
      <c r="XBE27" s="1"/>
      <c r="XBF27" s="1"/>
      <c r="XBG27" s="1"/>
      <c r="XBH27" s="1"/>
      <c r="XBI27" s="1"/>
      <c r="XBJ27" s="1"/>
      <c r="XBK27" s="1"/>
      <c r="XBL27" s="1"/>
      <c r="XBM27" s="1"/>
      <c r="XBN27" s="1"/>
      <c r="XBO27" s="1"/>
      <c r="XBP27" s="1"/>
      <c r="XBQ27" s="1"/>
      <c r="XBR27" s="1"/>
      <c r="XBS27" s="1"/>
      <c r="XBT27" s="1"/>
      <c r="XBU27" s="1"/>
      <c r="XBV27" s="1"/>
      <c r="XBW27" s="1"/>
      <c r="XBX27" s="1"/>
      <c r="XBY27" s="1"/>
      <c r="XBZ27" s="1"/>
      <c r="XCA27" s="1"/>
      <c r="XCB27" s="1"/>
      <c r="XCC27" s="1"/>
      <c r="XCD27" s="1"/>
      <c r="XCE27" s="1"/>
      <c r="XCF27" s="1"/>
      <c r="XCG27" s="1"/>
      <c r="XCH27" s="1"/>
      <c r="XCI27" s="1"/>
      <c r="XCJ27" s="1"/>
      <c r="XCK27" s="1"/>
      <c r="XCL27" s="1"/>
      <c r="XCM27" s="1"/>
      <c r="XCN27" s="1"/>
      <c r="XCO27" s="1"/>
      <c r="XCP27" s="1"/>
      <c r="XCQ27" s="1"/>
      <c r="XCR27" s="1"/>
      <c r="XCS27" s="1"/>
      <c r="XCT27" s="1"/>
      <c r="XCU27" s="1"/>
      <c r="XCV27" s="1"/>
      <c r="XCW27" s="1"/>
      <c r="XCX27" s="1"/>
      <c r="XCY27" s="1"/>
      <c r="XCZ27" s="1"/>
      <c r="XDA27" s="1"/>
      <c r="XDB27" s="1"/>
      <c r="XDC27" s="1"/>
      <c r="XDD27" s="1"/>
      <c r="XDE27" s="1"/>
      <c r="XDF27" s="1"/>
      <c r="XDG27" s="1"/>
      <c r="XDH27" s="1"/>
      <c r="XDI27" s="1"/>
      <c r="XDJ27" s="1"/>
      <c r="XDK27" s="1"/>
      <c r="XDL27" s="1"/>
      <c r="XDM27" s="1"/>
      <c r="XDN27" s="1"/>
      <c r="XDO27" s="1"/>
      <c r="XDP27" s="1"/>
      <c r="XDQ27" s="1"/>
      <c r="XDR27" s="1"/>
      <c r="XDS27" s="1"/>
      <c r="XDT27" s="1"/>
      <c r="XDU27" s="1"/>
      <c r="XDV27" s="1"/>
      <c r="XDW27" s="1"/>
      <c r="XDX27" s="1"/>
      <c r="XDY27" s="1"/>
      <c r="XDZ27" s="1"/>
      <c r="XEA27" s="1"/>
      <c r="XEB27" s="1"/>
      <c r="XEC27" s="1"/>
      <c r="XED27" s="1"/>
      <c r="XEE27" s="1"/>
      <c r="XEF27" s="1"/>
      <c r="XEG27" s="1"/>
      <c r="XEH27" s="1"/>
      <c r="XEI27" s="1"/>
      <c r="XEJ27" s="1"/>
      <c r="XEK27" s="1"/>
      <c r="XEL27" s="1"/>
      <c r="XEM27" s="1"/>
      <c r="XEN27" s="1"/>
      <c r="XEO27" s="1"/>
      <c r="XEP27" s="1"/>
      <c r="XEQ27" s="1"/>
      <c r="XER27" s="1"/>
      <c r="XES27" s="1"/>
      <c r="XET27" s="1"/>
      <c r="XEU27" s="1"/>
      <c r="XEV27" s="1"/>
      <c r="XEW27" s="1"/>
      <c r="XEX27" s="1"/>
      <c r="XEY27" s="1"/>
      <c r="XEZ27" s="1"/>
      <c r="XFA27" s="1"/>
      <c r="XFB27" s="1"/>
      <c r="XFC27" s="1"/>
      <c r="XFD27" s="1"/>
    </row>
  </sheetData>
  <conditionalFormatting sqref="F2:F3">
    <cfRule type="cellIs" dxfId="77" priority="1" stopIfTrue="1" operator="notEqual">
      <formula>0</formula>
    </cfRule>
    <cfRule type="cellIs" dxfId="76" priority="2" stopIfTrue="1" operator="equal">
      <formula>""</formula>
    </cfRule>
  </conditionalFormatting>
  <conditionalFormatting sqref="J3:S3">
    <cfRule type="cellIs" dxfId="75" priority="3" operator="equal">
      <formula>"PPA ext."</formula>
    </cfRule>
    <cfRule type="cellIs" dxfId="74" priority="4" operator="equal">
      <formula>"Delay"</formula>
    </cfRule>
    <cfRule type="cellIs" dxfId="73" priority="5" operator="equal">
      <formula>"Fin Close"</formula>
    </cfRule>
    <cfRule type="cellIs" dxfId="72" priority="6" stopIfTrue="1" operator="equal">
      <formula>"Construction"</formula>
    </cfRule>
    <cfRule type="cellIs" dxfId="71"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4F81BD"/>
    <outlinePr summaryBelow="0" summaryRight="0"/>
  </sheetPr>
  <dimension ref="A1:BQ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44" bestFit="1" customWidth="1"/>
    <col min="6" max="6" width="20.54296875" bestFit="1" customWidth="1"/>
    <col min="7" max="7" width="13.1796875" bestFit="1" customWidth="1"/>
    <col min="8" max="8" width="13.1796875" style="43" bestFit="1" customWidth="1"/>
    <col min="9" max="9" width="3.453125" customWidth="1"/>
    <col min="10" max="10" width="12.36328125" bestFit="1" customWidth="1"/>
    <col min="11" max="11" width="12.08984375" bestFit="1" customWidth="1"/>
    <col min="12" max="12" width="11.1796875" bestFit="1" customWidth="1"/>
    <col min="13" max="13" width="12.36328125" bestFit="1" customWidth="1"/>
    <col min="14" max="14" width="12.1796875" bestFit="1" customWidth="1"/>
    <col min="15" max="15" width="11.81640625" bestFit="1" customWidth="1"/>
    <col min="16" max="16" width="12.36328125" bestFit="1" customWidth="1"/>
    <col min="17" max="17" width="12.1796875" bestFit="1" customWidth="1"/>
    <col min="18" max="18" width="11.90625" bestFit="1" customWidth="1"/>
    <col min="19" max="19" width="12.08984375" bestFit="1" customWidth="1"/>
    <col min="20" max="20" width="12" bestFit="1" customWidth="1"/>
    <col min="21" max="21" width="11.81640625" bestFit="1" customWidth="1"/>
    <col min="22" max="22" width="12.36328125" bestFit="1" customWidth="1"/>
    <col min="23" max="23" width="12.08984375" bestFit="1" customWidth="1"/>
    <col min="24" max="24" width="11.1796875" bestFit="1" customWidth="1"/>
    <col min="25" max="25" width="12.36328125" bestFit="1" customWidth="1"/>
    <col min="26" max="26" width="12.1796875" bestFit="1" customWidth="1"/>
    <col min="27" max="27" width="11.81640625" bestFit="1" customWidth="1"/>
    <col min="28" max="28" width="12.36328125" bestFit="1" customWidth="1"/>
    <col min="29" max="29" width="12.1796875" bestFit="1" customWidth="1"/>
    <col min="30" max="30" width="11.90625" bestFit="1" customWidth="1"/>
    <col min="31" max="31" width="12.08984375" bestFit="1" customWidth="1"/>
    <col min="32" max="32" width="12" bestFit="1" customWidth="1"/>
    <col min="33" max="33" width="11.81640625" bestFit="1" customWidth="1"/>
    <col min="34" max="34" width="12.36328125" bestFit="1" customWidth="1"/>
    <col min="35" max="35" width="12.08984375" bestFit="1" customWidth="1"/>
    <col min="36" max="36" width="11.1796875" bestFit="1" customWidth="1"/>
    <col min="37" max="37" width="12.36328125" bestFit="1" customWidth="1"/>
    <col min="38" max="38" width="12.1796875" bestFit="1" customWidth="1"/>
    <col min="39" max="39" width="11.81640625" bestFit="1" customWidth="1"/>
    <col min="40" max="40" width="12.36328125" bestFit="1" customWidth="1"/>
    <col min="41" max="41" width="12.1796875" bestFit="1" customWidth="1"/>
    <col min="42" max="42" width="11.90625" bestFit="1" customWidth="1"/>
    <col min="43" max="43" width="12.08984375" bestFit="1" customWidth="1"/>
    <col min="44" max="44" width="12" bestFit="1" customWidth="1"/>
    <col min="45" max="45" width="11.81640625" bestFit="1" customWidth="1"/>
    <col min="46" max="46" width="12.36328125" bestFit="1" customWidth="1"/>
    <col min="47" max="47" width="12.08984375" bestFit="1" customWidth="1"/>
    <col min="48" max="48" width="11.1796875" bestFit="1" customWidth="1"/>
    <col min="49" max="49" width="12.36328125" bestFit="1" customWidth="1"/>
    <col min="50" max="50" width="12.1796875" bestFit="1" customWidth="1"/>
    <col min="51" max="51" width="11.81640625" bestFit="1" customWidth="1"/>
    <col min="52" max="52" width="12.36328125" bestFit="1" customWidth="1"/>
    <col min="53" max="53" width="12.1796875" bestFit="1" customWidth="1"/>
    <col min="54" max="54" width="11.90625" bestFit="1" customWidth="1"/>
    <col min="55" max="55" width="12.08984375" bestFit="1" customWidth="1"/>
    <col min="56" max="56" width="12" bestFit="1" customWidth="1"/>
    <col min="57" max="57" width="11.81640625" bestFit="1" customWidth="1"/>
    <col min="58" max="58" width="12.36328125" bestFit="1" customWidth="1"/>
    <col min="59" max="59" width="12.08984375" bestFit="1" customWidth="1"/>
    <col min="60" max="60" width="11.81640625" bestFit="1" customWidth="1"/>
    <col min="61" max="61" width="12.453125" bestFit="1" customWidth="1"/>
    <col min="62" max="62" width="12.1796875" bestFit="1" customWidth="1"/>
    <col min="63" max="63" width="12.453125" bestFit="1" customWidth="1"/>
    <col min="64" max="64" width="12.36328125" bestFit="1" customWidth="1"/>
    <col min="65" max="65" width="12.1796875" bestFit="1" customWidth="1"/>
    <col min="66" max="66" width="12.453125" bestFit="1" customWidth="1"/>
    <col min="67" max="67" width="12.08984375" bestFit="1" customWidth="1"/>
    <col min="68" max="68" width="12" bestFit="1" customWidth="1"/>
    <col min="69" max="69" width="12.453125" bestFit="1" customWidth="1"/>
    <col min="70" max="70" width="15.08984375" hidden="1" customWidth="1"/>
    <col min="71" max="16384" width="15.08984375" hidden="1"/>
  </cols>
  <sheetData>
    <row r="1" spans="1:69" s="75" customFormat="1" ht="25.15">
      <c r="A1" s="45" t="str">
        <f ca="1" xml:space="preserve"> RIGHT(CELL("filename", A1), LEN(CELL("filename", A1)) - SEARCH("]", CELL("filename", A1)))</f>
        <v>Cashflow</v>
      </c>
      <c r="B1" s="69"/>
      <c r="C1" s="74"/>
      <c r="D1" s="71"/>
      <c r="F1" s="52" t="str">
        <f>HYPERLINK("#Contents!A1","Go to contents")</f>
        <v>Go to contents</v>
      </c>
      <c r="H1" s="47"/>
      <c r="J1" s="47"/>
    </row>
    <row r="2" spans="1:69" s="53" customFormat="1">
      <c r="A2" s="48"/>
      <c r="B2" s="48"/>
      <c r="C2" s="72"/>
      <c r="D2" s="73"/>
      <c r="E2" s="22" t="s">
        <v>324</v>
      </c>
      <c r="F2" s="51">
        <f ca="1" xml:space="preserve"> 'Model Checks and Alerts'!F11</f>
        <v>0</v>
      </c>
      <c r="G2" s="55"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48"/>
      <c r="B3" s="48"/>
      <c r="C3" s="72"/>
      <c r="D3" s="73"/>
      <c r="E3" s="39" t="s">
        <v>203</v>
      </c>
      <c r="F3" s="51"/>
      <c r="G3" s="55" t="s">
        <v>97</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48"/>
      <c r="B4" s="48"/>
      <c r="C4" s="72"/>
      <c r="D4" s="73"/>
      <c r="E4" s="22" t="s">
        <v>325</v>
      </c>
      <c r="F4"/>
      <c r="G4"/>
      <c r="H4" s="50"/>
      <c r="I4" s="50"/>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48"/>
      <c r="B5" s="48"/>
      <c r="C5" s="72"/>
      <c r="D5" s="73"/>
      <c r="E5" s="22" t="s">
        <v>305</v>
      </c>
      <c r="F5" s="24" t="s">
        <v>248</v>
      </c>
      <c r="G5" s="24" t="s">
        <v>224</v>
      </c>
      <c r="H5" s="24" t="s">
        <v>202</v>
      </c>
      <c r="I5" s="50"/>
      <c r="J5" s="15"/>
      <c r="K5" s="15"/>
      <c r="L5" s="15"/>
      <c r="M5" s="15"/>
      <c r="N5" s="15"/>
      <c r="O5" s="15"/>
      <c r="P5" s="15"/>
    </row>
    <row r="6" spans="1:69" s="43" customFormat="1">
      <c r="A6" s="24"/>
      <c r="B6" s="24"/>
      <c r="C6" s="49"/>
      <c r="D6" s="70"/>
      <c r="F6" s="24"/>
      <c r="G6" s="24"/>
      <c r="H6" s="24"/>
    </row>
    <row r="8" spans="1:69">
      <c r="E8" s="16" t="str">
        <f xml:space="preserve"> 'Working Capital'!E$22</f>
        <v>Cash in from Sales</v>
      </c>
      <c r="F8" s="16">
        <f xml:space="preserve"> 'Working Capital'!F$22</f>
        <v>0</v>
      </c>
      <c r="G8" s="16" t="str">
        <f xml:space="preserve"> 'Working Capital'!G$22</f>
        <v>GBP</v>
      </c>
      <c r="H8" s="42">
        <f ca="1" xml:space="preserve"> 'Working Capital'!H$22</f>
        <v>57317898.380981073</v>
      </c>
      <c r="I8" s="16">
        <f xml:space="preserve"> 'Working Capital'!I$22</f>
        <v>0</v>
      </c>
      <c r="J8" s="9">
        <f ca="1" xml:space="preserve"> 'Working Capital'!J$22</f>
        <v>0</v>
      </c>
      <c r="K8" s="9">
        <f ca="1" xml:space="preserve"> 'Working Capital'!K$22</f>
        <v>0</v>
      </c>
      <c r="L8" s="9">
        <f ca="1" xml:space="preserve"> 'Working Capital'!L$22</f>
        <v>0</v>
      </c>
      <c r="M8" s="9">
        <f ca="1" xml:space="preserve"> 'Working Capital'!M$22</f>
        <v>0</v>
      </c>
      <c r="N8" s="9">
        <f ca="1" xml:space="preserve"> 'Working Capital'!N$22</f>
        <v>0</v>
      </c>
      <c r="O8" s="9">
        <f ca="1" xml:space="preserve"> 'Working Capital'!O$22</f>
        <v>0</v>
      </c>
      <c r="P8" s="9">
        <f ca="1" xml:space="preserve"> 'Working Capital'!P$22</f>
        <v>0</v>
      </c>
      <c r="Q8" s="9">
        <f ca="1" xml:space="preserve"> 'Working Capital'!Q$22</f>
        <v>0</v>
      </c>
      <c r="R8" s="9">
        <f ca="1" xml:space="preserve"> 'Working Capital'!R$22</f>
        <v>0</v>
      </c>
      <c r="S8" s="9">
        <f ca="1" xml:space="preserve"> 'Working Capital'!S$22</f>
        <v>725145.29928020365</v>
      </c>
      <c r="T8" s="9">
        <f ca="1" xml:space="preserve"> 'Working Capital'!T$22</f>
        <v>129720.32895086281</v>
      </c>
      <c r="U8" s="9">
        <f ca="1" xml:space="preserve"> 'Working Capital'!U$22</f>
        <v>9134.3717689334935</v>
      </c>
      <c r="V8" s="9">
        <f ca="1" xml:space="preserve"> 'Working Capital'!V$22</f>
        <v>0</v>
      </c>
      <c r="W8" s="9">
        <f ca="1" xml:space="preserve"> 'Working Capital'!W$22</f>
        <v>0</v>
      </c>
      <c r="X8" s="9">
        <f ca="1" xml:space="preserve"> 'Working Capital'!X$22</f>
        <v>0</v>
      </c>
      <c r="Y8" s="9">
        <f ca="1" xml:space="preserve"> 'Working Capital'!Y$22</f>
        <v>764384.25594778592</v>
      </c>
      <c r="Z8" s="9">
        <f ca="1" xml:space="preserve"> 'Working Capital'!Z$22</f>
        <v>99615.744052214053</v>
      </c>
      <c r="AA8" s="9">
        <f ca="1" xml:space="preserve"> 'Working Capital'!AA$22</f>
        <v>0</v>
      </c>
      <c r="AB8" s="9">
        <f ca="1" xml:space="preserve"> 'Working Capital'!AB$22</f>
        <v>0</v>
      </c>
      <c r="AC8" s="9">
        <f ca="1" xml:space="preserve"> 'Working Capital'!AC$22</f>
        <v>0</v>
      </c>
      <c r="AD8" s="9">
        <f ca="1" xml:space="preserve"> 'Working Capital'!AD$22</f>
        <v>0</v>
      </c>
      <c r="AE8" s="9">
        <f ca="1" xml:space="preserve"> 'Working Capital'!AE$22</f>
        <v>1589145.2992802034</v>
      </c>
      <c r="AF8" s="9">
        <f ca="1" xml:space="preserve"> 'Working Capital'!AF$22</f>
        <v>129720.32895086281</v>
      </c>
      <c r="AG8" s="9">
        <f ca="1" xml:space="preserve"> 'Working Capital'!AG$22</f>
        <v>9134.3717689334935</v>
      </c>
      <c r="AH8" s="9">
        <f ca="1" xml:space="preserve"> 'Working Capital'!AH$22</f>
        <v>0</v>
      </c>
      <c r="AI8" s="9">
        <f ca="1" xml:space="preserve"> 'Working Capital'!AI$22</f>
        <v>864000</v>
      </c>
      <c r="AJ8" s="9">
        <f ca="1" xml:space="preserve"> 'Working Capital'!AJ$22</f>
        <v>0</v>
      </c>
      <c r="AK8" s="9">
        <f ca="1" xml:space="preserve"> 'Working Capital'!AK$22</f>
        <v>937184.25594778592</v>
      </c>
      <c r="AL8" s="9">
        <f ca="1" xml:space="preserve"> 'Working Capital'!AL$22</f>
        <v>282893.88427147525</v>
      </c>
      <c r="AM8" s="9">
        <f ca="1" xml:space="preserve"> 'Working Capital'!AM$22</f>
        <v>1058022.8415391739</v>
      </c>
      <c r="AN8" s="9">
        <f ca="1" xml:space="preserve"> 'Working Capital'!AN$22</f>
        <v>205787.87938284824</v>
      </c>
      <c r="AO8" s="9">
        <f ca="1" xml:space="preserve"> 'Working Capital'!AO$22</f>
        <v>218266.3183620027</v>
      </c>
      <c r="AP8" s="9">
        <f ca="1" xml:space="preserve"> 'Working Capital'!AP$22</f>
        <v>1095062.2055103064</v>
      </c>
      <c r="AQ8" s="9">
        <f ca="1" xml:space="preserve"> 'Working Capital'!AQ$22</f>
        <v>1109073.2135468153</v>
      </c>
      <c r="AR8" s="9">
        <f ca="1" xml:space="preserve"> 'Working Capital'!AR$22</f>
        <v>1123440.6579017255</v>
      </c>
      <c r="AS8" s="9">
        <f ca="1" xml:space="preserve"> 'Working Capital'!AS$22</f>
        <v>275172.46109658468</v>
      </c>
      <c r="AT8" s="9">
        <f ca="1" xml:space="preserve"> 'Working Capital'!AT$22</f>
        <v>291858.19970682322</v>
      </c>
      <c r="AU8" s="9">
        <f ca="1" xml:space="preserve"> 'Working Capital'!AU$22</f>
        <v>2035894.596989301</v>
      </c>
      <c r="AV8" s="9">
        <f ca="1" xml:space="preserve"> 'Working Capital'!AV$22</f>
        <v>326511.99764072965</v>
      </c>
      <c r="AW8" s="9">
        <f ca="1" xml:space="preserve"> 'Working Capital'!AW$22</f>
        <v>518400</v>
      </c>
      <c r="AX8" s="9">
        <f ca="1" xml:space="preserve"> 'Working Capital'!AX$22</f>
        <v>1414152.6137742535</v>
      </c>
      <c r="AY8" s="9">
        <f ca="1" xml:space="preserve"> 'Working Capital'!AY$22</f>
        <v>1446375.104153529</v>
      </c>
      <c r="AZ8" s="9">
        <f ca="1" xml:space="preserve"> 'Working Capital'!AZ$22</f>
        <v>1481655.6373524086</v>
      </c>
      <c r="BA8" s="9">
        <f ca="1" xml:space="preserve"> 'Working Capital'!BA$22</f>
        <v>655073.48130449071</v>
      </c>
      <c r="BB8" s="9">
        <f ca="1" xml:space="preserve"> 'Working Capital'!BB$22</f>
        <v>2421441.1996417828</v>
      </c>
      <c r="BC8" s="9">
        <f ca="1" xml:space="preserve"> 'Working Capital'!BC$22</f>
        <v>1599450.1676120043</v>
      </c>
      <c r="BD8" s="9">
        <f ca="1" xml:space="preserve"> 'Working Capital'!BD$22</f>
        <v>1642525.5585212999</v>
      </c>
      <c r="BE8" s="9">
        <f ca="1" xml:space="preserve"> 'Working Capital'!BE$22</f>
        <v>1689980.0638350821</v>
      </c>
      <c r="BF8" s="9">
        <f ca="1" xml:space="preserve"> 'Working Capital'!BF$22</f>
        <v>1740033.9564166341</v>
      </c>
      <c r="BG8" s="9">
        <f ca="1" xml:space="preserve"> 'Working Capital'!BG$22</f>
        <v>1787943.4762095995</v>
      </c>
      <c r="BH8" s="9">
        <f ca="1" xml:space="preserve"> 'Working Capital'!BH$22</f>
        <v>1843881.3745329482</v>
      </c>
      <c r="BI8" s="9">
        <f ca="1" xml:space="preserve"> 'Working Capital'!BI$22</f>
        <v>2056757.276335455</v>
      </c>
      <c r="BJ8" s="9">
        <f ca="1" xml:space="preserve"> 'Working Capital'!BJ$22</f>
        <v>2993361.7503375923</v>
      </c>
      <c r="BK8" s="9">
        <f ca="1" xml:space="preserve"> 'Working Capital'!BK$22</f>
        <v>2203473.0915724854</v>
      </c>
      <c r="BL8" s="9">
        <f ca="1" xml:space="preserve"> 'Working Capital'!BL$22</f>
        <v>3148617.8308315785</v>
      </c>
      <c r="BM8" s="9">
        <f ca="1" xml:space="preserve"> 'Working Capital'!BM$22</f>
        <v>2370678.286523975</v>
      </c>
      <c r="BN8" s="9">
        <f ca="1" xml:space="preserve"> 'Working Capital'!BN$22</f>
        <v>3322923.3689910783</v>
      </c>
      <c r="BO8" s="9">
        <f ca="1" xml:space="preserve"> 'Working Capital'!BO$22</f>
        <v>3419543.1858854569</v>
      </c>
      <c r="BP8" s="9">
        <f ca="1" xml:space="preserve"> 'Working Capital'!BP$22</f>
        <v>2654615.6768552866</v>
      </c>
      <c r="BQ8" s="9">
        <f ca="1" xml:space="preserve"> 'Working Capital'!BQ$22</f>
        <v>3627846.7683985629</v>
      </c>
    </row>
    <row r="9" spans="1:69">
      <c r="E9" s="16" t="str">
        <f xml:space="preserve"> 'Working Capital'!E$52</f>
        <v xml:space="preserve">Cash out on Operating Expense </v>
      </c>
      <c r="F9" s="16">
        <f xml:space="preserve"> 'Working Capital'!F$52</f>
        <v>0</v>
      </c>
      <c r="G9" s="16" t="str">
        <f xml:space="preserve"> 'Working Capital'!G$52</f>
        <v>GBP</v>
      </c>
      <c r="H9" s="42">
        <f ca="1" xml:space="preserve"> 'Working Capital'!H$52</f>
        <v>-8739047.4483311232</v>
      </c>
      <c r="I9" s="16">
        <f xml:space="preserve"> 'Working Capital'!I$52</f>
        <v>0</v>
      </c>
      <c r="J9" s="9">
        <f ca="1">'Working Capital'!J$52</f>
        <v>-57420</v>
      </c>
      <c r="K9" s="9">
        <f ca="1">'Working Capital'!K$52</f>
        <v>-57900.248093382812</v>
      </c>
      <c r="L9" s="9">
        <f ca="1">'Working Capital'!L$52</f>
        <v>-58392.713570545457</v>
      </c>
      <c r="M9" s="9">
        <f ca="1">'Working Capital'!M$52</f>
        <v>-60135.501037377995</v>
      </c>
      <c r="N9" s="9">
        <f ca="1">'Working Capital'!N$52</f>
        <v>-60707.429490589246</v>
      </c>
      <c r="O9" s="9">
        <f ca="1">'Working Capital'!O$52</f>
        <v>-61293.907651553171</v>
      </c>
      <c r="P9" s="9">
        <f ca="1">'Working Capital'!P$52</f>
        <v>-63168.899023067454</v>
      </c>
      <c r="Q9" s="9">
        <f ca="1">'Working Capital'!Q$52</f>
        <v>-63827.406889334176</v>
      </c>
      <c r="R9" s="9">
        <f ca="1">'Working Capital'!R$52</f>
        <v>-64548.447869098556</v>
      </c>
      <c r="S9" s="9">
        <f ca="1">'Working Capital'!S$52</f>
        <v>-66576.006186044033</v>
      </c>
      <c r="T9" s="9">
        <f ca="1">'Working Capital'!T$52</f>
        <v>-67311.007728157609</v>
      </c>
      <c r="U9" s="9">
        <f ca="1">'Working Capital'!U$52</f>
        <v>-68164.305258014734</v>
      </c>
      <c r="V9" s="9">
        <f ca="1">'Working Capital'!V$52</f>
        <v>-70290.000000000015</v>
      </c>
      <c r="W9" s="9">
        <f ca="1">'Working Capital'!W$52</f>
        <v>-71265.080037937165</v>
      </c>
      <c r="X9" s="9">
        <f ca="1">'Working Capital'!X$52</f>
        <v>-72249.478703157962</v>
      </c>
      <c r="Y9" s="9">
        <f ca="1">'Working Capital'!Y$52</f>
        <v>-74656.623774612905</v>
      </c>
      <c r="Z9" s="9">
        <f ca="1">'Working Capital'!Z$52</f>
        <v>-75799.679835872084</v>
      </c>
      <c r="AA9" s="9">
        <f ca="1">'Working Capital'!AA$52</f>
        <v>-76971.722098700731</v>
      </c>
      <c r="AB9" s="9">
        <f ca="1">'Working Capital'!AB$52</f>
        <v>-79609.318711038621</v>
      </c>
      <c r="AC9" s="9">
        <f ca="1">'Working Capital'!AC$52</f>
        <v>-80925.099594781292</v>
      </c>
      <c r="AD9" s="9">
        <f ca="1">'Working Capital'!AD$52</f>
        <v>-82379.056775231918</v>
      </c>
      <c r="AE9" s="9">
        <f ca="1">'Working Capital'!AE$52</f>
        <v>-85300.141550678149</v>
      </c>
      <c r="AF9" s="9">
        <f ca="1">'Working Capital'!AF$52</f>
        <v>-86760.992999075475</v>
      </c>
      <c r="AG9" s="9">
        <f ca="1">'Working Capital'!AG$52</f>
        <v>-88471.515809038494</v>
      </c>
      <c r="AH9" s="9">
        <f ca="1">'Working Capital'!AH$52</f>
        <v>-98728.250638101817</v>
      </c>
      <c r="AI9" s="9">
        <f ca="1">'Working Capital'!AI$52</f>
        <v>-101080.87565859596</v>
      </c>
      <c r="AJ9" s="9">
        <f ca="1">'Working Capital'!AJ$52</f>
        <v>-103493.24679997447</v>
      </c>
      <c r="AK9" s="9">
        <f ca="1">'Working Capital'!AK$52</f>
        <v>-107589.67236776305</v>
      </c>
      <c r="AL9" s="9">
        <f ca="1">'Working Capital'!AL$52</f>
        <v>-110391.05385907202</v>
      </c>
      <c r="AM9" s="9">
        <f ca="1">'Working Capital'!AM$52</f>
        <v>-113263.57787598559</v>
      </c>
      <c r="AN9" s="9">
        <f ca="1">'Working Capital'!AN$52</f>
        <v>-117899.1782137165</v>
      </c>
      <c r="AO9" s="9">
        <f ca="1">'Working Capital'!AO$52</f>
        <v>-121124.21983275771</v>
      </c>
      <c r="AP9" s="9">
        <f ca="1">'Working Capital'!AP$52</f>
        <v>-124676.68768137394</v>
      </c>
      <c r="AQ9" s="9">
        <f ca="1">'Working Capital'!AQ$52</f>
        <v>-129954.29390566153</v>
      </c>
      <c r="AR9" s="9">
        <f ca="1">'Working Capital'!AR$52</f>
        <v>-133537.6083871256</v>
      </c>
      <c r="AS9" s="9">
        <f ca="1">'Working Capital'!AS$52</f>
        <v>-137726.79454391476</v>
      </c>
      <c r="AT9" s="9">
        <f ca="1">'Working Capital'!AT$52</f>
        <v>-143534.86543012649</v>
      </c>
      <c r="AU9" s="9">
        <f ca="1">'Working Capital'!AU$52</f>
        <v>-148253.53631941459</v>
      </c>
      <c r="AV9" s="9">
        <f ca="1">'Working Capital'!AV$52</f>
        <v>-153078.1544070298</v>
      </c>
      <c r="AW9" s="9">
        <f ca="1">'Working Capital'!AW$52</f>
        <v>-159961.60770347869</v>
      </c>
      <c r="AX9" s="9">
        <f ca="1">'Working Capital'!AX$52</f>
        <v>-165564.18378831822</v>
      </c>
      <c r="AY9" s="9">
        <f ca="1">'Working Capital'!AY$52</f>
        <v>-171309.01848511616</v>
      </c>
      <c r="AZ9" s="9">
        <f ca="1">'Working Capital'!AZ$52</f>
        <v>-179238.9250168936</v>
      </c>
      <c r="BA9" s="9">
        <f ca="1">'Working Capital'!BA$52</f>
        <v>-185688.72000832635</v>
      </c>
      <c r="BB9" s="9">
        <f ca="1">'Working Capital'!BB$52</f>
        <v>-192797.84131301288</v>
      </c>
      <c r="BC9" s="9">
        <f ca="1">'Working Capital'!BC$52</f>
        <v>-201975.15822232151</v>
      </c>
      <c r="BD9" s="9">
        <f ca="1">'Working Capital'!BD$52</f>
        <v>-209133.68285540037</v>
      </c>
      <c r="BE9" s="9">
        <f ca="1">'Working Capital'!BE$52</f>
        <v>-217515.7973693212</v>
      </c>
      <c r="BF9" s="9">
        <f ca="1">'Working Capital'!BF$52</f>
        <v>-227774.88243204652</v>
      </c>
      <c r="BG9" s="9">
        <f ca="1">'Working Capital'!BG$52</f>
        <v>-237185.79612314366</v>
      </c>
      <c r="BH9" s="9">
        <f ca="1">'Working Capital'!BH$52</f>
        <v>-246835.77751915995</v>
      </c>
      <c r="BI9" s="9">
        <f ca="1">'Working Capital'!BI$52</f>
        <v>-259163.00499886635</v>
      </c>
      <c r="BJ9" s="9">
        <f ca="1">'Working Capital'!BJ$52</f>
        <v>-270369.27825401031</v>
      </c>
      <c r="BK9" s="9">
        <f ca="1">'Working Capital'!BK$52</f>
        <v>-281860.22716739168</v>
      </c>
      <c r="BL9" s="9">
        <f ca="1">'Working Capital'!BL$52</f>
        <v>-296245.97162889544</v>
      </c>
      <c r="BM9" s="9">
        <f ca="1">'Working Capital'!BM$52</f>
        <v>-309147.29006830743</v>
      </c>
      <c r="BN9" s="9">
        <f ca="1">'Working Capital'!BN$52</f>
        <v>-323054.07217238902</v>
      </c>
      <c r="BO9" s="9">
        <f ca="1">'Working Capital'!BO$52</f>
        <v>-339853.80807572545</v>
      </c>
      <c r="BP9" s="9">
        <f ca="1">'Working Capital'!BP$52</f>
        <v>-354576.26374973258</v>
      </c>
      <c r="BQ9" s="9">
        <f ca="1">'Working Capital'!BQ$52</f>
        <v>-371339.54277136282</v>
      </c>
    </row>
    <row r="10" spans="1:69">
      <c r="E10" s="16" t="str">
        <f xml:space="preserve"> VAT!E$38</f>
        <v xml:space="preserve">VAT paid </v>
      </c>
      <c r="F10" s="16">
        <f xml:space="preserve"> VAT!F$38</f>
        <v>0</v>
      </c>
      <c r="G10" s="16" t="str">
        <f xml:space="preserve"> VAT!G$38</f>
        <v>GBP</v>
      </c>
      <c r="H10" s="42">
        <f ca="1" xml:space="preserve"> VAT!H$38</f>
        <v>-8296110.6882591359</v>
      </c>
      <c r="I10" s="16">
        <f xml:space="preserve"> VAT!I$38</f>
        <v>0</v>
      </c>
      <c r="J10" s="9">
        <f ca="1">VAT!J$38</f>
        <v>0</v>
      </c>
      <c r="K10" s="9">
        <f ca="1">VAT!K$38</f>
        <v>0</v>
      </c>
      <c r="L10" s="9">
        <f ca="1">VAT!L$38</f>
        <v>45483.658917580258</v>
      </c>
      <c r="M10" s="9">
        <f ca="1">VAT!M$38</f>
        <v>0</v>
      </c>
      <c r="N10" s="9">
        <f ca="1">VAT!N$38</f>
        <v>0</v>
      </c>
      <c r="O10" s="9">
        <f ca="1">VAT!O$38</f>
        <v>16294.149463501151</v>
      </c>
      <c r="P10" s="9">
        <f ca="1">VAT!P$38</f>
        <v>0</v>
      </c>
      <c r="Q10" s="9">
        <f ca="1">VAT!Q$38</f>
        <v>0</v>
      </c>
      <c r="R10" s="9">
        <f ca="1">VAT!R$38</f>
        <v>-68740.257737856227</v>
      </c>
      <c r="S10" s="9">
        <f ca="1">VAT!S$38</f>
        <v>0</v>
      </c>
      <c r="T10" s="9">
        <f ca="1">VAT!T$38</f>
        <v>0</v>
      </c>
      <c r="U10" s="9">
        <f ca="1">VAT!U$38</f>
        <v>-5102.8626851205763</v>
      </c>
      <c r="V10" s="9">
        <f ca="1">VAT!V$38</f>
        <v>0</v>
      </c>
      <c r="W10" s="9">
        <f ca="1">VAT!W$38</f>
        <v>0</v>
      </c>
      <c r="X10" s="9">
        <f ca="1">VAT!X$38</f>
        <v>-73331.977328029301</v>
      </c>
      <c r="Y10" s="9">
        <f ca="1">VAT!Y$38</f>
        <v>0</v>
      </c>
      <c r="Z10" s="9">
        <f ca="1">VAT!Z$38</f>
        <v>0</v>
      </c>
      <c r="AA10" s="9">
        <f ca="1">VAT!AA$38</f>
        <v>38643.356201628834</v>
      </c>
      <c r="AB10" s="9">
        <f ca="1">VAT!AB$38</f>
        <v>0</v>
      </c>
      <c r="AC10" s="9">
        <f ca="1">VAT!AC$38</f>
        <v>0</v>
      </c>
      <c r="AD10" s="9">
        <f ca="1">VAT!AD$38</f>
        <v>-243266.08257053205</v>
      </c>
      <c r="AE10" s="9">
        <f ca="1">VAT!AE$38</f>
        <v>0</v>
      </c>
      <c r="AF10" s="9">
        <f ca="1">VAT!AF$38</f>
        <v>0</v>
      </c>
      <c r="AG10" s="9">
        <f ca="1">VAT!AG$38</f>
        <v>34988.476364123555</v>
      </c>
      <c r="AH10" s="9">
        <f ca="1">VAT!AH$38</f>
        <v>0</v>
      </c>
      <c r="AI10" s="9">
        <f ca="1">VAT!AI$38</f>
        <v>0</v>
      </c>
      <c r="AJ10" s="9">
        <f ca="1">VAT!AJ$38</f>
        <v>-203990.04489077616</v>
      </c>
      <c r="AK10" s="9">
        <f ca="1">VAT!AK$38</f>
        <v>0</v>
      </c>
      <c r="AL10" s="9">
        <f ca="1">VAT!AL$38</f>
        <v>0</v>
      </c>
      <c r="AM10" s="9">
        <f ca="1">VAT!AM$38</f>
        <v>-193559.19422678204</v>
      </c>
      <c r="AN10" s="9">
        <f ca="1">VAT!AN$38</f>
        <v>0</v>
      </c>
      <c r="AO10" s="9">
        <f ca="1">VAT!AO$38</f>
        <v>0</v>
      </c>
      <c r="AP10" s="9">
        <f ca="1">VAT!AP$38</f>
        <v>-336707.53418296378</v>
      </c>
      <c r="AQ10" s="9">
        <f ca="1">VAT!AQ$38</f>
        <v>0</v>
      </c>
      <c r="AR10" s="9">
        <f ca="1">VAT!AR$38</f>
        <v>0</v>
      </c>
      <c r="AS10" s="9">
        <f ca="1">VAT!AS$38</f>
        <v>-211457.16615017428</v>
      </c>
      <c r="AT10" s="9">
        <f ca="1">VAT!AT$38</f>
        <v>0</v>
      </c>
      <c r="AU10" s="9">
        <f ca="1">VAT!AU$38</f>
        <v>0</v>
      </c>
      <c r="AV10" s="9">
        <f ca="1">VAT!AV$38</f>
        <v>-371087.59641166066</v>
      </c>
      <c r="AW10" s="9">
        <f ca="1">VAT!AW$38</f>
        <v>0</v>
      </c>
      <c r="AX10" s="9">
        <f ca="1">VAT!AX$38</f>
        <v>0</v>
      </c>
      <c r="AY10" s="9">
        <f ca="1">VAT!AY$38</f>
        <v>-610187.77625286591</v>
      </c>
      <c r="AZ10" s="9">
        <f ca="1">VAT!AZ$38</f>
        <v>0</v>
      </c>
      <c r="BA10" s="9">
        <f ca="1">VAT!BA$38</f>
        <v>0</v>
      </c>
      <c r="BB10" s="9">
        <f ca="1">VAT!BB$38</f>
        <v>-625578.68716786429</v>
      </c>
      <c r="BC10" s="9">
        <f ca="1">VAT!BC$38</f>
        <v>0</v>
      </c>
      <c r="BD10" s="9">
        <f ca="1">VAT!BD$38</f>
        <v>0</v>
      </c>
      <c r="BE10" s="9">
        <f ca="1">VAT!BE$38</f>
        <v>-685522.65563876927</v>
      </c>
      <c r="BF10" s="9">
        <f ca="1">VAT!BF$38</f>
        <v>0</v>
      </c>
      <c r="BG10" s="9">
        <f ca="1">VAT!BG$38</f>
        <v>0</v>
      </c>
      <c r="BH10" s="9">
        <f ca="1">VAT!BH$38</f>
        <v>-781053.70518652978</v>
      </c>
      <c r="BI10" s="9">
        <f ca="1">VAT!BI$38</f>
        <v>0</v>
      </c>
      <c r="BJ10" s="9">
        <f ca="1">VAT!BJ$38</f>
        <v>0</v>
      </c>
      <c r="BK10" s="9">
        <f ca="1">VAT!BK$38</f>
        <v>-1215329.8641746363</v>
      </c>
      <c r="BL10" s="9">
        <f ca="1">VAT!BL$38</f>
        <v>0</v>
      </c>
      <c r="BM10" s="9">
        <f ca="1">VAT!BM$38</f>
        <v>0</v>
      </c>
      <c r="BN10" s="9">
        <f ca="1">VAT!BN$38</f>
        <v>-1333198.0654881524</v>
      </c>
      <c r="BO10" s="9">
        <f ca="1">VAT!BO$38</f>
        <v>0</v>
      </c>
      <c r="BP10" s="9">
        <f ca="1">VAT!BP$38</f>
        <v>0</v>
      </c>
      <c r="BQ10" s="9">
        <f ca="1">VAT!BQ$38</f>
        <v>-1473406.8591132574</v>
      </c>
    </row>
    <row r="11" spans="1:69">
      <c r="E11" s="16" t="str">
        <f xml:space="preserve"> 'Corporation tax'!E$69</f>
        <v xml:space="preserve">Corporation tax paid </v>
      </c>
      <c r="F11" s="16">
        <f xml:space="preserve"> 'Corporation tax'!F$69</f>
        <v>0</v>
      </c>
      <c r="G11" s="16" t="str">
        <f xml:space="preserve"> 'Corporation tax'!G$69</f>
        <v>GBP</v>
      </c>
      <c r="H11" s="42">
        <f ca="1" xml:space="preserve"> 'Corporation tax'!H$69</f>
        <v>-2943623.9790600152</v>
      </c>
      <c r="I11" s="16">
        <f xml:space="preserve"> 'Corporation tax'!I$69</f>
        <v>0</v>
      </c>
      <c r="J11" s="9">
        <f>'Corporation tax'!J$69</f>
        <v>0</v>
      </c>
      <c r="K11" s="9">
        <f ca="1">'Corporation tax'!K$69</f>
        <v>0</v>
      </c>
      <c r="L11" s="9">
        <f ca="1">'Corporation tax'!L$69</f>
        <v>0</v>
      </c>
      <c r="M11" s="9">
        <f ca="1">'Corporation tax'!M$69</f>
        <v>0</v>
      </c>
      <c r="N11" s="9">
        <f ca="1">'Corporation tax'!N$69</f>
        <v>0</v>
      </c>
      <c r="O11" s="9">
        <f ca="1">'Corporation tax'!O$69</f>
        <v>0</v>
      </c>
      <c r="P11" s="9">
        <f ca="1">'Corporation tax'!P$69</f>
        <v>0</v>
      </c>
      <c r="Q11" s="9">
        <f ca="1">'Corporation tax'!Q$69</f>
        <v>0</v>
      </c>
      <c r="R11" s="9">
        <f ca="1">'Corporation tax'!R$69</f>
        <v>0</v>
      </c>
      <c r="S11" s="9">
        <f ca="1">'Corporation tax'!S$69</f>
        <v>0</v>
      </c>
      <c r="T11" s="9">
        <f ca="1">'Corporation tax'!T$69</f>
        <v>0</v>
      </c>
      <c r="U11" s="9">
        <f ca="1">'Corporation tax'!U$69</f>
        <v>0</v>
      </c>
      <c r="V11" s="9">
        <f ca="1">'Corporation tax'!V$69</f>
        <v>0</v>
      </c>
      <c r="W11" s="9">
        <f ca="1">'Corporation tax'!W$69</f>
        <v>0</v>
      </c>
      <c r="X11" s="9">
        <f ca="1">'Corporation tax'!X$69</f>
        <v>0</v>
      </c>
      <c r="Y11" s="9">
        <f ca="1">'Corporation tax'!Y$69</f>
        <v>0</v>
      </c>
      <c r="Z11" s="9">
        <f ca="1">'Corporation tax'!Z$69</f>
        <v>0</v>
      </c>
      <c r="AA11" s="9">
        <f ca="1">'Corporation tax'!AA$69</f>
        <v>0</v>
      </c>
      <c r="AB11" s="9">
        <f ca="1">'Corporation tax'!AB$69</f>
        <v>0</v>
      </c>
      <c r="AC11" s="9">
        <f ca="1">'Corporation tax'!AC$69</f>
        <v>0</v>
      </c>
      <c r="AD11" s="9">
        <f ca="1">'Corporation tax'!AD$69</f>
        <v>0</v>
      </c>
      <c r="AE11" s="9">
        <f ca="1">'Corporation tax'!AE$69</f>
        <v>0</v>
      </c>
      <c r="AF11" s="9">
        <f ca="1">'Corporation tax'!AF$69</f>
        <v>0</v>
      </c>
      <c r="AG11" s="9">
        <f ca="1">'Corporation tax'!AG$69</f>
        <v>0</v>
      </c>
      <c r="AH11" s="9">
        <f ca="1">'Corporation tax'!AH$69</f>
        <v>0</v>
      </c>
      <c r="AI11" s="9">
        <f ca="1">'Corporation tax'!AI$69</f>
        <v>0</v>
      </c>
      <c r="AJ11" s="9">
        <f ca="1">'Corporation tax'!AJ$69</f>
        <v>0</v>
      </c>
      <c r="AK11" s="9">
        <f ca="1">'Corporation tax'!AK$69</f>
        <v>-195685.12595542119</v>
      </c>
      <c r="AL11" s="9">
        <f ca="1">'Corporation tax'!AL$69</f>
        <v>0</v>
      </c>
      <c r="AM11" s="9">
        <f ca="1">'Corporation tax'!AM$69</f>
        <v>0</v>
      </c>
      <c r="AN11" s="9">
        <f ca="1">'Corporation tax'!AN$69</f>
        <v>0</v>
      </c>
      <c r="AO11" s="9">
        <f ca="1">'Corporation tax'!AO$69</f>
        <v>0</v>
      </c>
      <c r="AP11" s="9">
        <f ca="1">'Corporation tax'!AP$69</f>
        <v>0</v>
      </c>
      <c r="AQ11" s="9">
        <f ca="1">'Corporation tax'!AQ$69</f>
        <v>0</v>
      </c>
      <c r="AR11" s="9">
        <f ca="1">'Corporation tax'!AR$69</f>
        <v>0</v>
      </c>
      <c r="AS11" s="9">
        <f ca="1">'Corporation tax'!AS$69</f>
        <v>0</v>
      </c>
      <c r="AT11" s="9">
        <f ca="1">'Corporation tax'!AT$69</f>
        <v>0</v>
      </c>
      <c r="AU11" s="9">
        <f ca="1">'Corporation tax'!AU$69</f>
        <v>0</v>
      </c>
      <c r="AV11" s="9">
        <f ca="1">'Corporation tax'!AV$69</f>
        <v>0</v>
      </c>
      <c r="AW11" s="9">
        <f ca="1">'Corporation tax'!AW$69</f>
        <v>-829461.348841978</v>
      </c>
      <c r="AX11" s="9">
        <f ca="1">'Corporation tax'!AX$69</f>
        <v>0</v>
      </c>
      <c r="AY11" s="9">
        <f ca="1">'Corporation tax'!AY$69</f>
        <v>0</v>
      </c>
      <c r="AZ11" s="9">
        <f ca="1">'Corporation tax'!AZ$69</f>
        <v>0</v>
      </c>
      <c r="BA11" s="9">
        <f ca="1">'Corporation tax'!BA$69</f>
        <v>0</v>
      </c>
      <c r="BB11" s="9">
        <f ca="1">'Corporation tax'!BB$69</f>
        <v>0</v>
      </c>
      <c r="BC11" s="9">
        <f ca="1">'Corporation tax'!BC$69</f>
        <v>0</v>
      </c>
      <c r="BD11" s="9">
        <f ca="1">'Corporation tax'!BD$69</f>
        <v>0</v>
      </c>
      <c r="BE11" s="9">
        <f ca="1">'Corporation tax'!BE$69</f>
        <v>0</v>
      </c>
      <c r="BF11" s="9">
        <f ca="1">'Corporation tax'!BF$69</f>
        <v>0</v>
      </c>
      <c r="BG11" s="9">
        <f ca="1">'Corporation tax'!BG$69</f>
        <v>0</v>
      </c>
      <c r="BH11" s="9">
        <f ca="1">'Corporation tax'!BH$69</f>
        <v>0</v>
      </c>
      <c r="BI11" s="9">
        <f ca="1">'Corporation tax'!BI$69</f>
        <v>-1918477.5042626159</v>
      </c>
      <c r="BJ11" s="9">
        <f ca="1">'Corporation tax'!BJ$69</f>
        <v>0</v>
      </c>
      <c r="BK11" s="9">
        <f ca="1">'Corporation tax'!BK$69</f>
        <v>0</v>
      </c>
      <c r="BL11" s="9">
        <f ca="1">'Corporation tax'!BL$69</f>
        <v>0</v>
      </c>
      <c r="BM11" s="9">
        <f ca="1">'Corporation tax'!BM$69</f>
        <v>0</v>
      </c>
      <c r="BN11" s="9">
        <f ca="1">'Corporation tax'!BN$69</f>
        <v>0</v>
      </c>
      <c r="BO11" s="9">
        <f ca="1">'Corporation tax'!BO$69</f>
        <v>0</v>
      </c>
      <c r="BP11" s="9">
        <f ca="1">'Corporation tax'!BP$69</f>
        <v>0</v>
      </c>
      <c r="BQ11" s="9">
        <f ca="1">'Corporation tax'!BQ$69</f>
        <v>0</v>
      </c>
    </row>
    <row r="12" spans="1:69">
      <c r="E12" s="12" t="s">
        <v>113</v>
      </c>
      <c r="F12" s="32"/>
      <c r="G12" s="12" t="s">
        <v>252</v>
      </c>
      <c r="H12" s="54">
        <f ca="1" xml:space="preserve"> SUM( J12:BQ12 )</f>
        <v>37339116.265330814</v>
      </c>
      <c r="I12" s="32"/>
      <c r="J12" s="12">
        <f t="shared" ref="J12:BQ12" ca="1" si="0" xml:space="preserve"> SUM( J8:J11 )</f>
        <v>-57420</v>
      </c>
      <c r="K12" s="12">
        <f t="shared" ca="1" si="0"/>
        <v>-57900.248093382812</v>
      </c>
      <c r="L12" s="12">
        <f t="shared" ca="1" si="0"/>
        <v>-12909.054652965198</v>
      </c>
      <c r="M12" s="12">
        <f t="shared" ca="1" si="0"/>
        <v>-60135.501037377995</v>
      </c>
      <c r="N12" s="12">
        <f t="shared" ca="1" si="0"/>
        <v>-60707.429490589246</v>
      </c>
      <c r="O12" s="12">
        <f t="shared" ca="1" si="0"/>
        <v>-44999.758188052016</v>
      </c>
      <c r="P12" s="12">
        <f t="shared" ca="1" si="0"/>
        <v>-63168.899023067454</v>
      </c>
      <c r="Q12" s="12">
        <f t="shared" ca="1" si="0"/>
        <v>-63827.406889334176</v>
      </c>
      <c r="R12" s="12">
        <f t="shared" ca="1" si="0"/>
        <v>-133288.70560695478</v>
      </c>
      <c r="S12" s="12">
        <f t="shared" ca="1" si="0"/>
        <v>658569.29309415957</v>
      </c>
      <c r="T12" s="12">
        <f t="shared" ca="1" si="0"/>
        <v>62409.321222705199</v>
      </c>
      <c r="U12" s="12">
        <f t="shared" ca="1" si="0"/>
        <v>-64132.796174201816</v>
      </c>
      <c r="V12" s="12">
        <f t="shared" ca="1" si="0"/>
        <v>-70290.000000000015</v>
      </c>
      <c r="W12" s="12">
        <f t="shared" ca="1" si="0"/>
        <v>-71265.080037937165</v>
      </c>
      <c r="X12" s="12">
        <f t="shared" ca="1" si="0"/>
        <v>-145581.45603118726</v>
      </c>
      <c r="Y12" s="12">
        <f t="shared" ca="1" si="0"/>
        <v>689727.63217317301</v>
      </c>
      <c r="Z12" s="12">
        <f t="shared" ca="1" si="0"/>
        <v>23816.064216341969</v>
      </c>
      <c r="AA12" s="12">
        <f t="shared" ca="1" si="0"/>
        <v>-38328.365897071897</v>
      </c>
      <c r="AB12" s="12">
        <f t="shared" ca="1" si="0"/>
        <v>-79609.318711038621</v>
      </c>
      <c r="AC12" s="12">
        <f t="shared" ca="1" si="0"/>
        <v>-80925.099594781292</v>
      </c>
      <c r="AD12" s="12">
        <f t="shared" ca="1" si="0"/>
        <v>-325645.13934576395</v>
      </c>
      <c r="AE12" s="12">
        <f t="shared" ca="1" si="0"/>
        <v>1503845.1577295254</v>
      </c>
      <c r="AF12" s="12">
        <f t="shared" ca="1" si="0"/>
        <v>42959.335951787332</v>
      </c>
      <c r="AG12" s="12">
        <f t="shared" ca="1" si="0"/>
        <v>-44348.667675981451</v>
      </c>
      <c r="AH12" s="12">
        <f t="shared" ca="1" si="0"/>
        <v>-98728.250638101817</v>
      </c>
      <c r="AI12" s="12">
        <f t="shared" ca="1" si="0"/>
        <v>762919.12434140407</v>
      </c>
      <c r="AJ12" s="12">
        <f t="shared" ca="1" si="0"/>
        <v>-307483.29169075063</v>
      </c>
      <c r="AK12" s="12">
        <f t="shared" ca="1" si="0"/>
        <v>633909.45762460167</v>
      </c>
      <c r="AL12" s="12">
        <f t="shared" ca="1" si="0"/>
        <v>172502.83041240321</v>
      </c>
      <c r="AM12" s="12">
        <f t="shared" ca="1" si="0"/>
        <v>751200.06943640625</v>
      </c>
      <c r="AN12" s="12">
        <f t="shared" ca="1" si="0"/>
        <v>87888.701169131746</v>
      </c>
      <c r="AO12" s="12">
        <f t="shared" ca="1" si="0"/>
        <v>97142.098529244991</v>
      </c>
      <c r="AP12" s="12">
        <f t="shared" ca="1" si="0"/>
        <v>633677.98364596872</v>
      </c>
      <c r="AQ12" s="12">
        <f t="shared" ca="1" si="0"/>
        <v>979118.91964115377</v>
      </c>
      <c r="AR12" s="12">
        <f t="shared" ca="1" si="0"/>
        <v>989903.04951459984</v>
      </c>
      <c r="AS12" s="12">
        <f t="shared" ca="1" si="0"/>
        <v>-74011.499597504357</v>
      </c>
      <c r="AT12" s="12">
        <f t="shared" ca="1" si="0"/>
        <v>148323.33427669673</v>
      </c>
      <c r="AU12" s="12">
        <f t="shared" ca="1" si="0"/>
        <v>1887641.0606698864</v>
      </c>
      <c r="AV12" s="12">
        <f t="shared" ca="1" si="0"/>
        <v>-197653.75317796081</v>
      </c>
      <c r="AW12" s="12">
        <f t="shared" ca="1" si="0"/>
        <v>-471022.95654545666</v>
      </c>
      <c r="AX12" s="12">
        <f t="shared" ca="1" si="0"/>
        <v>1248588.4299859353</v>
      </c>
      <c r="AY12" s="12">
        <f t="shared" ca="1" si="0"/>
        <v>664878.30941554706</v>
      </c>
      <c r="AZ12" s="12">
        <f t="shared" ca="1" si="0"/>
        <v>1302416.7123355151</v>
      </c>
      <c r="BA12" s="12">
        <f t="shared" ca="1" si="0"/>
        <v>469384.76129616436</v>
      </c>
      <c r="BB12" s="12">
        <f t="shared" ca="1" si="0"/>
        <v>1603064.6711609056</v>
      </c>
      <c r="BC12" s="12">
        <f t="shared" ca="1" si="0"/>
        <v>1397475.0093896829</v>
      </c>
      <c r="BD12" s="12">
        <f t="shared" ca="1" si="0"/>
        <v>1433391.8756658994</v>
      </c>
      <c r="BE12" s="12">
        <f t="shared" ca="1" si="0"/>
        <v>786941.61082699173</v>
      </c>
      <c r="BF12" s="12">
        <f t="shared" ca="1" si="0"/>
        <v>1512259.0739845876</v>
      </c>
      <c r="BG12" s="12">
        <f t="shared" ca="1" si="0"/>
        <v>1550757.6800864558</v>
      </c>
      <c r="BH12" s="12">
        <f t="shared" ca="1" si="0"/>
        <v>815991.89182725851</v>
      </c>
      <c r="BI12" s="12">
        <f t="shared" ca="1" si="0"/>
        <v>-120883.23292602738</v>
      </c>
      <c r="BJ12" s="12">
        <f t="shared" ca="1" si="0"/>
        <v>2722992.4720835821</v>
      </c>
      <c r="BK12" s="12">
        <f t="shared" ca="1" si="0"/>
        <v>706283.0002304574</v>
      </c>
      <c r="BL12" s="12">
        <f t="shared" ca="1" si="0"/>
        <v>2852371.859202683</v>
      </c>
      <c r="BM12" s="12">
        <f t="shared" ca="1" si="0"/>
        <v>2061530.9964556675</v>
      </c>
      <c r="BN12" s="12">
        <f t="shared" ca="1" si="0"/>
        <v>1666671.231330537</v>
      </c>
      <c r="BO12" s="12">
        <f t="shared" ca="1" si="0"/>
        <v>3079689.3778097313</v>
      </c>
      <c r="BP12" s="12">
        <f t="shared" ca="1" si="0"/>
        <v>2300039.4131055539</v>
      </c>
      <c r="BQ12" s="12">
        <f t="shared" ca="1" si="0"/>
        <v>1783100.3665139428</v>
      </c>
    </row>
    <row r="14" spans="1:69">
      <c r="E14" s="16" t="str">
        <f xml:space="preserve"> 'Working Capital'!E$15</f>
        <v xml:space="preserve">Cash out on Inventory </v>
      </c>
      <c r="F14" s="16">
        <f xml:space="preserve"> 'Working Capital'!F$15</f>
        <v>0</v>
      </c>
      <c r="G14" s="16" t="str">
        <f xml:space="preserve"> 'Working Capital'!G$15</f>
        <v>GBP</v>
      </c>
      <c r="H14" s="42">
        <f ca="1" xml:space="preserve"> 'Working Capital'!H$15</f>
        <v>-5701499.9999999991</v>
      </c>
      <c r="I14" s="16">
        <f xml:space="preserve"> 'Working Capital'!I$15</f>
        <v>0</v>
      </c>
      <c r="J14" s="9">
        <f ca="1">'Working Capital'!J$15</f>
        <v>-52500</v>
      </c>
      <c r="K14" s="9">
        <f ca="1">'Working Capital'!K$15</f>
        <v>0</v>
      </c>
      <c r="L14" s="9">
        <f ca="1">'Working Capital'!L$15</f>
        <v>0</v>
      </c>
      <c r="M14" s="9">
        <f ca="1">'Working Capital'!M$15</f>
        <v>0</v>
      </c>
      <c r="N14" s="9">
        <f ca="1">'Working Capital'!N$15</f>
        <v>0</v>
      </c>
      <c r="O14" s="9">
        <f ca="1">'Working Capital'!O$15</f>
        <v>0</v>
      </c>
      <c r="P14" s="9">
        <f ca="1">'Working Capital'!P$15</f>
        <v>-199499.99999999997</v>
      </c>
      <c r="Q14" s="9">
        <f ca="1">'Working Capital'!Q$15</f>
        <v>0</v>
      </c>
      <c r="R14" s="9">
        <f ca="1">'Working Capital'!R$15</f>
        <v>0</v>
      </c>
      <c r="S14" s="9">
        <f ca="1">'Working Capital'!S$15</f>
        <v>0</v>
      </c>
      <c r="T14" s="9">
        <f ca="1">'Working Capital'!T$15</f>
        <v>0</v>
      </c>
      <c r="U14" s="9">
        <f ca="1">'Working Capital'!U$15</f>
        <v>0</v>
      </c>
      <c r="V14" s="9">
        <f ca="1">'Working Capital'!V$15</f>
        <v>-199499.99999999997</v>
      </c>
      <c r="W14" s="9">
        <f ca="1">'Working Capital'!W$15</f>
        <v>0</v>
      </c>
      <c r="X14" s="9">
        <f ca="1">'Working Capital'!X$15</f>
        <v>0</v>
      </c>
      <c r="Y14" s="9">
        <f ca="1">'Working Capital'!Y$15</f>
        <v>0</v>
      </c>
      <c r="Z14" s="9">
        <f ca="1">'Working Capital'!Z$15</f>
        <v>-52500</v>
      </c>
      <c r="AA14" s="9">
        <f ca="1">'Working Capital'!AA$15</f>
        <v>0</v>
      </c>
      <c r="AB14" s="9">
        <f ca="1">'Working Capital'!AB$15</f>
        <v>-146999.99999999997</v>
      </c>
      <c r="AC14" s="9">
        <f ca="1">'Working Capital'!AC$15</f>
        <v>0</v>
      </c>
      <c r="AD14" s="9">
        <f ca="1">'Working Capital'!AD$15</f>
        <v>-52500</v>
      </c>
      <c r="AE14" s="9">
        <f ca="1">'Working Capital'!AE$15</f>
        <v>0</v>
      </c>
      <c r="AF14" s="9">
        <f ca="1">'Working Capital'!AF$15</f>
        <v>-146999.99999999997</v>
      </c>
      <c r="AG14" s="9">
        <f ca="1">'Working Capital'!AG$15</f>
        <v>-52500</v>
      </c>
      <c r="AH14" s="9">
        <f ca="1">'Working Capital'!AH$15</f>
        <v>0</v>
      </c>
      <c r="AI14" s="9">
        <f ca="1">'Working Capital'!AI$15</f>
        <v>-52500</v>
      </c>
      <c r="AJ14" s="9">
        <f ca="1">'Working Capital'!AJ$15</f>
        <v>-146999.99999999997</v>
      </c>
      <c r="AK14" s="9">
        <f ca="1">'Working Capital'!AK$15</f>
        <v>0</v>
      </c>
      <c r="AL14" s="9">
        <f ca="1">'Working Capital'!AL$15</f>
        <v>-52500</v>
      </c>
      <c r="AM14" s="9">
        <f ca="1">'Working Capital'!AM$15</f>
        <v>-146999.99999999997</v>
      </c>
      <c r="AN14" s="9">
        <f ca="1">'Working Capital'!AN$15</f>
        <v>0</v>
      </c>
      <c r="AO14" s="9">
        <f ca="1">'Working Capital'!AO$15</f>
        <v>-199499.99999999997</v>
      </c>
      <c r="AP14" s="9">
        <f ca="1">'Working Capital'!AP$15</f>
        <v>0</v>
      </c>
      <c r="AQ14" s="9">
        <f ca="1">'Working Capital'!AQ$15</f>
        <v>-52500</v>
      </c>
      <c r="AR14" s="9">
        <f ca="1">'Working Capital'!AR$15</f>
        <v>-146999.99999999997</v>
      </c>
      <c r="AS14" s="9">
        <f ca="1">'Working Capital'!AS$15</f>
        <v>-52500</v>
      </c>
      <c r="AT14" s="9">
        <f ca="1">'Working Capital'!AT$15</f>
        <v>-52500</v>
      </c>
      <c r="AU14" s="9">
        <f ca="1">'Working Capital'!AU$15</f>
        <v>-146999.99999999997</v>
      </c>
      <c r="AV14" s="9">
        <f ca="1">'Working Capital'!AV$15</f>
        <v>-52500</v>
      </c>
      <c r="AW14" s="9">
        <f ca="1">'Working Capital'!AW$15</f>
        <v>-199499.99999999997</v>
      </c>
      <c r="AX14" s="9">
        <f ca="1">'Working Capital'!AX$15</f>
        <v>0</v>
      </c>
      <c r="AY14" s="9">
        <f ca="1">'Working Capital'!AY$15</f>
        <v>-199499.99999999997</v>
      </c>
      <c r="AZ14" s="9">
        <f ca="1">'Working Capital'!AZ$15</f>
        <v>-199499.99999999997</v>
      </c>
      <c r="BA14" s="9">
        <f ca="1">'Working Capital'!BA$15</f>
        <v>-52500</v>
      </c>
      <c r="BB14" s="9">
        <f ca="1">'Working Capital'!BB$15</f>
        <v>-199499.99999999997</v>
      </c>
      <c r="BC14" s="9">
        <f ca="1">'Working Capital'!BC$15</f>
        <v>-199499.99999999997</v>
      </c>
      <c r="BD14" s="9">
        <f ca="1">'Working Capital'!BD$15</f>
        <v>-52500</v>
      </c>
      <c r="BE14" s="9">
        <f ca="1">'Working Capital'!BE$15</f>
        <v>-199499.99999999997</v>
      </c>
      <c r="BF14" s="9">
        <f ca="1">'Working Capital'!BF$15</f>
        <v>-199499.99999999997</v>
      </c>
      <c r="BG14" s="9">
        <f ca="1">'Working Capital'!BG$15</f>
        <v>-199499.99999999997</v>
      </c>
      <c r="BH14" s="9">
        <f ca="1">'Working Capital'!BH$15</f>
        <v>-199499.99999999997</v>
      </c>
      <c r="BI14" s="9">
        <f ca="1">'Working Capital'!BI$15</f>
        <v>-199499.99999999997</v>
      </c>
      <c r="BJ14" s="9">
        <f ca="1">'Working Capital'!BJ$15</f>
        <v>-199499.99999999997</v>
      </c>
      <c r="BK14" s="9">
        <f ca="1">'Working Capital'!BK$15</f>
        <v>-199499.99999999997</v>
      </c>
      <c r="BL14" s="9">
        <f ca="1">'Working Capital'!BL$15</f>
        <v>-199499.99999999997</v>
      </c>
      <c r="BM14" s="9">
        <f ca="1">'Working Capital'!BM$15</f>
        <v>-199499.99999999997</v>
      </c>
      <c r="BN14" s="9">
        <f ca="1">'Working Capital'!BN$15</f>
        <v>-199499.99999999997</v>
      </c>
      <c r="BO14" s="9">
        <f ca="1">'Working Capital'!BO$15</f>
        <v>-199499.99999999997</v>
      </c>
      <c r="BP14" s="9">
        <f ca="1">'Working Capital'!BP$15</f>
        <v>-199499.99999999997</v>
      </c>
      <c r="BQ14" s="9">
        <f ca="1">'Working Capital'!BQ$15</f>
        <v>-199499.99999999997</v>
      </c>
    </row>
    <row r="15" spans="1:69">
      <c r="E15" s="12" t="s">
        <v>20</v>
      </c>
      <c r="F15" s="32"/>
      <c r="G15" s="12" t="s">
        <v>252</v>
      </c>
      <c r="H15" s="54">
        <f ca="1" xml:space="preserve"> SUM( J15:BQ15 )</f>
        <v>31637616.265330803</v>
      </c>
      <c r="I15" s="32"/>
      <c r="J15" s="12">
        <f t="shared" ref="J15:BQ15" ca="1" si="1" xml:space="preserve"> J12 + J14</f>
        <v>-109920</v>
      </c>
      <c r="K15" s="12">
        <f t="shared" ca="1" si="1"/>
        <v>-57900.248093382812</v>
      </c>
      <c r="L15" s="12">
        <f t="shared" ca="1" si="1"/>
        <v>-12909.054652965198</v>
      </c>
      <c r="M15" s="12">
        <f t="shared" ca="1" si="1"/>
        <v>-60135.501037377995</v>
      </c>
      <c r="N15" s="12">
        <f t="shared" ca="1" si="1"/>
        <v>-60707.429490589246</v>
      </c>
      <c r="O15" s="12">
        <f t="shared" ca="1" si="1"/>
        <v>-44999.758188052016</v>
      </c>
      <c r="P15" s="12">
        <f t="shared" ca="1" si="1"/>
        <v>-262668.89902306744</v>
      </c>
      <c r="Q15" s="12">
        <f t="shared" ca="1" si="1"/>
        <v>-63827.406889334176</v>
      </c>
      <c r="R15" s="12">
        <f t="shared" ca="1" si="1"/>
        <v>-133288.70560695478</v>
      </c>
      <c r="S15" s="12">
        <f t="shared" ca="1" si="1"/>
        <v>658569.29309415957</v>
      </c>
      <c r="T15" s="12">
        <f t="shared" ca="1" si="1"/>
        <v>62409.321222705199</v>
      </c>
      <c r="U15" s="12">
        <f t="shared" ca="1" si="1"/>
        <v>-64132.796174201816</v>
      </c>
      <c r="V15" s="12">
        <f t="shared" ca="1" si="1"/>
        <v>-269790</v>
      </c>
      <c r="W15" s="12">
        <f t="shared" ca="1" si="1"/>
        <v>-71265.080037937165</v>
      </c>
      <c r="X15" s="12">
        <f t="shared" ca="1" si="1"/>
        <v>-145581.45603118726</v>
      </c>
      <c r="Y15" s="12">
        <f t="shared" ca="1" si="1"/>
        <v>689727.63217317301</v>
      </c>
      <c r="Z15" s="12">
        <f t="shared" ca="1" si="1"/>
        <v>-28683.935783658031</v>
      </c>
      <c r="AA15" s="12">
        <f t="shared" ca="1" si="1"/>
        <v>-38328.365897071897</v>
      </c>
      <c r="AB15" s="12">
        <f t="shared" ca="1" si="1"/>
        <v>-226609.31871103859</v>
      </c>
      <c r="AC15" s="12">
        <f t="shared" ca="1" si="1"/>
        <v>-80925.099594781292</v>
      </c>
      <c r="AD15" s="12">
        <f t="shared" ca="1" si="1"/>
        <v>-378145.13934576395</v>
      </c>
      <c r="AE15" s="12">
        <f t="shared" ca="1" si="1"/>
        <v>1503845.1577295254</v>
      </c>
      <c r="AF15" s="12">
        <f t="shared" ca="1" si="1"/>
        <v>-104040.66404821264</v>
      </c>
      <c r="AG15" s="12">
        <f t="shared" ca="1" si="1"/>
        <v>-96848.667675981444</v>
      </c>
      <c r="AH15" s="12">
        <f t="shared" ca="1" si="1"/>
        <v>-98728.250638101817</v>
      </c>
      <c r="AI15" s="12">
        <f t="shared" ca="1" si="1"/>
        <v>710419.12434140407</v>
      </c>
      <c r="AJ15" s="12">
        <f t="shared" ca="1" si="1"/>
        <v>-454483.29169075063</v>
      </c>
      <c r="AK15" s="12">
        <f t="shared" ca="1" si="1"/>
        <v>633909.45762460167</v>
      </c>
      <c r="AL15" s="12">
        <f t="shared" ca="1" si="1"/>
        <v>120002.83041240321</v>
      </c>
      <c r="AM15" s="12">
        <f t="shared" ca="1" si="1"/>
        <v>604200.06943640625</v>
      </c>
      <c r="AN15" s="12">
        <f t="shared" ca="1" si="1"/>
        <v>87888.701169131746</v>
      </c>
      <c r="AO15" s="12">
        <f t="shared" ca="1" si="1"/>
        <v>-102357.90147075498</v>
      </c>
      <c r="AP15" s="12">
        <f t="shared" ca="1" si="1"/>
        <v>633677.98364596872</v>
      </c>
      <c r="AQ15" s="12">
        <f t="shared" ca="1" si="1"/>
        <v>926618.91964115377</v>
      </c>
      <c r="AR15" s="12">
        <f t="shared" ca="1" si="1"/>
        <v>842903.04951459984</v>
      </c>
      <c r="AS15" s="12">
        <f t="shared" ca="1" si="1"/>
        <v>-126511.49959750436</v>
      </c>
      <c r="AT15" s="12">
        <f t="shared" ca="1" si="1"/>
        <v>95823.334276696725</v>
      </c>
      <c r="AU15" s="12">
        <f t="shared" ca="1" si="1"/>
        <v>1740641.0606698864</v>
      </c>
      <c r="AV15" s="12">
        <f t="shared" ca="1" si="1"/>
        <v>-250153.75317796081</v>
      </c>
      <c r="AW15" s="12">
        <f t="shared" ca="1" si="1"/>
        <v>-670522.95654545666</v>
      </c>
      <c r="AX15" s="12">
        <f t="shared" ca="1" si="1"/>
        <v>1248588.4299859353</v>
      </c>
      <c r="AY15" s="12">
        <f t="shared" ca="1" si="1"/>
        <v>465378.30941554706</v>
      </c>
      <c r="AZ15" s="12">
        <f t="shared" ca="1" si="1"/>
        <v>1102916.7123355151</v>
      </c>
      <c r="BA15" s="12">
        <f t="shared" ca="1" si="1"/>
        <v>416884.76129616436</v>
      </c>
      <c r="BB15" s="12">
        <f t="shared" ca="1" si="1"/>
        <v>1403564.6711609056</v>
      </c>
      <c r="BC15" s="12">
        <f t="shared" ca="1" si="1"/>
        <v>1197975.0093896829</v>
      </c>
      <c r="BD15" s="12">
        <f t="shared" ca="1" si="1"/>
        <v>1380891.8756658994</v>
      </c>
      <c r="BE15" s="12">
        <f t="shared" ca="1" si="1"/>
        <v>587441.61082699173</v>
      </c>
      <c r="BF15" s="12">
        <f t="shared" ca="1" si="1"/>
        <v>1312759.0739845876</v>
      </c>
      <c r="BG15" s="12">
        <f t="shared" ca="1" si="1"/>
        <v>1351257.6800864558</v>
      </c>
      <c r="BH15" s="12">
        <f t="shared" ca="1" si="1"/>
        <v>616491.89182725851</v>
      </c>
      <c r="BI15" s="12">
        <f t="shared" ca="1" si="1"/>
        <v>-320383.23292602738</v>
      </c>
      <c r="BJ15" s="12">
        <f t="shared" ca="1" si="1"/>
        <v>2523492.4720835821</v>
      </c>
      <c r="BK15" s="12">
        <f t="shared" ca="1" si="1"/>
        <v>506783.0002304574</v>
      </c>
      <c r="BL15" s="12">
        <f t="shared" ca="1" si="1"/>
        <v>2652871.859202683</v>
      </c>
      <c r="BM15" s="12">
        <f t="shared" ca="1" si="1"/>
        <v>1862030.9964556675</v>
      </c>
      <c r="BN15" s="12">
        <f t="shared" ca="1" si="1"/>
        <v>1467171.231330537</v>
      </c>
      <c r="BO15" s="12">
        <f t="shared" ca="1" si="1"/>
        <v>2880189.3778097313</v>
      </c>
      <c r="BP15" s="12">
        <f t="shared" ca="1" si="1"/>
        <v>2100539.4131055539</v>
      </c>
      <c r="BQ15" s="12">
        <f t="shared" ca="1" si="1"/>
        <v>1583600.3665139428</v>
      </c>
    </row>
    <row r="17" spans="5:69">
      <c r="E17" s="16" t="str">
        <f xml:space="preserve"> 'Supply Chain finance'!E$22</f>
        <v>Supply Chain Finance drawdown</v>
      </c>
      <c r="F17" s="16">
        <f xml:space="preserve"> 'Supply Chain finance'!F$22</f>
        <v>0</v>
      </c>
      <c r="G17" s="16" t="str">
        <f xml:space="preserve"> 'Supply Chain finance'!G$22</f>
        <v>GBP</v>
      </c>
      <c r="H17" s="42">
        <f ca="1" xml:space="preserve"> 'Supply Chain finance'!H$22</f>
        <v>0</v>
      </c>
      <c r="I17" s="16">
        <f xml:space="preserve"> 'Supply Chain finance'!I$22</f>
        <v>0</v>
      </c>
      <c r="J17" s="9">
        <f ca="1" xml:space="preserve"> 'Supply Chain finance'!J$22</f>
        <v>0</v>
      </c>
      <c r="K17" s="9">
        <f ca="1" xml:space="preserve"> 'Supply Chain finance'!K$22</f>
        <v>0</v>
      </c>
      <c r="L17" s="9">
        <f ca="1" xml:space="preserve"> 'Supply Chain finance'!L$22</f>
        <v>0</v>
      </c>
      <c r="M17" s="9">
        <f ca="1" xml:space="preserve"> 'Supply Chain finance'!M$22</f>
        <v>0</v>
      </c>
      <c r="N17" s="9">
        <f ca="1" xml:space="preserve"> 'Supply Chain finance'!N$22</f>
        <v>0</v>
      </c>
      <c r="O17" s="9">
        <f ca="1" xml:space="preserve"> 'Supply Chain finance'!O$22</f>
        <v>0</v>
      </c>
      <c r="P17" s="9">
        <f ca="1" xml:space="preserve"> 'Supply Chain finance'!P$22</f>
        <v>0</v>
      </c>
      <c r="Q17" s="9">
        <f ca="1" xml:space="preserve"> 'Supply Chain finance'!Q$22</f>
        <v>0</v>
      </c>
      <c r="R17" s="9">
        <f ca="1" xml:space="preserve"> 'Supply Chain finance'!R$22</f>
        <v>0</v>
      </c>
      <c r="S17" s="9">
        <f ca="1" xml:space="preserve"> 'Supply Chain finance'!S$22</f>
        <v>0</v>
      </c>
      <c r="T17" s="9">
        <f ca="1" xml:space="preserve"> 'Supply Chain finance'!T$22</f>
        <v>0</v>
      </c>
      <c r="U17" s="9">
        <f ca="1" xml:space="preserve"> 'Supply Chain finance'!U$22</f>
        <v>0</v>
      </c>
      <c r="V17" s="9">
        <f ca="1" xml:space="preserve"> 'Supply Chain finance'!V$22</f>
        <v>0</v>
      </c>
      <c r="W17" s="9">
        <f ca="1" xml:space="preserve"> 'Supply Chain finance'!W$22</f>
        <v>0</v>
      </c>
      <c r="X17" s="9">
        <f ca="1" xml:space="preserve"> 'Supply Chain finance'!X$22</f>
        <v>0</v>
      </c>
      <c r="Y17" s="9">
        <f ca="1" xml:space="preserve"> 'Supply Chain finance'!Y$22</f>
        <v>0</v>
      </c>
      <c r="Z17" s="9">
        <f ca="1" xml:space="preserve"> 'Supply Chain finance'!Z$22</f>
        <v>0</v>
      </c>
      <c r="AA17" s="9">
        <f ca="1" xml:space="preserve"> 'Supply Chain finance'!AA$22</f>
        <v>0</v>
      </c>
      <c r="AB17" s="9">
        <f ca="1" xml:space="preserve"> 'Supply Chain finance'!AB$22</f>
        <v>0</v>
      </c>
      <c r="AC17" s="9">
        <f ca="1" xml:space="preserve"> 'Supply Chain finance'!AC$22</f>
        <v>0</v>
      </c>
      <c r="AD17" s="9">
        <f ca="1" xml:space="preserve"> 'Supply Chain finance'!AD$22</f>
        <v>0</v>
      </c>
      <c r="AE17" s="9">
        <f ca="1" xml:space="preserve"> 'Supply Chain finance'!AE$22</f>
        <v>0</v>
      </c>
      <c r="AF17" s="9">
        <f ca="1" xml:space="preserve"> 'Supply Chain finance'!AF$22</f>
        <v>0</v>
      </c>
      <c r="AG17" s="9">
        <f ca="1" xml:space="preserve"> 'Supply Chain finance'!AG$22</f>
        <v>0</v>
      </c>
      <c r="AH17" s="9">
        <f ca="1" xml:space="preserve"> 'Supply Chain finance'!AH$22</f>
        <v>0</v>
      </c>
      <c r="AI17" s="9">
        <f ca="1" xml:space="preserve"> 'Supply Chain finance'!AI$22</f>
        <v>0</v>
      </c>
      <c r="AJ17" s="9">
        <f ca="1" xml:space="preserve"> 'Supply Chain finance'!AJ$22</f>
        <v>0</v>
      </c>
      <c r="AK17" s="9">
        <f ca="1" xml:space="preserve"> 'Supply Chain finance'!AK$22</f>
        <v>0</v>
      </c>
      <c r="AL17" s="9">
        <f ca="1" xml:space="preserve"> 'Supply Chain finance'!AL$22</f>
        <v>0</v>
      </c>
      <c r="AM17" s="9">
        <f ca="1" xml:space="preserve"> 'Supply Chain finance'!AM$22</f>
        <v>0</v>
      </c>
      <c r="AN17" s="9">
        <f ca="1" xml:space="preserve"> 'Supply Chain finance'!AN$22</f>
        <v>0</v>
      </c>
      <c r="AO17" s="9">
        <f ca="1" xml:space="preserve"> 'Supply Chain finance'!AO$22</f>
        <v>0</v>
      </c>
      <c r="AP17" s="9">
        <f ca="1" xml:space="preserve"> 'Supply Chain finance'!AP$22</f>
        <v>0</v>
      </c>
      <c r="AQ17" s="9">
        <f ca="1" xml:space="preserve"> 'Supply Chain finance'!AQ$22</f>
        <v>0</v>
      </c>
      <c r="AR17" s="9">
        <f ca="1" xml:space="preserve"> 'Supply Chain finance'!AR$22</f>
        <v>0</v>
      </c>
      <c r="AS17" s="9">
        <f ca="1" xml:space="preserve"> 'Supply Chain finance'!AS$22</f>
        <v>0</v>
      </c>
      <c r="AT17" s="9">
        <f ca="1" xml:space="preserve"> 'Supply Chain finance'!AT$22</f>
        <v>0</v>
      </c>
      <c r="AU17" s="9">
        <f ca="1" xml:space="preserve"> 'Supply Chain finance'!AU$22</f>
        <v>0</v>
      </c>
      <c r="AV17" s="9">
        <f ca="1" xml:space="preserve"> 'Supply Chain finance'!AV$22</f>
        <v>0</v>
      </c>
      <c r="AW17" s="9">
        <f ca="1" xml:space="preserve"> 'Supply Chain finance'!AW$22</f>
        <v>0</v>
      </c>
      <c r="AX17" s="9">
        <f ca="1" xml:space="preserve"> 'Supply Chain finance'!AX$22</f>
        <v>0</v>
      </c>
      <c r="AY17" s="9">
        <f ca="1" xml:space="preserve"> 'Supply Chain finance'!AY$22</f>
        <v>0</v>
      </c>
      <c r="AZ17" s="9">
        <f ca="1" xml:space="preserve"> 'Supply Chain finance'!AZ$22</f>
        <v>0</v>
      </c>
      <c r="BA17" s="9">
        <f ca="1" xml:space="preserve"> 'Supply Chain finance'!BA$22</f>
        <v>0</v>
      </c>
      <c r="BB17" s="9">
        <f ca="1" xml:space="preserve"> 'Supply Chain finance'!BB$22</f>
        <v>0</v>
      </c>
      <c r="BC17" s="9">
        <f ca="1" xml:space="preserve"> 'Supply Chain finance'!BC$22</f>
        <v>0</v>
      </c>
      <c r="BD17" s="9">
        <f ca="1" xml:space="preserve"> 'Supply Chain finance'!BD$22</f>
        <v>0</v>
      </c>
      <c r="BE17" s="9">
        <f ca="1" xml:space="preserve"> 'Supply Chain finance'!BE$22</f>
        <v>0</v>
      </c>
      <c r="BF17" s="9">
        <f ca="1" xml:space="preserve"> 'Supply Chain finance'!BF$22</f>
        <v>0</v>
      </c>
      <c r="BG17" s="9">
        <f ca="1" xml:space="preserve"> 'Supply Chain finance'!BG$22</f>
        <v>0</v>
      </c>
      <c r="BH17" s="9">
        <f ca="1" xml:space="preserve"> 'Supply Chain finance'!BH$22</f>
        <v>0</v>
      </c>
      <c r="BI17" s="9">
        <f ca="1" xml:space="preserve"> 'Supply Chain finance'!BI$22</f>
        <v>0</v>
      </c>
      <c r="BJ17" s="9">
        <f ca="1" xml:space="preserve"> 'Supply Chain finance'!BJ$22</f>
        <v>0</v>
      </c>
      <c r="BK17" s="9">
        <f ca="1" xml:space="preserve"> 'Supply Chain finance'!BK$22</f>
        <v>0</v>
      </c>
      <c r="BL17" s="9">
        <f ca="1" xml:space="preserve"> 'Supply Chain finance'!BL$22</f>
        <v>0</v>
      </c>
      <c r="BM17" s="9">
        <f ca="1" xml:space="preserve"> 'Supply Chain finance'!BM$22</f>
        <v>0</v>
      </c>
      <c r="BN17" s="9">
        <f ca="1" xml:space="preserve"> 'Supply Chain finance'!BN$22</f>
        <v>0</v>
      </c>
      <c r="BO17" s="9">
        <f ca="1" xml:space="preserve"> 'Supply Chain finance'!BO$22</f>
        <v>0</v>
      </c>
      <c r="BP17" s="9">
        <f ca="1" xml:space="preserve"> 'Supply Chain finance'!BP$22</f>
        <v>0</v>
      </c>
      <c r="BQ17" s="9">
        <f ca="1" xml:space="preserve"> 'Supply Chain finance'!BQ$22</f>
        <v>0</v>
      </c>
    </row>
    <row r="18" spans="5:69">
      <c r="E18" s="16" t="str">
        <f xml:space="preserve"> 'Supply Chain finance'!E$29</f>
        <v xml:space="preserve">Supply Chain Finance principal repayment </v>
      </c>
      <c r="F18" s="16">
        <f xml:space="preserve"> 'Supply Chain finance'!F$29</f>
        <v>0</v>
      </c>
      <c r="G18" s="16" t="str">
        <f xml:space="preserve"> 'Supply Chain finance'!G$29</f>
        <v>GBP</v>
      </c>
      <c r="H18" s="42">
        <f ca="1" xml:space="preserve"> 'Supply Chain finance'!H$29</f>
        <v>0</v>
      </c>
      <c r="I18" s="16">
        <f xml:space="preserve"> 'Supply Chain finance'!I$29</f>
        <v>0</v>
      </c>
      <c r="J18" s="9">
        <f ca="1">'Supply Chain finance'!J$29</f>
        <v>0</v>
      </c>
      <c r="K18" s="9">
        <f ca="1">'Supply Chain finance'!K$29</f>
        <v>0</v>
      </c>
      <c r="L18" s="9">
        <f ca="1">'Supply Chain finance'!L$29</f>
        <v>0</v>
      </c>
      <c r="M18" s="9">
        <f ca="1">'Supply Chain finance'!M$29</f>
        <v>0</v>
      </c>
      <c r="N18" s="9">
        <f ca="1">'Supply Chain finance'!N$29</f>
        <v>0</v>
      </c>
      <c r="O18" s="9">
        <f ca="1">'Supply Chain finance'!O$29</f>
        <v>0</v>
      </c>
      <c r="P18" s="9">
        <f ca="1">'Supply Chain finance'!P$29</f>
        <v>0</v>
      </c>
      <c r="Q18" s="9">
        <f ca="1">'Supply Chain finance'!Q$29</f>
        <v>0</v>
      </c>
      <c r="R18" s="9">
        <f ca="1">'Supply Chain finance'!R$29</f>
        <v>0</v>
      </c>
      <c r="S18" s="9">
        <f ca="1">'Supply Chain finance'!S$29</f>
        <v>0</v>
      </c>
      <c r="T18" s="9">
        <f ca="1">'Supply Chain finance'!T$29</f>
        <v>0</v>
      </c>
      <c r="U18" s="9">
        <f ca="1">'Supply Chain finance'!U$29</f>
        <v>0</v>
      </c>
      <c r="V18" s="9">
        <f ca="1">'Supply Chain finance'!V$29</f>
        <v>0</v>
      </c>
      <c r="W18" s="9">
        <f ca="1">'Supply Chain finance'!W$29</f>
        <v>0</v>
      </c>
      <c r="X18" s="9">
        <f ca="1">'Supply Chain finance'!X$29</f>
        <v>0</v>
      </c>
      <c r="Y18" s="9">
        <f ca="1">'Supply Chain finance'!Y$29</f>
        <v>0</v>
      </c>
      <c r="Z18" s="9">
        <f ca="1">'Supply Chain finance'!Z$29</f>
        <v>0</v>
      </c>
      <c r="AA18" s="9">
        <f ca="1">'Supply Chain finance'!AA$29</f>
        <v>0</v>
      </c>
      <c r="AB18" s="9">
        <f ca="1">'Supply Chain finance'!AB$29</f>
        <v>0</v>
      </c>
      <c r="AC18" s="9">
        <f ca="1">'Supply Chain finance'!AC$29</f>
        <v>0</v>
      </c>
      <c r="AD18" s="9">
        <f ca="1">'Supply Chain finance'!AD$29</f>
        <v>0</v>
      </c>
      <c r="AE18" s="9">
        <f ca="1">'Supply Chain finance'!AE$29</f>
        <v>0</v>
      </c>
      <c r="AF18" s="9">
        <f ca="1">'Supply Chain finance'!AF$29</f>
        <v>0</v>
      </c>
      <c r="AG18" s="9">
        <f ca="1">'Supply Chain finance'!AG$29</f>
        <v>0</v>
      </c>
      <c r="AH18" s="9">
        <f ca="1">'Supply Chain finance'!AH$29</f>
        <v>0</v>
      </c>
      <c r="AI18" s="9">
        <f ca="1">'Supply Chain finance'!AI$29</f>
        <v>0</v>
      </c>
      <c r="AJ18" s="9">
        <f ca="1">'Supply Chain finance'!AJ$29</f>
        <v>0</v>
      </c>
      <c r="AK18" s="9">
        <f ca="1">'Supply Chain finance'!AK$29</f>
        <v>0</v>
      </c>
      <c r="AL18" s="9">
        <f ca="1">'Supply Chain finance'!AL$29</f>
        <v>0</v>
      </c>
      <c r="AM18" s="9">
        <f ca="1">'Supply Chain finance'!AM$29</f>
        <v>0</v>
      </c>
      <c r="AN18" s="9">
        <f ca="1">'Supply Chain finance'!AN$29</f>
        <v>0</v>
      </c>
      <c r="AO18" s="9">
        <f ca="1">'Supply Chain finance'!AO$29</f>
        <v>0</v>
      </c>
      <c r="AP18" s="9">
        <f ca="1">'Supply Chain finance'!AP$29</f>
        <v>0</v>
      </c>
      <c r="AQ18" s="9">
        <f ca="1">'Supply Chain finance'!AQ$29</f>
        <v>0</v>
      </c>
      <c r="AR18" s="9">
        <f ca="1">'Supply Chain finance'!AR$29</f>
        <v>0</v>
      </c>
      <c r="AS18" s="9">
        <f ca="1">'Supply Chain finance'!AS$29</f>
        <v>0</v>
      </c>
      <c r="AT18" s="9">
        <f ca="1">'Supply Chain finance'!AT$29</f>
        <v>0</v>
      </c>
      <c r="AU18" s="9">
        <f ca="1">'Supply Chain finance'!AU$29</f>
        <v>0</v>
      </c>
      <c r="AV18" s="9">
        <f ca="1">'Supply Chain finance'!AV$29</f>
        <v>0</v>
      </c>
      <c r="AW18" s="9">
        <f ca="1">'Supply Chain finance'!AW$29</f>
        <v>0</v>
      </c>
      <c r="AX18" s="9">
        <f ca="1">'Supply Chain finance'!AX$29</f>
        <v>0</v>
      </c>
      <c r="AY18" s="9">
        <f ca="1">'Supply Chain finance'!AY$29</f>
        <v>0</v>
      </c>
      <c r="AZ18" s="9">
        <f ca="1">'Supply Chain finance'!AZ$29</f>
        <v>0</v>
      </c>
      <c r="BA18" s="9">
        <f ca="1">'Supply Chain finance'!BA$29</f>
        <v>0</v>
      </c>
      <c r="BB18" s="9">
        <f ca="1">'Supply Chain finance'!BB$29</f>
        <v>0</v>
      </c>
      <c r="BC18" s="9">
        <f ca="1">'Supply Chain finance'!BC$29</f>
        <v>0</v>
      </c>
      <c r="BD18" s="9">
        <f ca="1">'Supply Chain finance'!BD$29</f>
        <v>0</v>
      </c>
      <c r="BE18" s="9">
        <f ca="1">'Supply Chain finance'!BE$29</f>
        <v>0</v>
      </c>
      <c r="BF18" s="9">
        <f ca="1">'Supply Chain finance'!BF$29</f>
        <v>0</v>
      </c>
      <c r="BG18" s="9">
        <f ca="1">'Supply Chain finance'!BG$29</f>
        <v>0</v>
      </c>
      <c r="BH18" s="9">
        <f ca="1">'Supply Chain finance'!BH$29</f>
        <v>0</v>
      </c>
      <c r="BI18" s="9">
        <f ca="1">'Supply Chain finance'!BI$29</f>
        <v>0</v>
      </c>
      <c r="BJ18" s="9">
        <f ca="1">'Supply Chain finance'!BJ$29</f>
        <v>0</v>
      </c>
      <c r="BK18" s="9">
        <f ca="1">'Supply Chain finance'!BK$29</f>
        <v>0</v>
      </c>
      <c r="BL18" s="9">
        <f ca="1">'Supply Chain finance'!BL$29</f>
        <v>0</v>
      </c>
      <c r="BM18" s="9">
        <f ca="1">'Supply Chain finance'!BM$29</f>
        <v>0</v>
      </c>
      <c r="BN18" s="9">
        <f ca="1">'Supply Chain finance'!BN$29</f>
        <v>0</v>
      </c>
      <c r="BO18" s="9">
        <f ca="1">'Supply Chain finance'!BO$29</f>
        <v>0</v>
      </c>
      <c r="BP18" s="9">
        <f ca="1">'Supply Chain finance'!BP$29</f>
        <v>0</v>
      </c>
      <c r="BQ18" s="9">
        <f ca="1">'Supply Chain finance'!BQ$29</f>
        <v>0</v>
      </c>
    </row>
    <row r="19" spans="5:69">
      <c r="E19" s="16" t="str">
        <f xml:space="preserve"> 'Invoice finance'!E$21</f>
        <v>Invoice finance drawdown</v>
      </c>
      <c r="F19" s="16">
        <f xml:space="preserve"> 'Invoice finance'!F$21</f>
        <v>0</v>
      </c>
      <c r="G19" s="16" t="str">
        <f xml:space="preserve"> 'Invoice finance'!G$21</f>
        <v>GBP</v>
      </c>
      <c r="H19" s="42">
        <f ca="1" xml:space="preserve"> 'Invoice finance'!H$21</f>
        <v>0</v>
      </c>
      <c r="I19" s="16">
        <f xml:space="preserve"> 'Invoice finance'!I$21</f>
        <v>0</v>
      </c>
      <c r="J19" s="9">
        <f ca="1" xml:space="preserve"> 'Invoice finance'!J$21</f>
        <v>0</v>
      </c>
      <c r="K19" s="9">
        <f ca="1" xml:space="preserve"> 'Invoice finance'!K$21</f>
        <v>0</v>
      </c>
      <c r="L19" s="9">
        <f ca="1" xml:space="preserve"> 'Invoice finance'!L$21</f>
        <v>0</v>
      </c>
      <c r="M19" s="9">
        <f ca="1" xml:space="preserve"> 'Invoice finance'!M$21</f>
        <v>0</v>
      </c>
      <c r="N19" s="9">
        <f ca="1" xml:space="preserve"> 'Invoice finance'!N$21</f>
        <v>0</v>
      </c>
      <c r="O19" s="9">
        <f ca="1" xml:space="preserve"> 'Invoice finance'!O$21</f>
        <v>0</v>
      </c>
      <c r="P19" s="9">
        <f ca="1" xml:space="preserve"> 'Invoice finance'!P$21</f>
        <v>0</v>
      </c>
      <c r="Q19" s="9">
        <f ca="1" xml:space="preserve"> 'Invoice finance'!Q$21</f>
        <v>0</v>
      </c>
      <c r="R19" s="9">
        <f ca="1" xml:space="preserve"> 'Invoice finance'!R$21</f>
        <v>0</v>
      </c>
      <c r="S19" s="9">
        <f ca="1" xml:space="preserve"> 'Invoice finance'!S$21</f>
        <v>0</v>
      </c>
      <c r="T19" s="9">
        <f ca="1" xml:space="preserve"> 'Invoice finance'!T$21</f>
        <v>0</v>
      </c>
      <c r="U19" s="9">
        <f ca="1" xml:space="preserve"> 'Invoice finance'!U$21</f>
        <v>0</v>
      </c>
      <c r="V19" s="9">
        <f ca="1" xml:space="preserve"> 'Invoice finance'!V$21</f>
        <v>0</v>
      </c>
      <c r="W19" s="9">
        <f ca="1" xml:space="preserve"> 'Invoice finance'!W$21</f>
        <v>0</v>
      </c>
      <c r="X19" s="9">
        <f ca="1" xml:space="preserve"> 'Invoice finance'!X$21</f>
        <v>0</v>
      </c>
      <c r="Y19" s="9">
        <f ca="1" xml:space="preserve"> 'Invoice finance'!Y$21</f>
        <v>0</v>
      </c>
      <c r="Z19" s="9">
        <f ca="1" xml:space="preserve"> 'Invoice finance'!Z$21</f>
        <v>0</v>
      </c>
      <c r="AA19" s="9">
        <f ca="1" xml:space="preserve"> 'Invoice finance'!AA$21</f>
        <v>0</v>
      </c>
      <c r="AB19" s="9">
        <f ca="1" xml:space="preserve"> 'Invoice finance'!AB$21</f>
        <v>0</v>
      </c>
      <c r="AC19" s="9">
        <f ca="1" xml:space="preserve"> 'Invoice finance'!AC$21</f>
        <v>0</v>
      </c>
      <c r="AD19" s="9">
        <f ca="1" xml:space="preserve"> 'Invoice finance'!AD$21</f>
        <v>0</v>
      </c>
      <c r="AE19" s="9">
        <f ca="1" xml:space="preserve"> 'Invoice finance'!AE$21</f>
        <v>0</v>
      </c>
      <c r="AF19" s="9">
        <f ca="1" xml:space="preserve"> 'Invoice finance'!AF$21</f>
        <v>0</v>
      </c>
      <c r="AG19" s="9">
        <f ca="1" xml:space="preserve"> 'Invoice finance'!AG$21</f>
        <v>0</v>
      </c>
      <c r="AH19" s="9">
        <f ca="1" xml:space="preserve"> 'Invoice finance'!AH$21</f>
        <v>0</v>
      </c>
      <c r="AI19" s="9">
        <f ca="1" xml:space="preserve"> 'Invoice finance'!AI$21</f>
        <v>0</v>
      </c>
      <c r="AJ19" s="9">
        <f ca="1" xml:space="preserve"> 'Invoice finance'!AJ$21</f>
        <v>0</v>
      </c>
      <c r="AK19" s="9">
        <f ca="1" xml:space="preserve"> 'Invoice finance'!AK$21</f>
        <v>0</v>
      </c>
      <c r="AL19" s="9">
        <f ca="1" xml:space="preserve"> 'Invoice finance'!AL$21</f>
        <v>0</v>
      </c>
      <c r="AM19" s="9">
        <f ca="1" xml:space="preserve"> 'Invoice finance'!AM$21</f>
        <v>0</v>
      </c>
      <c r="AN19" s="9">
        <f ca="1" xml:space="preserve"> 'Invoice finance'!AN$21</f>
        <v>0</v>
      </c>
      <c r="AO19" s="9">
        <f ca="1" xml:space="preserve"> 'Invoice finance'!AO$21</f>
        <v>0</v>
      </c>
      <c r="AP19" s="9">
        <f ca="1" xml:space="preserve"> 'Invoice finance'!AP$21</f>
        <v>0</v>
      </c>
      <c r="AQ19" s="9">
        <f ca="1" xml:space="preserve"> 'Invoice finance'!AQ$21</f>
        <v>0</v>
      </c>
      <c r="AR19" s="9">
        <f ca="1" xml:space="preserve"> 'Invoice finance'!AR$21</f>
        <v>0</v>
      </c>
      <c r="AS19" s="9">
        <f ca="1" xml:space="preserve"> 'Invoice finance'!AS$21</f>
        <v>0</v>
      </c>
      <c r="AT19" s="9">
        <f ca="1" xml:space="preserve"> 'Invoice finance'!AT$21</f>
        <v>0</v>
      </c>
      <c r="AU19" s="9">
        <f ca="1" xml:space="preserve"> 'Invoice finance'!AU$21</f>
        <v>0</v>
      </c>
      <c r="AV19" s="9">
        <f ca="1" xml:space="preserve"> 'Invoice finance'!AV$21</f>
        <v>0</v>
      </c>
      <c r="AW19" s="9">
        <f ca="1" xml:space="preserve"> 'Invoice finance'!AW$21</f>
        <v>0</v>
      </c>
      <c r="AX19" s="9">
        <f ca="1" xml:space="preserve"> 'Invoice finance'!AX$21</f>
        <v>0</v>
      </c>
      <c r="AY19" s="9">
        <f ca="1" xml:space="preserve"> 'Invoice finance'!AY$21</f>
        <v>0</v>
      </c>
      <c r="AZ19" s="9">
        <f ca="1" xml:space="preserve"> 'Invoice finance'!AZ$21</f>
        <v>0</v>
      </c>
      <c r="BA19" s="9">
        <f ca="1" xml:space="preserve"> 'Invoice finance'!BA$21</f>
        <v>0</v>
      </c>
      <c r="BB19" s="9">
        <f ca="1" xml:space="preserve"> 'Invoice finance'!BB$21</f>
        <v>0</v>
      </c>
      <c r="BC19" s="9">
        <f ca="1" xml:space="preserve"> 'Invoice finance'!BC$21</f>
        <v>0</v>
      </c>
      <c r="BD19" s="9">
        <f ca="1" xml:space="preserve"> 'Invoice finance'!BD$21</f>
        <v>0</v>
      </c>
      <c r="BE19" s="9">
        <f ca="1" xml:space="preserve"> 'Invoice finance'!BE$21</f>
        <v>0</v>
      </c>
      <c r="BF19" s="9">
        <f ca="1" xml:space="preserve"> 'Invoice finance'!BF$21</f>
        <v>0</v>
      </c>
      <c r="BG19" s="9">
        <f ca="1" xml:space="preserve"> 'Invoice finance'!BG$21</f>
        <v>0</v>
      </c>
      <c r="BH19" s="9">
        <f ca="1" xml:space="preserve"> 'Invoice finance'!BH$21</f>
        <v>0</v>
      </c>
      <c r="BI19" s="9">
        <f ca="1" xml:space="preserve"> 'Invoice finance'!BI$21</f>
        <v>0</v>
      </c>
      <c r="BJ19" s="9">
        <f ca="1" xml:space="preserve"> 'Invoice finance'!BJ$21</f>
        <v>0</v>
      </c>
      <c r="BK19" s="9">
        <f ca="1" xml:space="preserve"> 'Invoice finance'!BK$21</f>
        <v>0</v>
      </c>
      <c r="BL19" s="9">
        <f ca="1" xml:space="preserve"> 'Invoice finance'!BL$21</f>
        <v>0</v>
      </c>
      <c r="BM19" s="9">
        <f ca="1" xml:space="preserve"> 'Invoice finance'!BM$21</f>
        <v>0</v>
      </c>
      <c r="BN19" s="9">
        <f ca="1" xml:space="preserve"> 'Invoice finance'!BN$21</f>
        <v>0</v>
      </c>
      <c r="BO19" s="9">
        <f ca="1" xml:space="preserve"> 'Invoice finance'!BO$21</f>
        <v>0</v>
      </c>
      <c r="BP19" s="9">
        <f ca="1" xml:space="preserve"> 'Invoice finance'!BP$21</f>
        <v>0</v>
      </c>
      <c r="BQ19" s="9">
        <f ca="1" xml:space="preserve"> 'Invoice finance'!BQ$21</f>
        <v>0</v>
      </c>
    </row>
    <row r="20" spans="5:69">
      <c r="E20" s="16" t="str">
        <f xml:space="preserve"> 'Invoice finance'!E$28</f>
        <v xml:space="preserve">Invoice finance principal repayment </v>
      </c>
      <c r="F20" s="16">
        <f xml:space="preserve"> 'Invoice finance'!F$28</f>
        <v>0</v>
      </c>
      <c r="G20" s="16" t="str">
        <f xml:space="preserve"> 'Invoice finance'!G$28</f>
        <v>GBP</v>
      </c>
      <c r="H20" s="42">
        <f ca="1" xml:space="preserve"> 'Invoice finance'!H$28</f>
        <v>0</v>
      </c>
      <c r="I20" s="16">
        <f xml:space="preserve"> 'Invoice finance'!I$28</f>
        <v>0</v>
      </c>
      <c r="J20" s="9">
        <f ca="1">'Invoice finance'!J$28</f>
        <v>0</v>
      </c>
      <c r="K20" s="9">
        <f ca="1">'Invoice finance'!K$28</f>
        <v>0</v>
      </c>
      <c r="L20" s="9">
        <f ca="1">'Invoice finance'!L$28</f>
        <v>0</v>
      </c>
      <c r="M20" s="9">
        <f ca="1">'Invoice finance'!M$28</f>
        <v>0</v>
      </c>
      <c r="N20" s="9">
        <f ca="1">'Invoice finance'!N$28</f>
        <v>0</v>
      </c>
      <c r="O20" s="9">
        <f ca="1">'Invoice finance'!O$28</f>
        <v>0</v>
      </c>
      <c r="P20" s="9">
        <f ca="1">'Invoice finance'!P$28</f>
        <v>0</v>
      </c>
      <c r="Q20" s="9">
        <f ca="1">'Invoice finance'!Q$28</f>
        <v>0</v>
      </c>
      <c r="R20" s="9">
        <f ca="1">'Invoice finance'!R$28</f>
        <v>0</v>
      </c>
      <c r="S20" s="9">
        <f ca="1">'Invoice finance'!S$28</f>
        <v>0</v>
      </c>
      <c r="T20" s="9">
        <f ca="1">'Invoice finance'!T$28</f>
        <v>0</v>
      </c>
      <c r="U20" s="9">
        <f ca="1">'Invoice finance'!U$28</f>
        <v>0</v>
      </c>
      <c r="V20" s="9">
        <f ca="1">'Invoice finance'!V$28</f>
        <v>0</v>
      </c>
      <c r="W20" s="9">
        <f ca="1">'Invoice finance'!W$28</f>
        <v>0</v>
      </c>
      <c r="X20" s="9">
        <f ca="1">'Invoice finance'!X$28</f>
        <v>0</v>
      </c>
      <c r="Y20" s="9">
        <f ca="1">'Invoice finance'!Y$28</f>
        <v>0</v>
      </c>
      <c r="Z20" s="9">
        <f ca="1">'Invoice finance'!Z$28</f>
        <v>0</v>
      </c>
      <c r="AA20" s="9">
        <f ca="1">'Invoice finance'!AA$28</f>
        <v>0</v>
      </c>
      <c r="AB20" s="9">
        <f ca="1">'Invoice finance'!AB$28</f>
        <v>0</v>
      </c>
      <c r="AC20" s="9">
        <f ca="1">'Invoice finance'!AC$28</f>
        <v>0</v>
      </c>
      <c r="AD20" s="9">
        <f ca="1">'Invoice finance'!AD$28</f>
        <v>0</v>
      </c>
      <c r="AE20" s="9">
        <f ca="1">'Invoice finance'!AE$28</f>
        <v>0</v>
      </c>
      <c r="AF20" s="9">
        <f ca="1">'Invoice finance'!AF$28</f>
        <v>0</v>
      </c>
      <c r="AG20" s="9">
        <f ca="1">'Invoice finance'!AG$28</f>
        <v>0</v>
      </c>
      <c r="AH20" s="9">
        <f ca="1">'Invoice finance'!AH$28</f>
        <v>0</v>
      </c>
      <c r="AI20" s="9">
        <f ca="1">'Invoice finance'!AI$28</f>
        <v>0</v>
      </c>
      <c r="AJ20" s="9">
        <f ca="1">'Invoice finance'!AJ$28</f>
        <v>0</v>
      </c>
      <c r="AK20" s="9">
        <f ca="1">'Invoice finance'!AK$28</f>
        <v>0</v>
      </c>
      <c r="AL20" s="9">
        <f ca="1">'Invoice finance'!AL$28</f>
        <v>0</v>
      </c>
      <c r="AM20" s="9">
        <f ca="1">'Invoice finance'!AM$28</f>
        <v>0</v>
      </c>
      <c r="AN20" s="9">
        <f ca="1">'Invoice finance'!AN$28</f>
        <v>0</v>
      </c>
      <c r="AO20" s="9">
        <f ca="1">'Invoice finance'!AO$28</f>
        <v>0</v>
      </c>
      <c r="AP20" s="9">
        <f ca="1">'Invoice finance'!AP$28</f>
        <v>0</v>
      </c>
      <c r="AQ20" s="9">
        <f ca="1">'Invoice finance'!AQ$28</f>
        <v>0</v>
      </c>
      <c r="AR20" s="9">
        <f ca="1">'Invoice finance'!AR$28</f>
        <v>0</v>
      </c>
      <c r="AS20" s="9">
        <f ca="1">'Invoice finance'!AS$28</f>
        <v>0</v>
      </c>
      <c r="AT20" s="9">
        <f ca="1">'Invoice finance'!AT$28</f>
        <v>0</v>
      </c>
      <c r="AU20" s="9">
        <f ca="1">'Invoice finance'!AU$28</f>
        <v>0</v>
      </c>
      <c r="AV20" s="9">
        <f ca="1">'Invoice finance'!AV$28</f>
        <v>0</v>
      </c>
      <c r="AW20" s="9">
        <f ca="1">'Invoice finance'!AW$28</f>
        <v>0</v>
      </c>
      <c r="AX20" s="9">
        <f ca="1">'Invoice finance'!AX$28</f>
        <v>0</v>
      </c>
      <c r="AY20" s="9">
        <f ca="1">'Invoice finance'!AY$28</f>
        <v>0</v>
      </c>
      <c r="AZ20" s="9">
        <f ca="1">'Invoice finance'!AZ$28</f>
        <v>0</v>
      </c>
      <c r="BA20" s="9">
        <f ca="1">'Invoice finance'!BA$28</f>
        <v>0</v>
      </c>
      <c r="BB20" s="9">
        <f ca="1">'Invoice finance'!BB$28</f>
        <v>0</v>
      </c>
      <c r="BC20" s="9">
        <f ca="1">'Invoice finance'!BC$28</f>
        <v>0</v>
      </c>
      <c r="BD20" s="9">
        <f ca="1">'Invoice finance'!BD$28</f>
        <v>0</v>
      </c>
      <c r="BE20" s="9">
        <f ca="1">'Invoice finance'!BE$28</f>
        <v>0</v>
      </c>
      <c r="BF20" s="9">
        <f ca="1">'Invoice finance'!BF$28</f>
        <v>0</v>
      </c>
      <c r="BG20" s="9">
        <f ca="1">'Invoice finance'!BG$28</f>
        <v>0</v>
      </c>
      <c r="BH20" s="9">
        <f ca="1">'Invoice finance'!BH$28</f>
        <v>0</v>
      </c>
      <c r="BI20" s="9">
        <f ca="1">'Invoice finance'!BI$28</f>
        <v>0</v>
      </c>
      <c r="BJ20" s="9">
        <f ca="1">'Invoice finance'!BJ$28</f>
        <v>0</v>
      </c>
      <c r="BK20" s="9">
        <f ca="1">'Invoice finance'!BK$28</f>
        <v>0</v>
      </c>
      <c r="BL20" s="9">
        <f ca="1">'Invoice finance'!BL$28</f>
        <v>0</v>
      </c>
      <c r="BM20" s="9">
        <f ca="1">'Invoice finance'!BM$28</f>
        <v>0</v>
      </c>
      <c r="BN20" s="9">
        <f ca="1">'Invoice finance'!BN$28</f>
        <v>0</v>
      </c>
      <c r="BO20" s="9">
        <f ca="1">'Invoice finance'!BO$28</f>
        <v>0</v>
      </c>
      <c r="BP20" s="9">
        <f ca="1">'Invoice finance'!BP$28</f>
        <v>0</v>
      </c>
      <c r="BQ20" s="9">
        <f ca="1">'Invoice finance'!BQ$28</f>
        <v>0</v>
      </c>
    </row>
    <row r="21" spans="5:69">
      <c r="E21" s="16" t="str">
        <f xml:space="preserve"> 'Asset Finance'!E$22</f>
        <v>Asset Finance drawdown</v>
      </c>
      <c r="F21" s="16">
        <f xml:space="preserve"> 'Asset Finance'!F$22</f>
        <v>0</v>
      </c>
      <c r="G21" s="16" t="str">
        <f xml:space="preserve"> 'Asset Finance'!G$22</f>
        <v>GBP</v>
      </c>
      <c r="H21" s="42">
        <f ca="1" xml:space="preserve"> 'Asset Finance'!H$22</f>
        <v>5775000</v>
      </c>
      <c r="I21" s="16">
        <f xml:space="preserve"> 'Asset Finance'!I$22</f>
        <v>0</v>
      </c>
      <c r="J21" s="9">
        <f ca="1" xml:space="preserve"> 'Asset Finance'!J$22</f>
        <v>175000</v>
      </c>
      <c r="K21" s="9">
        <f ca="1" xml:space="preserve"> 'Asset Finance'!K$22</f>
        <v>0</v>
      </c>
      <c r="L21" s="9">
        <f ca="1" xml:space="preserve"> 'Asset Finance'!L$22</f>
        <v>0</v>
      </c>
      <c r="M21" s="9">
        <f ca="1" xml:space="preserve"> 'Asset Finance'!M$22</f>
        <v>0</v>
      </c>
      <c r="N21" s="9">
        <f ca="1" xml:space="preserve"> 'Asset Finance'!N$22</f>
        <v>0</v>
      </c>
      <c r="O21" s="9">
        <f ca="1" xml:space="preserve"> 'Asset Finance'!O$22</f>
        <v>0</v>
      </c>
      <c r="P21" s="9">
        <f ca="1" xml:space="preserve"> 'Asset Finance'!P$22</f>
        <v>175000</v>
      </c>
      <c r="Q21" s="9">
        <f ca="1" xml:space="preserve"> 'Asset Finance'!Q$22</f>
        <v>0</v>
      </c>
      <c r="R21" s="9">
        <f ca="1" xml:space="preserve"> 'Asset Finance'!R$22</f>
        <v>0</v>
      </c>
      <c r="S21" s="9">
        <f ca="1" xml:space="preserve"> 'Asset Finance'!S$22</f>
        <v>0</v>
      </c>
      <c r="T21" s="9">
        <f ca="1" xml:space="preserve"> 'Asset Finance'!T$22</f>
        <v>0</v>
      </c>
      <c r="U21" s="9">
        <f ca="1" xml:space="preserve"> 'Asset Finance'!U$22</f>
        <v>0</v>
      </c>
      <c r="V21" s="9">
        <f ca="1" xml:space="preserve"> 'Asset Finance'!V$22</f>
        <v>175000</v>
      </c>
      <c r="W21" s="9">
        <f ca="1" xml:space="preserve"> 'Asset Finance'!W$22</f>
        <v>0</v>
      </c>
      <c r="X21" s="9">
        <f ca="1" xml:space="preserve"> 'Asset Finance'!X$22</f>
        <v>0</v>
      </c>
      <c r="Y21" s="9">
        <f ca="1" xml:space="preserve"> 'Asset Finance'!Y$22</f>
        <v>0</v>
      </c>
      <c r="Z21" s="9">
        <f ca="1" xml:space="preserve"> 'Asset Finance'!Z$22</f>
        <v>175000</v>
      </c>
      <c r="AA21" s="9">
        <f ca="1" xml:space="preserve"> 'Asset Finance'!AA$22</f>
        <v>0</v>
      </c>
      <c r="AB21" s="9">
        <f ca="1" xml:space="preserve"> 'Asset Finance'!AB$22</f>
        <v>0</v>
      </c>
      <c r="AC21" s="9">
        <f ca="1" xml:space="preserve"> 'Asset Finance'!AC$22</f>
        <v>0</v>
      </c>
      <c r="AD21" s="9">
        <f ca="1" xml:space="preserve"> 'Asset Finance'!AD$22</f>
        <v>175000</v>
      </c>
      <c r="AE21" s="9">
        <f ca="1" xml:space="preserve"> 'Asset Finance'!AE$22</f>
        <v>0</v>
      </c>
      <c r="AF21" s="9">
        <f ca="1" xml:space="preserve"> 'Asset Finance'!AF$22</f>
        <v>0</v>
      </c>
      <c r="AG21" s="9">
        <f ca="1" xml:space="preserve"> 'Asset Finance'!AG$22</f>
        <v>175000</v>
      </c>
      <c r="AH21" s="9">
        <f ca="1" xml:space="preserve"> 'Asset Finance'!AH$22</f>
        <v>0</v>
      </c>
      <c r="AI21" s="9">
        <f ca="1" xml:space="preserve"> 'Asset Finance'!AI$22</f>
        <v>175000</v>
      </c>
      <c r="AJ21" s="9">
        <f ca="1" xml:space="preserve"> 'Asset Finance'!AJ$22</f>
        <v>0</v>
      </c>
      <c r="AK21" s="9">
        <f ca="1" xml:space="preserve"> 'Asset Finance'!AK$22</f>
        <v>0</v>
      </c>
      <c r="AL21" s="9">
        <f ca="1" xml:space="preserve"> 'Asset Finance'!AL$22</f>
        <v>175000</v>
      </c>
      <c r="AM21" s="9">
        <f ca="1" xml:space="preserve"> 'Asset Finance'!AM$22</f>
        <v>0</v>
      </c>
      <c r="AN21" s="9">
        <f ca="1" xml:space="preserve"> 'Asset Finance'!AN$22</f>
        <v>0</v>
      </c>
      <c r="AO21" s="9">
        <f ca="1" xml:space="preserve"> 'Asset Finance'!AO$22</f>
        <v>175000</v>
      </c>
      <c r="AP21" s="9">
        <f ca="1" xml:space="preserve"> 'Asset Finance'!AP$22</f>
        <v>0</v>
      </c>
      <c r="AQ21" s="9">
        <f ca="1" xml:space="preserve"> 'Asset Finance'!AQ$22</f>
        <v>175000</v>
      </c>
      <c r="AR21" s="9">
        <f ca="1" xml:space="preserve"> 'Asset Finance'!AR$22</f>
        <v>0</v>
      </c>
      <c r="AS21" s="9">
        <f ca="1" xml:space="preserve"> 'Asset Finance'!AS$22</f>
        <v>175000</v>
      </c>
      <c r="AT21" s="9">
        <f ca="1" xml:space="preserve"> 'Asset Finance'!AT$22</f>
        <v>175000</v>
      </c>
      <c r="AU21" s="9">
        <f ca="1" xml:space="preserve"> 'Asset Finance'!AU$22</f>
        <v>0</v>
      </c>
      <c r="AV21" s="9">
        <f ca="1" xml:space="preserve"> 'Asset Finance'!AV$22</f>
        <v>175000</v>
      </c>
      <c r="AW21" s="9">
        <f ca="1" xml:space="preserve"> 'Asset Finance'!AW$22</f>
        <v>175000</v>
      </c>
      <c r="AX21" s="9">
        <f ca="1" xml:space="preserve"> 'Asset Finance'!AX$22</f>
        <v>0</v>
      </c>
      <c r="AY21" s="9">
        <f ca="1" xml:space="preserve"> 'Asset Finance'!AY$22</f>
        <v>175000</v>
      </c>
      <c r="AZ21" s="9">
        <f ca="1" xml:space="preserve"> 'Asset Finance'!AZ$22</f>
        <v>175000</v>
      </c>
      <c r="BA21" s="9">
        <f ca="1" xml:space="preserve"> 'Asset Finance'!BA$22</f>
        <v>175000</v>
      </c>
      <c r="BB21" s="9">
        <f ca="1" xml:space="preserve"> 'Asset Finance'!BB$22</f>
        <v>175000</v>
      </c>
      <c r="BC21" s="9">
        <f ca="1" xml:space="preserve"> 'Asset Finance'!BC$22</f>
        <v>175000</v>
      </c>
      <c r="BD21" s="9">
        <f ca="1" xml:space="preserve"> 'Asset Finance'!BD$22</f>
        <v>175000</v>
      </c>
      <c r="BE21" s="9">
        <f ca="1" xml:space="preserve"> 'Asset Finance'!BE$22</f>
        <v>175000</v>
      </c>
      <c r="BF21" s="9">
        <f ca="1" xml:space="preserve"> 'Asset Finance'!BF$22</f>
        <v>175000</v>
      </c>
      <c r="BG21" s="9">
        <f ca="1" xml:space="preserve"> 'Asset Finance'!BG$22</f>
        <v>175000</v>
      </c>
      <c r="BH21" s="9">
        <f ca="1" xml:space="preserve"> 'Asset Finance'!BH$22</f>
        <v>175000</v>
      </c>
      <c r="BI21" s="9">
        <f ca="1" xml:space="preserve"> 'Asset Finance'!BI$22</f>
        <v>175000</v>
      </c>
      <c r="BJ21" s="9">
        <f ca="1" xml:space="preserve"> 'Asset Finance'!BJ$22</f>
        <v>175000</v>
      </c>
      <c r="BK21" s="9">
        <f ca="1" xml:space="preserve"> 'Asset Finance'!BK$22</f>
        <v>175000</v>
      </c>
      <c r="BL21" s="9">
        <f ca="1" xml:space="preserve"> 'Asset Finance'!BL$22</f>
        <v>175000</v>
      </c>
      <c r="BM21" s="9">
        <f ca="1" xml:space="preserve"> 'Asset Finance'!BM$22</f>
        <v>175000</v>
      </c>
      <c r="BN21" s="9">
        <f ca="1" xml:space="preserve"> 'Asset Finance'!BN$22</f>
        <v>175000</v>
      </c>
      <c r="BO21" s="9">
        <f ca="1" xml:space="preserve"> 'Asset Finance'!BO$22</f>
        <v>175000</v>
      </c>
      <c r="BP21" s="9">
        <f ca="1" xml:space="preserve"> 'Asset Finance'!BP$22</f>
        <v>175000</v>
      </c>
      <c r="BQ21" s="9">
        <f ca="1" xml:space="preserve"> 'Asset Finance'!BQ$22</f>
        <v>175000</v>
      </c>
    </row>
    <row r="22" spans="5:69">
      <c r="E22" s="16" t="str">
        <f xml:space="preserve"> 'Asset Finance'!E$29</f>
        <v xml:space="preserve">Asset Finance principal repayment </v>
      </c>
      <c r="F22" s="16">
        <f xml:space="preserve"> 'Asset Finance'!F$29</f>
        <v>0</v>
      </c>
      <c r="G22" s="16" t="str">
        <f xml:space="preserve"> 'Asset Finance'!G$29</f>
        <v>GBP</v>
      </c>
      <c r="H22" s="42">
        <f ca="1" xml:space="preserve"> 'Asset Finance'!H$29</f>
        <v>-2816527.4248262797</v>
      </c>
      <c r="I22" s="16">
        <f xml:space="preserve"> 'Asset Finance'!I$29</f>
        <v>0</v>
      </c>
      <c r="J22" s="9">
        <f>'Asset Finance'!J$29</f>
        <v>0</v>
      </c>
      <c r="K22" s="9">
        <f ca="1">'Asset Finance'!K$29</f>
        <v>-7291.666666666667</v>
      </c>
      <c r="L22" s="9">
        <f ca="1">'Asset Finance'!L$29</f>
        <v>-6987.8472222222226</v>
      </c>
      <c r="M22" s="9">
        <f ca="1">'Asset Finance'!M$29</f>
        <v>-6696.6869212962965</v>
      </c>
      <c r="N22" s="9">
        <f ca="1">'Asset Finance'!N$29</f>
        <v>-6417.658299575618</v>
      </c>
      <c r="O22" s="9">
        <f ca="1">'Asset Finance'!O$29</f>
        <v>-6150.2558704266339</v>
      </c>
      <c r="P22" s="9">
        <f ca="1">'Asset Finance'!P$29</f>
        <v>-5893.9952091588575</v>
      </c>
      <c r="Q22" s="9">
        <f ca="1">'Asset Finance'!Q$29</f>
        <v>-12940.078742110572</v>
      </c>
      <c r="R22" s="9">
        <f ca="1">'Asset Finance'!R$29</f>
        <v>-12400.908794522633</v>
      </c>
      <c r="S22" s="9">
        <f ca="1">'Asset Finance'!S$29</f>
        <v>-11884.204261417523</v>
      </c>
      <c r="T22" s="9">
        <f ca="1">'Asset Finance'!T$29</f>
        <v>-11389.029083858461</v>
      </c>
      <c r="U22" s="9">
        <f ca="1">'Asset Finance'!U$29</f>
        <v>-10914.486205364357</v>
      </c>
      <c r="V22" s="9">
        <f ca="1">'Asset Finance'!V$29</f>
        <v>-10459.71594680751</v>
      </c>
      <c r="W22" s="9">
        <f ca="1">'Asset Finance'!W$29</f>
        <v>-17315.561115690532</v>
      </c>
      <c r="X22" s="9">
        <f ca="1">'Asset Finance'!X$29</f>
        <v>-16594.079402536761</v>
      </c>
      <c r="Y22" s="9">
        <f ca="1">'Asset Finance'!Y$29</f>
        <v>-15902.659427431063</v>
      </c>
      <c r="Z22" s="9">
        <f ca="1">'Asset Finance'!Z$29</f>
        <v>-15240.048617954768</v>
      </c>
      <c r="AA22" s="9">
        <f ca="1">'Asset Finance'!AA$29</f>
        <v>-21896.713258873322</v>
      </c>
      <c r="AB22" s="9">
        <f ca="1">'Asset Finance'!AB$29</f>
        <v>-20984.350206420266</v>
      </c>
      <c r="AC22" s="9">
        <f ca="1">'Asset Finance'!AC$29</f>
        <v>-20110.002281152756</v>
      </c>
      <c r="AD22" s="9">
        <f ca="1">'Asset Finance'!AD$29</f>
        <v>-19272.085519438057</v>
      </c>
      <c r="AE22" s="9">
        <f ca="1">'Asset Finance'!AE$29</f>
        <v>-25760.748622794807</v>
      </c>
      <c r="AF22" s="9">
        <f ca="1">'Asset Finance'!AF$29</f>
        <v>-24687.384096845024</v>
      </c>
      <c r="AG22" s="9">
        <f ca="1">'Asset Finance'!AG$29</f>
        <v>-23658.743092809815</v>
      </c>
      <c r="AH22" s="9">
        <f ca="1">'Asset Finance'!AH$29</f>
        <v>-29964.628797276073</v>
      </c>
      <c r="AI22" s="9">
        <f ca="1">'Asset Finance'!AI$29</f>
        <v>-28716.10259738957</v>
      </c>
      <c r="AJ22" s="9">
        <f ca="1">'Asset Finance'!AJ$29</f>
        <v>-34811.264989165</v>
      </c>
      <c r="AK22" s="9">
        <f ca="1">'Asset Finance'!AK$29</f>
        <v>-33360.795614616458</v>
      </c>
      <c r="AL22" s="9">
        <f ca="1">'Asset Finance'!AL$29</f>
        <v>-31970.762464007439</v>
      </c>
      <c r="AM22" s="9">
        <f ca="1">'Asset Finance'!AM$29</f>
        <v>-37930.314028007131</v>
      </c>
      <c r="AN22" s="9">
        <f ca="1">'Asset Finance'!AN$29</f>
        <v>-36349.884276840166</v>
      </c>
      <c r="AO22" s="9">
        <f ca="1">'Asset Finance'!AO$29</f>
        <v>-34835.305765305158</v>
      </c>
      <c r="AP22" s="9">
        <f ca="1">'Asset Finance'!AP$29</f>
        <v>-40675.501358417445</v>
      </c>
      <c r="AQ22" s="9">
        <f ca="1">'Asset Finance'!AQ$29</f>
        <v>-38980.688801816716</v>
      </c>
      <c r="AR22" s="9">
        <f ca="1">'Asset Finance'!AR$29</f>
        <v>-44648.160101741028</v>
      </c>
      <c r="AS22" s="9">
        <f ca="1">'Asset Finance'!AS$29</f>
        <v>-42787.820097501819</v>
      </c>
      <c r="AT22" s="9">
        <f ca="1">'Asset Finance'!AT$29</f>
        <v>-48296.660926772573</v>
      </c>
      <c r="AU22" s="9">
        <f ca="1">'Asset Finance'!AU$29</f>
        <v>-53575.966721490382</v>
      </c>
      <c r="AV22" s="9">
        <f ca="1">'Asset Finance'!AV$29</f>
        <v>-51343.634774761616</v>
      </c>
      <c r="AW22" s="9">
        <f ca="1">'Asset Finance'!AW$29</f>
        <v>-56495.98332581322</v>
      </c>
      <c r="AX22" s="9">
        <f ca="1">'Asset Finance'!AX$29</f>
        <v>-61433.65068723767</v>
      </c>
      <c r="AY22" s="9">
        <f ca="1">'Asset Finance'!AY$29</f>
        <v>-58873.915241936098</v>
      </c>
      <c r="AZ22" s="9">
        <f ca="1">'Asset Finance'!AZ$29</f>
        <v>-63712.502106855427</v>
      </c>
      <c r="BA22" s="9">
        <f ca="1">'Asset Finance'!BA$29</f>
        <v>-68349.481185736455</v>
      </c>
      <c r="BB22" s="9">
        <f ca="1">'Asset Finance'!BB$29</f>
        <v>-72793.252802997435</v>
      </c>
      <c r="BC22" s="9">
        <f ca="1">'Asset Finance'!BC$29</f>
        <v>-77051.867269539216</v>
      </c>
      <c r="BD22" s="9">
        <f ca="1">'Asset Finance'!BD$29</f>
        <v>-81133.039466641741</v>
      </c>
      <c r="BE22" s="9">
        <f ca="1">'Asset Finance'!BE$29</f>
        <v>-85044.162822198341</v>
      </c>
      <c r="BF22" s="9">
        <f ca="1">'Asset Finance'!BF$29</f>
        <v>-88792.322704606748</v>
      </c>
      <c r="BG22" s="9">
        <f ca="1">'Asset Finance'!BG$29</f>
        <v>-92384.309258581474</v>
      </c>
      <c r="BH22" s="9">
        <f ca="1">'Asset Finance'!BH$29</f>
        <v>-95826.629706140564</v>
      </c>
      <c r="BI22" s="9">
        <f ca="1">'Asset Finance'!BI$29</f>
        <v>-99125.520135051382</v>
      </c>
      <c r="BJ22" s="9">
        <f ca="1">'Asset Finance'!BJ$29</f>
        <v>-102286.95679609089</v>
      </c>
      <c r="BK22" s="9">
        <f ca="1">'Asset Finance'!BK$29</f>
        <v>-105316.6669295871</v>
      </c>
      <c r="BL22" s="9">
        <f ca="1">'Asset Finance'!BL$29</f>
        <v>-108220.1391408543</v>
      </c>
      <c r="BM22" s="9">
        <f ca="1">'Asset Finance'!BM$29</f>
        <v>-111002.63334331871</v>
      </c>
      <c r="BN22" s="9">
        <f ca="1">'Asset Finance'!BN$29</f>
        <v>-113669.19028734711</v>
      </c>
      <c r="BO22" s="9">
        <f ca="1">'Asset Finance'!BO$29</f>
        <v>-116224.64069204098</v>
      </c>
      <c r="BP22" s="9">
        <f ca="1">'Asset Finance'!BP$29</f>
        <v>-118673.61399653928</v>
      </c>
      <c r="BQ22" s="9">
        <f ca="1">'Asset Finance'!BQ$29</f>
        <v>-121020.54674668348</v>
      </c>
    </row>
    <row r="23" spans="5:69">
      <c r="E23" s="16" t="str">
        <f xml:space="preserve"> 'Supply Chain finance'!E$48</f>
        <v xml:space="preserve">Supply Chain Finance interest paid </v>
      </c>
      <c r="F23" s="16">
        <f xml:space="preserve"> 'Supply Chain finance'!F$48</f>
        <v>0</v>
      </c>
      <c r="G23" s="16" t="str">
        <f xml:space="preserve"> 'Supply Chain finance'!G$48</f>
        <v>GBP</v>
      </c>
      <c r="H23" s="42">
        <f ca="1" xml:space="preserve"> 'Supply Chain finance'!H$48</f>
        <v>0</v>
      </c>
      <c r="I23" s="16">
        <f xml:space="preserve"> 'Supply Chain finance'!I$48</f>
        <v>0</v>
      </c>
      <c r="J23" s="9">
        <f>'Supply Chain finance'!J$48</f>
        <v>0</v>
      </c>
      <c r="K23" s="9">
        <f ca="1">'Supply Chain finance'!K$48</f>
        <v>0</v>
      </c>
      <c r="L23" s="9">
        <f ca="1">'Supply Chain finance'!L$48</f>
        <v>0</v>
      </c>
      <c r="M23" s="9">
        <f ca="1">'Supply Chain finance'!M$48</f>
        <v>0</v>
      </c>
      <c r="N23" s="9">
        <f ca="1">'Supply Chain finance'!N$48</f>
        <v>0</v>
      </c>
      <c r="O23" s="9">
        <f ca="1">'Supply Chain finance'!O$48</f>
        <v>0</v>
      </c>
      <c r="P23" s="9">
        <f ca="1">'Supply Chain finance'!P$48</f>
        <v>0</v>
      </c>
      <c r="Q23" s="9">
        <f ca="1">'Supply Chain finance'!Q$48</f>
        <v>0</v>
      </c>
      <c r="R23" s="9">
        <f ca="1">'Supply Chain finance'!R$48</f>
        <v>0</v>
      </c>
      <c r="S23" s="9">
        <f ca="1">'Supply Chain finance'!S$48</f>
        <v>0</v>
      </c>
      <c r="T23" s="9">
        <f ca="1">'Supply Chain finance'!T$48</f>
        <v>0</v>
      </c>
      <c r="U23" s="9">
        <f ca="1">'Supply Chain finance'!U$48</f>
        <v>0</v>
      </c>
      <c r="V23" s="9">
        <f ca="1">'Supply Chain finance'!V$48</f>
        <v>0</v>
      </c>
      <c r="W23" s="9">
        <f ca="1">'Supply Chain finance'!W$48</f>
        <v>0</v>
      </c>
      <c r="X23" s="9">
        <f ca="1">'Supply Chain finance'!X$48</f>
        <v>0</v>
      </c>
      <c r="Y23" s="9">
        <f ca="1">'Supply Chain finance'!Y$48</f>
        <v>0</v>
      </c>
      <c r="Z23" s="9">
        <f ca="1">'Supply Chain finance'!Z$48</f>
        <v>0</v>
      </c>
      <c r="AA23" s="9">
        <f ca="1">'Supply Chain finance'!AA$48</f>
        <v>0</v>
      </c>
      <c r="AB23" s="9">
        <f ca="1">'Supply Chain finance'!AB$48</f>
        <v>0</v>
      </c>
      <c r="AC23" s="9">
        <f ca="1">'Supply Chain finance'!AC$48</f>
        <v>0</v>
      </c>
      <c r="AD23" s="9">
        <f ca="1">'Supply Chain finance'!AD$48</f>
        <v>0</v>
      </c>
      <c r="AE23" s="9">
        <f ca="1">'Supply Chain finance'!AE$48</f>
        <v>0</v>
      </c>
      <c r="AF23" s="9">
        <f ca="1">'Supply Chain finance'!AF$48</f>
        <v>0</v>
      </c>
      <c r="AG23" s="9">
        <f ca="1">'Supply Chain finance'!AG$48</f>
        <v>0</v>
      </c>
      <c r="AH23" s="9">
        <f ca="1">'Supply Chain finance'!AH$48</f>
        <v>0</v>
      </c>
      <c r="AI23" s="9">
        <f ca="1">'Supply Chain finance'!AI$48</f>
        <v>0</v>
      </c>
      <c r="AJ23" s="9">
        <f ca="1">'Supply Chain finance'!AJ$48</f>
        <v>0</v>
      </c>
      <c r="AK23" s="9">
        <f ca="1">'Supply Chain finance'!AK$48</f>
        <v>0</v>
      </c>
      <c r="AL23" s="9">
        <f ca="1">'Supply Chain finance'!AL$48</f>
        <v>0</v>
      </c>
      <c r="AM23" s="9">
        <f ca="1">'Supply Chain finance'!AM$48</f>
        <v>0</v>
      </c>
      <c r="AN23" s="9">
        <f ca="1">'Supply Chain finance'!AN$48</f>
        <v>0</v>
      </c>
      <c r="AO23" s="9">
        <f ca="1">'Supply Chain finance'!AO$48</f>
        <v>0</v>
      </c>
      <c r="AP23" s="9">
        <f ca="1">'Supply Chain finance'!AP$48</f>
        <v>0</v>
      </c>
      <c r="AQ23" s="9">
        <f ca="1">'Supply Chain finance'!AQ$48</f>
        <v>0</v>
      </c>
      <c r="AR23" s="9">
        <f ca="1">'Supply Chain finance'!AR$48</f>
        <v>0</v>
      </c>
      <c r="AS23" s="9">
        <f ca="1">'Supply Chain finance'!AS$48</f>
        <v>0</v>
      </c>
      <c r="AT23" s="9">
        <f ca="1">'Supply Chain finance'!AT$48</f>
        <v>0</v>
      </c>
      <c r="AU23" s="9">
        <f ca="1">'Supply Chain finance'!AU$48</f>
        <v>0</v>
      </c>
      <c r="AV23" s="9">
        <f ca="1">'Supply Chain finance'!AV$48</f>
        <v>0</v>
      </c>
      <c r="AW23" s="9">
        <f ca="1">'Supply Chain finance'!AW$48</f>
        <v>0</v>
      </c>
      <c r="AX23" s="9">
        <f ca="1">'Supply Chain finance'!AX$48</f>
        <v>0</v>
      </c>
      <c r="AY23" s="9">
        <f ca="1">'Supply Chain finance'!AY$48</f>
        <v>0</v>
      </c>
      <c r="AZ23" s="9">
        <f ca="1">'Supply Chain finance'!AZ$48</f>
        <v>0</v>
      </c>
      <c r="BA23" s="9">
        <f ca="1">'Supply Chain finance'!BA$48</f>
        <v>0</v>
      </c>
      <c r="BB23" s="9">
        <f ca="1">'Supply Chain finance'!BB$48</f>
        <v>0</v>
      </c>
      <c r="BC23" s="9">
        <f ca="1">'Supply Chain finance'!BC$48</f>
        <v>0</v>
      </c>
      <c r="BD23" s="9">
        <f ca="1">'Supply Chain finance'!BD$48</f>
        <v>0</v>
      </c>
      <c r="BE23" s="9">
        <f ca="1">'Supply Chain finance'!BE$48</f>
        <v>0</v>
      </c>
      <c r="BF23" s="9">
        <f ca="1">'Supply Chain finance'!BF$48</f>
        <v>0</v>
      </c>
      <c r="BG23" s="9">
        <f ca="1">'Supply Chain finance'!BG$48</f>
        <v>0</v>
      </c>
      <c r="BH23" s="9">
        <f ca="1">'Supply Chain finance'!BH$48</f>
        <v>0</v>
      </c>
      <c r="BI23" s="9">
        <f ca="1">'Supply Chain finance'!BI$48</f>
        <v>0</v>
      </c>
      <c r="BJ23" s="9">
        <f ca="1">'Supply Chain finance'!BJ$48</f>
        <v>0</v>
      </c>
      <c r="BK23" s="9">
        <f ca="1">'Supply Chain finance'!BK$48</f>
        <v>0</v>
      </c>
      <c r="BL23" s="9">
        <f ca="1">'Supply Chain finance'!BL$48</f>
        <v>0</v>
      </c>
      <c r="BM23" s="9">
        <f ca="1">'Supply Chain finance'!BM$48</f>
        <v>0</v>
      </c>
      <c r="BN23" s="9">
        <f ca="1">'Supply Chain finance'!BN$48</f>
        <v>0</v>
      </c>
      <c r="BO23" s="9">
        <f ca="1">'Supply Chain finance'!BO$48</f>
        <v>0</v>
      </c>
      <c r="BP23" s="9">
        <f ca="1">'Supply Chain finance'!BP$48</f>
        <v>0</v>
      </c>
      <c r="BQ23" s="9">
        <f ca="1">'Supply Chain finance'!BQ$48</f>
        <v>0</v>
      </c>
    </row>
    <row r="24" spans="5:69">
      <c r="E24" s="16" t="str">
        <f xml:space="preserve"> 'Invoice finance'!E$47</f>
        <v xml:space="preserve">Invoice finance interest paid </v>
      </c>
      <c r="F24" s="16">
        <f xml:space="preserve"> 'Invoice finance'!F$47</f>
        <v>0</v>
      </c>
      <c r="G24" s="16" t="str">
        <f xml:space="preserve"> 'Invoice finance'!G$47</f>
        <v>GBP</v>
      </c>
      <c r="H24" s="42">
        <f ca="1" xml:space="preserve"> 'Invoice finance'!H$47</f>
        <v>0</v>
      </c>
      <c r="I24" s="16">
        <f xml:space="preserve"> 'Invoice finance'!I$47</f>
        <v>0</v>
      </c>
      <c r="J24" s="9">
        <f>'Invoice finance'!J$47</f>
        <v>0</v>
      </c>
      <c r="K24" s="9">
        <f ca="1">'Invoice finance'!K$47</f>
        <v>0</v>
      </c>
      <c r="L24" s="9">
        <f ca="1">'Invoice finance'!L$47</f>
        <v>0</v>
      </c>
      <c r="M24" s="9">
        <f ca="1">'Invoice finance'!M$47</f>
        <v>0</v>
      </c>
      <c r="N24" s="9">
        <f ca="1">'Invoice finance'!N$47</f>
        <v>0</v>
      </c>
      <c r="O24" s="9">
        <f ca="1">'Invoice finance'!O$47</f>
        <v>0</v>
      </c>
      <c r="P24" s="9">
        <f ca="1">'Invoice finance'!P$47</f>
        <v>0</v>
      </c>
      <c r="Q24" s="9">
        <f ca="1">'Invoice finance'!Q$47</f>
        <v>0</v>
      </c>
      <c r="R24" s="9">
        <f ca="1">'Invoice finance'!R$47</f>
        <v>0</v>
      </c>
      <c r="S24" s="9">
        <f ca="1">'Invoice finance'!S$47</f>
        <v>0</v>
      </c>
      <c r="T24" s="9">
        <f ca="1">'Invoice finance'!T$47</f>
        <v>0</v>
      </c>
      <c r="U24" s="9">
        <f ca="1">'Invoice finance'!U$47</f>
        <v>0</v>
      </c>
      <c r="V24" s="9">
        <f ca="1">'Invoice finance'!V$47</f>
        <v>0</v>
      </c>
      <c r="W24" s="9">
        <f ca="1">'Invoice finance'!W$47</f>
        <v>0</v>
      </c>
      <c r="X24" s="9">
        <f ca="1">'Invoice finance'!X$47</f>
        <v>0</v>
      </c>
      <c r="Y24" s="9">
        <f ca="1">'Invoice finance'!Y$47</f>
        <v>0</v>
      </c>
      <c r="Z24" s="9">
        <f ca="1">'Invoice finance'!Z$47</f>
        <v>0</v>
      </c>
      <c r="AA24" s="9">
        <f ca="1">'Invoice finance'!AA$47</f>
        <v>0</v>
      </c>
      <c r="AB24" s="9">
        <f ca="1">'Invoice finance'!AB$47</f>
        <v>0</v>
      </c>
      <c r="AC24" s="9">
        <f ca="1">'Invoice finance'!AC$47</f>
        <v>0</v>
      </c>
      <c r="AD24" s="9">
        <f ca="1">'Invoice finance'!AD$47</f>
        <v>0</v>
      </c>
      <c r="AE24" s="9">
        <f ca="1">'Invoice finance'!AE$47</f>
        <v>0</v>
      </c>
      <c r="AF24" s="9">
        <f ca="1">'Invoice finance'!AF$47</f>
        <v>0</v>
      </c>
      <c r="AG24" s="9">
        <f ca="1">'Invoice finance'!AG$47</f>
        <v>0</v>
      </c>
      <c r="AH24" s="9">
        <f ca="1">'Invoice finance'!AH$47</f>
        <v>0</v>
      </c>
      <c r="AI24" s="9">
        <f ca="1">'Invoice finance'!AI$47</f>
        <v>0</v>
      </c>
      <c r="AJ24" s="9">
        <f ca="1">'Invoice finance'!AJ$47</f>
        <v>0</v>
      </c>
      <c r="AK24" s="9">
        <f ca="1">'Invoice finance'!AK$47</f>
        <v>0</v>
      </c>
      <c r="AL24" s="9">
        <f ca="1">'Invoice finance'!AL$47</f>
        <v>0</v>
      </c>
      <c r="AM24" s="9">
        <f ca="1">'Invoice finance'!AM$47</f>
        <v>0</v>
      </c>
      <c r="AN24" s="9">
        <f ca="1">'Invoice finance'!AN$47</f>
        <v>0</v>
      </c>
      <c r="AO24" s="9">
        <f ca="1">'Invoice finance'!AO$47</f>
        <v>0</v>
      </c>
      <c r="AP24" s="9">
        <f ca="1">'Invoice finance'!AP$47</f>
        <v>0</v>
      </c>
      <c r="AQ24" s="9">
        <f ca="1">'Invoice finance'!AQ$47</f>
        <v>0</v>
      </c>
      <c r="AR24" s="9">
        <f ca="1">'Invoice finance'!AR$47</f>
        <v>0</v>
      </c>
      <c r="AS24" s="9">
        <f ca="1">'Invoice finance'!AS$47</f>
        <v>0</v>
      </c>
      <c r="AT24" s="9">
        <f ca="1">'Invoice finance'!AT$47</f>
        <v>0</v>
      </c>
      <c r="AU24" s="9">
        <f ca="1">'Invoice finance'!AU$47</f>
        <v>0</v>
      </c>
      <c r="AV24" s="9">
        <f ca="1">'Invoice finance'!AV$47</f>
        <v>0</v>
      </c>
      <c r="AW24" s="9">
        <f ca="1">'Invoice finance'!AW$47</f>
        <v>0</v>
      </c>
      <c r="AX24" s="9">
        <f ca="1">'Invoice finance'!AX$47</f>
        <v>0</v>
      </c>
      <c r="AY24" s="9">
        <f ca="1">'Invoice finance'!AY$47</f>
        <v>0</v>
      </c>
      <c r="AZ24" s="9">
        <f ca="1">'Invoice finance'!AZ$47</f>
        <v>0</v>
      </c>
      <c r="BA24" s="9">
        <f ca="1">'Invoice finance'!BA$47</f>
        <v>0</v>
      </c>
      <c r="BB24" s="9">
        <f ca="1">'Invoice finance'!BB$47</f>
        <v>0</v>
      </c>
      <c r="BC24" s="9">
        <f ca="1">'Invoice finance'!BC$47</f>
        <v>0</v>
      </c>
      <c r="BD24" s="9">
        <f ca="1">'Invoice finance'!BD$47</f>
        <v>0</v>
      </c>
      <c r="BE24" s="9">
        <f ca="1">'Invoice finance'!BE$47</f>
        <v>0</v>
      </c>
      <c r="BF24" s="9">
        <f ca="1">'Invoice finance'!BF$47</f>
        <v>0</v>
      </c>
      <c r="BG24" s="9">
        <f ca="1">'Invoice finance'!BG$47</f>
        <v>0</v>
      </c>
      <c r="BH24" s="9">
        <f ca="1">'Invoice finance'!BH$47</f>
        <v>0</v>
      </c>
      <c r="BI24" s="9">
        <f ca="1">'Invoice finance'!BI$47</f>
        <v>0</v>
      </c>
      <c r="BJ24" s="9">
        <f ca="1">'Invoice finance'!BJ$47</f>
        <v>0</v>
      </c>
      <c r="BK24" s="9">
        <f ca="1">'Invoice finance'!BK$47</f>
        <v>0</v>
      </c>
      <c r="BL24" s="9">
        <f ca="1">'Invoice finance'!BL$47</f>
        <v>0</v>
      </c>
      <c r="BM24" s="9">
        <f ca="1">'Invoice finance'!BM$47</f>
        <v>0</v>
      </c>
      <c r="BN24" s="9">
        <f ca="1">'Invoice finance'!BN$47</f>
        <v>0</v>
      </c>
      <c r="BO24" s="9">
        <f ca="1">'Invoice finance'!BO$47</f>
        <v>0</v>
      </c>
      <c r="BP24" s="9">
        <f ca="1">'Invoice finance'!BP$47</f>
        <v>0</v>
      </c>
      <c r="BQ24" s="9">
        <f ca="1">'Invoice finance'!BQ$47</f>
        <v>0</v>
      </c>
    </row>
    <row r="25" spans="5:69">
      <c r="E25" s="16" t="str">
        <f xml:space="preserve"> 'Asset Finance'!E$48</f>
        <v xml:space="preserve">Asset Finance interest paid </v>
      </c>
      <c r="F25" s="16">
        <f xml:space="preserve"> 'Asset Finance'!F$48</f>
        <v>0</v>
      </c>
      <c r="G25" s="16" t="str">
        <f xml:space="preserve"> 'Asset Finance'!G$48</f>
        <v>GBP</v>
      </c>
      <c r="H25" s="42">
        <f ca="1" xml:space="preserve"> 'Asset Finance'!H$48</f>
        <v>-450644.387972205</v>
      </c>
      <c r="I25" s="16">
        <f xml:space="preserve"> 'Asset Finance'!I$48</f>
        <v>0</v>
      </c>
      <c r="J25" s="9">
        <f>'Asset Finance'!J$48</f>
        <v>0</v>
      </c>
      <c r="K25" s="9">
        <f ca="1">'Asset Finance'!K$48</f>
        <v>-1166.6666666666667</v>
      </c>
      <c r="L25" s="9">
        <f ca="1">'Asset Finance'!L$48</f>
        <v>-1118.0555555555557</v>
      </c>
      <c r="M25" s="9">
        <f ca="1">'Asset Finance'!M$48</f>
        <v>-1071.4699074074076</v>
      </c>
      <c r="N25" s="9">
        <f ca="1">'Asset Finance'!N$48</f>
        <v>-1026.8253279320988</v>
      </c>
      <c r="O25" s="9">
        <f ca="1">'Asset Finance'!O$48</f>
        <v>-984.04093926826147</v>
      </c>
      <c r="P25" s="9">
        <f ca="1">'Asset Finance'!P$48</f>
        <v>-943.03923346541728</v>
      </c>
      <c r="Q25" s="9">
        <f ca="1">'Asset Finance'!Q$48</f>
        <v>-2070.412598737692</v>
      </c>
      <c r="R25" s="9">
        <f ca="1">'Asset Finance'!R$48</f>
        <v>-1984.1454071236212</v>
      </c>
      <c r="S25" s="9">
        <f ca="1">'Asset Finance'!S$48</f>
        <v>-1901.4726818268036</v>
      </c>
      <c r="T25" s="9">
        <f ca="1">'Asset Finance'!T$48</f>
        <v>-1822.2446534173537</v>
      </c>
      <c r="U25" s="9">
        <f ca="1">'Asset Finance'!U$48</f>
        <v>-1746.3177928582975</v>
      </c>
      <c r="V25" s="9">
        <f ca="1">'Asset Finance'!V$48</f>
        <v>-1673.5545514892017</v>
      </c>
      <c r="W25" s="9">
        <f ca="1">'Asset Finance'!W$48</f>
        <v>-2770.4897785104854</v>
      </c>
      <c r="X25" s="9">
        <f ca="1">'Asset Finance'!X$48</f>
        <v>-2655.0527044058817</v>
      </c>
      <c r="Y25" s="9">
        <f ca="1">'Asset Finance'!Y$48</f>
        <v>-2544.4255083889702</v>
      </c>
      <c r="Z25" s="9">
        <f ca="1">'Asset Finance'!Z$48</f>
        <v>-2438.4077788727632</v>
      </c>
      <c r="AA25" s="9">
        <f ca="1">'Asset Finance'!AA$48</f>
        <v>-3503.4741214197315</v>
      </c>
      <c r="AB25" s="9">
        <f ca="1">'Asset Finance'!AB$48</f>
        <v>-3357.4960330272429</v>
      </c>
      <c r="AC25" s="9">
        <f ca="1">'Asset Finance'!AC$48</f>
        <v>-3217.6003649844411</v>
      </c>
      <c r="AD25" s="9">
        <f ca="1">'Asset Finance'!AD$48</f>
        <v>-3083.5336831100894</v>
      </c>
      <c r="AE25" s="9">
        <f ca="1">'Asset Finance'!AE$48</f>
        <v>-4121.7197796471692</v>
      </c>
      <c r="AF25" s="9">
        <f ca="1">'Asset Finance'!AF$48</f>
        <v>-3949.981455495204</v>
      </c>
      <c r="AG25" s="9">
        <f ca="1">'Asset Finance'!AG$48</f>
        <v>-3785.3988948495703</v>
      </c>
      <c r="AH25" s="9">
        <f ca="1">'Asset Finance'!AH$48</f>
        <v>-4794.3406075641715</v>
      </c>
      <c r="AI25" s="9">
        <f ca="1">'Asset Finance'!AI$48</f>
        <v>-4594.5764155823317</v>
      </c>
      <c r="AJ25" s="9">
        <f ca="1">'Asset Finance'!AJ$48</f>
        <v>-5569.8023982664008</v>
      </c>
      <c r="AK25" s="9">
        <f ca="1">'Asset Finance'!AK$48</f>
        <v>-5337.7272983386338</v>
      </c>
      <c r="AL25" s="9">
        <f ca="1">'Asset Finance'!AL$48</f>
        <v>-5115.3219942411906</v>
      </c>
      <c r="AM25" s="9">
        <f ca="1">'Asset Finance'!AM$48</f>
        <v>-6068.8502444811411</v>
      </c>
      <c r="AN25" s="9">
        <f ca="1">'Asset Finance'!AN$48</f>
        <v>-5815.981484294427</v>
      </c>
      <c r="AO25" s="9">
        <f ca="1">'Asset Finance'!AO$48</f>
        <v>-5573.6489224488259</v>
      </c>
      <c r="AP25" s="9">
        <f ca="1">'Asset Finance'!AP$48</f>
        <v>-6508.0802173467919</v>
      </c>
      <c r="AQ25" s="9">
        <f ca="1">'Asset Finance'!AQ$48</f>
        <v>-6236.9102082906757</v>
      </c>
      <c r="AR25" s="9">
        <f ca="1">'Asset Finance'!AR$48</f>
        <v>-7143.7056162785648</v>
      </c>
      <c r="AS25" s="9">
        <f ca="1">'Asset Finance'!AS$48</f>
        <v>-6846.0512156002915</v>
      </c>
      <c r="AT25" s="9">
        <f ca="1">'Asset Finance'!AT$48</f>
        <v>-7727.4657482836119</v>
      </c>
      <c r="AU25" s="9">
        <f ca="1">'Asset Finance'!AU$48</f>
        <v>-8572.1546754384617</v>
      </c>
      <c r="AV25" s="9">
        <f ca="1">'Asset Finance'!AV$48</f>
        <v>-8214.9815639618591</v>
      </c>
      <c r="AW25" s="9">
        <f ca="1">'Asset Finance'!AW$48</f>
        <v>-9039.3573321301155</v>
      </c>
      <c r="AX25" s="9">
        <f ca="1">'Asset Finance'!AX$48</f>
        <v>-9829.3841099580277</v>
      </c>
      <c r="AY25" s="9">
        <f ca="1">'Asset Finance'!AY$48</f>
        <v>-9419.8264387097752</v>
      </c>
      <c r="AZ25" s="9">
        <f ca="1">'Asset Finance'!AZ$48</f>
        <v>-10194.00033709687</v>
      </c>
      <c r="BA25" s="9">
        <f ca="1">'Asset Finance'!BA$48</f>
        <v>-10935.916989717833</v>
      </c>
      <c r="BB25" s="9">
        <f ca="1">'Asset Finance'!BB$48</f>
        <v>-11646.920448479592</v>
      </c>
      <c r="BC25" s="9">
        <f ca="1">'Asset Finance'!BC$48</f>
        <v>-12328.298763126275</v>
      </c>
      <c r="BD25" s="9">
        <f ca="1">'Asset Finance'!BD$48</f>
        <v>-12981.286314662681</v>
      </c>
      <c r="BE25" s="9">
        <f ca="1">'Asset Finance'!BE$48</f>
        <v>-13607.066051551734</v>
      </c>
      <c r="BF25" s="9">
        <f ca="1">'Asset Finance'!BF$48</f>
        <v>-14206.77163273708</v>
      </c>
      <c r="BG25" s="9">
        <f ca="1">'Asset Finance'!BG$48</f>
        <v>-14781.489481373035</v>
      </c>
      <c r="BH25" s="9">
        <f ca="1">'Asset Finance'!BH$48</f>
        <v>-15332.260752982493</v>
      </c>
      <c r="BI25" s="9">
        <f ca="1">'Asset Finance'!BI$48</f>
        <v>-15860.083221608222</v>
      </c>
      <c r="BJ25" s="9">
        <f ca="1">'Asset Finance'!BJ$48</f>
        <v>-16365.913087374543</v>
      </c>
      <c r="BK25" s="9">
        <f ca="1">'Asset Finance'!BK$48</f>
        <v>-16850.666708733937</v>
      </c>
      <c r="BL25" s="9">
        <f ca="1">'Asset Finance'!BL$48</f>
        <v>-17315.222262536689</v>
      </c>
      <c r="BM25" s="9">
        <f ca="1">'Asset Finance'!BM$48</f>
        <v>-17760.421334930994</v>
      </c>
      <c r="BN25" s="9">
        <f ca="1">'Asset Finance'!BN$48</f>
        <v>-18187.07044597554</v>
      </c>
      <c r="BO25" s="9">
        <f ca="1">'Asset Finance'!BO$48</f>
        <v>-18595.94251072656</v>
      </c>
      <c r="BP25" s="9">
        <f ca="1">'Asset Finance'!BP$48</f>
        <v>-18987.778239446288</v>
      </c>
      <c r="BQ25" s="9">
        <f ca="1">'Asset Finance'!BQ$48</f>
        <v>-19363.28747946936</v>
      </c>
    </row>
    <row r="26" spans="5:69">
      <c r="E26" s="12" t="s">
        <v>178</v>
      </c>
      <c r="F26" s="32"/>
      <c r="G26" s="12" t="s">
        <v>252</v>
      </c>
      <c r="H26" s="54">
        <f ca="1" xml:space="preserve"> SUM( J26:BQ26 )</f>
        <v>34145444.452532314</v>
      </c>
      <c r="I26" s="32"/>
      <c r="J26" s="12">
        <f t="shared" ref="J26:BQ26" ca="1" si="2" xml:space="preserve"> J15 + SUM( J17:J25 )</f>
        <v>65080</v>
      </c>
      <c r="K26" s="12">
        <f t="shared" ca="1" si="2"/>
        <v>-66358.581426716148</v>
      </c>
      <c r="L26" s="12">
        <f t="shared" ca="1" si="2"/>
        <v>-21014.957430742976</v>
      </c>
      <c r="M26" s="12">
        <f t="shared" ca="1" si="2"/>
        <v>-67903.657866081703</v>
      </c>
      <c r="N26" s="12">
        <f t="shared" ca="1" si="2"/>
        <v>-68151.913118096956</v>
      </c>
      <c r="O26" s="12">
        <f t="shared" ca="1" si="2"/>
        <v>-52134.054997746913</v>
      </c>
      <c r="P26" s="12">
        <f t="shared" ca="1" si="2"/>
        <v>-94505.93346569172</v>
      </c>
      <c r="Q26" s="12">
        <f t="shared" ca="1" si="2"/>
        <v>-78837.898230182444</v>
      </c>
      <c r="R26" s="12">
        <f t="shared" ca="1" si="2"/>
        <v>-147673.75980860103</v>
      </c>
      <c r="S26" s="12">
        <f t="shared" ca="1" si="2"/>
        <v>644783.61615091527</v>
      </c>
      <c r="T26" s="12">
        <f t="shared" ca="1" si="2"/>
        <v>49198.047485429386</v>
      </c>
      <c r="U26" s="12">
        <f t="shared" ca="1" si="2"/>
        <v>-76793.600172424471</v>
      </c>
      <c r="V26" s="12">
        <f t="shared" ca="1" si="2"/>
        <v>-106923.27049829671</v>
      </c>
      <c r="W26" s="12">
        <f t="shared" ca="1" si="2"/>
        <v>-91351.130932138185</v>
      </c>
      <c r="X26" s="12">
        <f t="shared" ca="1" si="2"/>
        <v>-164830.58813812991</v>
      </c>
      <c r="Y26" s="12">
        <f t="shared" ca="1" si="2"/>
        <v>671280.54723735293</v>
      </c>
      <c r="Z26" s="12">
        <f t="shared" ca="1" si="2"/>
        <v>128637.60781951444</v>
      </c>
      <c r="AA26" s="12">
        <f t="shared" ca="1" si="2"/>
        <v>-63728.553277364947</v>
      </c>
      <c r="AB26" s="12">
        <f t="shared" ca="1" si="2"/>
        <v>-250951.1649504861</v>
      </c>
      <c r="AC26" s="12">
        <f t="shared" ca="1" si="2"/>
        <v>-104252.70224091849</v>
      </c>
      <c r="AD26" s="12">
        <f t="shared" ca="1" si="2"/>
        <v>-225500.75854831209</v>
      </c>
      <c r="AE26" s="12">
        <f t="shared" ca="1" si="2"/>
        <v>1473962.6893270833</v>
      </c>
      <c r="AF26" s="12">
        <f t="shared" ca="1" si="2"/>
        <v>-132678.02960055287</v>
      </c>
      <c r="AG26" s="12">
        <f t="shared" ca="1" si="2"/>
        <v>50707.19033635917</v>
      </c>
      <c r="AH26" s="12">
        <f t="shared" ca="1" si="2"/>
        <v>-133487.22004294206</v>
      </c>
      <c r="AI26" s="12">
        <f t="shared" ca="1" si="2"/>
        <v>852108.44532843214</v>
      </c>
      <c r="AJ26" s="12">
        <f t="shared" ca="1" si="2"/>
        <v>-494864.35907818202</v>
      </c>
      <c r="AK26" s="12">
        <f t="shared" ca="1" si="2"/>
        <v>595210.93471164652</v>
      </c>
      <c r="AL26" s="12">
        <f t="shared" ca="1" si="2"/>
        <v>257916.74595415458</v>
      </c>
      <c r="AM26" s="12">
        <f t="shared" ca="1" si="2"/>
        <v>560200.90516391792</v>
      </c>
      <c r="AN26" s="12">
        <f t="shared" ca="1" si="2"/>
        <v>45722.835407997154</v>
      </c>
      <c r="AO26" s="12">
        <f t="shared" ca="1" si="2"/>
        <v>32233.143841491037</v>
      </c>
      <c r="AP26" s="12">
        <f t="shared" ca="1" si="2"/>
        <v>586494.40207020449</v>
      </c>
      <c r="AQ26" s="12">
        <f t="shared" ca="1" si="2"/>
        <v>1056401.3206310463</v>
      </c>
      <c r="AR26" s="12">
        <f t="shared" ca="1" si="2"/>
        <v>791111.1837965803</v>
      </c>
      <c r="AS26" s="12">
        <f t="shared" ca="1" si="2"/>
        <v>-1145.370910606478</v>
      </c>
      <c r="AT26" s="12">
        <f t="shared" ca="1" si="2"/>
        <v>214799.20760164055</v>
      </c>
      <c r="AU26" s="12">
        <f t="shared" ca="1" si="2"/>
        <v>1678492.9392729576</v>
      </c>
      <c r="AV26" s="12">
        <f t="shared" ca="1" si="2"/>
        <v>-134712.3695166843</v>
      </c>
      <c r="AW26" s="12">
        <f t="shared" ca="1" si="2"/>
        <v>-561058.29720339994</v>
      </c>
      <c r="AX26" s="12">
        <f t="shared" ca="1" si="2"/>
        <v>1177325.3951887395</v>
      </c>
      <c r="AY26" s="12">
        <f t="shared" ca="1" si="2"/>
        <v>572084.56773490121</v>
      </c>
      <c r="AZ26" s="12">
        <f t="shared" ca="1" si="2"/>
        <v>1204010.2098915628</v>
      </c>
      <c r="BA26" s="12">
        <f t="shared" ca="1" si="2"/>
        <v>512599.36312071007</v>
      </c>
      <c r="BB26" s="12">
        <f t="shared" ca="1" si="2"/>
        <v>1494124.4979094286</v>
      </c>
      <c r="BC26" s="12">
        <f t="shared" ca="1" si="2"/>
        <v>1283594.8433570175</v>
      </c>
      <c r="BD26" s="12">
        <f t="shared" ca="1" si="2"/>
        <v>1461777.549884595</v>
      </c>
      <c r="BE26" s="12">
        <f t="shared" ca="1" si="2"/>
        <v>663790.38195324165</v>
      </c>
      <c r="BF26" s="12">
        <f t="shared" ca="1" si="2"/>
        <v>1384759.9796472439</v>
      </c>
      <c r="BG26" s="12">
        <f t="shared" ca="1" si="2"/>
        <v>1419091.8813465012</v>
      </c>
      <c r="BH26" s="12">
        <f t="shared" ca="1" si="2"/>
        <v>680333.00136813545</v>
      </c>
      <c r="BI26" s="12">
        <f t="shared" ca="1" si="2"/>
        <v>-260368.83628268697</v>
      </c>
      <c r="BJ26" s="12">
        <f t="shared" ca="1" si="2"/>
        <v>2579839.6022001165</v>
      </c>
      <c r="BK26" s="12">
        <f t="shared" ca="1" si="2"/>
        <v>559615.66659213637</v>
      </c>
      <c r="BL26" s="12">
        <f t="shared" ca="1" si="2"/>
        <v>2702336.4977992922</v>
      </c>
      <c r="BM26" s="12">
        <f t="shared" ca="1" si="2"/>
        <v>1908267.9417774179</v>
      </c>
      <c r="BN26" s="12">
        <f t="shared" ca="1" si="2"/>
        <v>1510314.9705972143</v>
      </c>
      <c r="BO26" s="12">
        <f t="shared" ca="1" si="2"/>
        <v>2920368.7946069636</v>
      </c>
      <c r="BP26" s="12">
        <f t="shared" ca="1" si="2"/>
        <v>2137878.0208695685</v>
      </c>
      <c r="BQ26" s="12">
        <f t="shared" ca="1" si="2"/>
        <v>1618216.53228779</v>
      </c>
    </row>
    <row r="28" spans="5:69">
      <c r="E28" s="16" t="str">
        <f xml:space="preserve"> InpS!E$11</f>
        <v>New share capital issued</v>
      </c>
      <c r="F28" s="16">
        <f xml:space="preserve"> InpS!F$11</f>
        <v>0</v>
      </c>
      <c r="G28" s="16" t="str">
        <f xml:space="preserve"> InpS!G$11</f>
        <v>GBP</v>
      </c>
      <c r="H28" s="42">
        <f xml:space="preserve"> InpS!H$11</f>
        <v>0</v>
      </c>
      <c r="I28" s="16">
        <f xml:space="preserve"> InpS!I$11</f>
        <v>0</v>
      </c>
      <c r="J28" s="9">
        <f xml:space="preserve"> InpS!J$11</f>
        <v>0</v>
      </c>
      <c r="K28" s="9">
        <f xml:space="preserve"> InpS!K$11</f>
        <v>0</v>
      </c>
      <c r="L28" s="9">
        <f xml:space="preserve"> InpS!L$11</f>
        <v>0</v>
      </c>
      <c r="M28" s="9">
        <f xml:space="preserve"> InpS!M$11</f>
        <v>0</v>
      </c>
      <c r="N28" s="9">
        <f xml:space="preserve"> InpS!N$11</f>
        <v>0</v>
      </c>
      <c r="O28" s="9">
        <f xml:space="preserve"> InpS!O$11</f>
        <v>0</v>
      </c>
      <c r="P28" s="9">
        <f xml:space="preserve"> InpS!P$11</f>
        <v>0</v>
      </c>
      <c r="Q28" s="9">
        <f xml:space="preserve"> InpS!Q$11</f>
        <v>0</v>
      </c>
      <c r="R28" s="9">
        <f xml:space="preserve"> InpS!R$11</f>
        <v>0</v>
      </c>
      <c r="S28" s="9">
        <f xml:space="preserve"> InpS!S$11</f>
        <v>0</v>
      </c>
      <c r="T28" s="9">
        <f xml:space="preserve"> InpS!T$11</f>
        <v>0</v>
      </c>
      <c r="U28" s="9">
        <f xml:space="preserve"> InpS!U$11</f>
        <v>0</v>
      </c>
      <c r="V28" s="9">
        <f xml:space="preserve"> InpS!V$11</f>
        <v>0</v>
      </c>
      <c r="W28" s="9">
        <f xml:space="preserve"> InpS!W$11</f>
        <v>0</v>
      </c>
      <c r="X28" s="9">
        <f xml:space="preserve"> InpS!X$11</f>
        <v>0</v>
      </c>
      <c r="Y28" s="9">
        <f xml:space="preserve"> InpS!Y$11</f>
        <v>0</v>
      </c>
      <c r="Z28" s="9">
        <f xml:space="preserve"> InpS!Z$11</f>
        <v>0</v>
      </c>
      <c r="AA28" s="9">
        <f xml:space="preserve"> InpS!AA$11</f>
        <v>0</v>
      </c>
      <c r="AB28" s="9">
        <f xml:space="preserve"> InpS!AB$11</f>
        <v>0</v>
      </c>
      <c r="AC28" s="9">
        <f xml:space="preserve"> InpS!AC$11</f>
        <v>0</v>
      </c>
      <c r="AD28" s="9">
        <f xml:space="preserve"> InpS!AD$11</f>
        <v>0</v>
      </c>
      <c r="AE28" s="9">
        <f xml:space="preserve"> InpS!AE$11</f>
        <v>0</v>
      </c>
      <c r="AF28" s="9">
        <f xml:space="preserve"> InpS!AF$11</f>
        <v>0</v>
      </c>
      <c r="AG28" s="9">
        <f xml:space="preserve"> InpS!AG$11</f>
        <v>0</v>
      </c>
      <c r="AH28" s="9">
        <f xml:space="preserve"> InpS!AH$11</f>
        <v>0</v>
      </c>
      <c r="AI28" s="9">
        <f xml:space="preserve"> InpS!AI$11</f>
        <v>0</v>
      </c>
      <c r="AJ28" s="9">
        <f xml:space="preserve"> InpS!AJ$11</f>
        <v>0</v>
      </c>
      <c r="AK28" s="9">
        <f xml:space="preserve"> InpS!AK$11</f>
        <v>0</v>
      </c>
      <c r="AL28" s="9">
        <f xml:space="preserve"> InpS!AL$11</f>
        <v>0</v>
      </c>
      <c r="AM28" s="9">
        <f xml:space="preserve"> InpS!AM$11</f>
        <v>0</v>
      </c>
      <c r="AN28" s="9">
        <f xml:space="preserve"> InpS!AN$11</f>
        <v>0</v>
      </c>
      <c r="AO28" s="9">
        <f xml:space="preserve"> InpS!AO$11</f>
        <v>0</v>
      </c>
      <c r="AP28" s="9">
        <f xml:space="preserve"> InpS!AP$11</f>
        <v>0</v>
      </c>
      <c r="AQ28" s="9">
        <f xml:space="preserve"> InpS!AQ$11</f>
        <v>0</v>
      </c>
      <c r="AR28" s="9">
        <f xml:space="preserve"> InpS!AR$11</f>
        <v>0</v>
      </c>
      <c r="AS28" s="9">
        <f xml:space="preserve"> InpS!AS$11</f>
        <v>0</v>
      </c>
      <c r="AT28" s="9">
        <f xml:space="preserve"> InpS!AT$11</f>
        <v>0</v>
      </c>
      <c r="AU28" s="9">
        <f xml:space="preserve"> InpS!AU$11</f>
        <v>0</v>
      </c>
      <c r="AV28" s="9">
        <f xml:space="preserve"> InpS!AV$11</f>
        <v>0</v>
      </c>
      <c r="AW28" s="9">
        <f xml:space="preserve"> InpS!AW$11</f>
        <v>0</v>
      </c>
      <c r="AX28" s="9">
        <f xml:space="preserve"> InpS!AX$11</f>
        <v>0</v>
      </c>
      <c r="AY28" s="9">
        <f xml:space="preserve"> InpS!AY$11</f>
        <v>0</v>
      </c>
      <c r="AZ28" s="9">
        <f xml:space="preserve"> InpS!AZ$11</f>
        <v>0</v>
      </c>
      <c r="BA28" s="9">
        <f xml:space="preserve"> InpS!BA$11</f>
        <v>0</v>
      </c>
      <c r="BB28" s="9">
        <f xml:space="preserve"> InpS!BB$11</f>
        <v>0</v>
      </c>
      <c r="BC28" s="9">
        <f xml:space="preserve"> InpS!BC$11</f>
        <v>0</v>
      </c>
      <c r="BD28" s="9">
        <f xml:space="preserve"> InpS!BD$11</f>
        <v>0</v>
      </c>
      <c r="BE28" s="9">
        <f xml:space="preserve"> InpS!BE$11</f>
        <v>0</v>
      </c>
      <c r="BF28" s="9">
        <f xml:space="preserve"> InpS!BF$11</f>
        <v>0</v>
      </c>
      <c r="BG28" s="9">
        <f xml:space="preserve"> InpS!BG$11</f>
        <v>0</v>
      </c>
      <c r="BH28" s="9">
        <f xml:space="preserve"> InpS!BH$11</f>
        <v>0</v>
      </c>
      <c r="BI28" s="9">
        <f xml:space="preserve"> InpS!BI$11</f>
        <v>0</v>
      </c>
      <c r="BJ28" s="9">
        <f xml:space="preserve"> InpS!BJ$11</f>
        <v>0</v>
      </c>
      <c r="BK28" s="9">
        <f xml:space="preserve"> InpS!BK$11</f>
        <v>0</v>
      </c>
      <c r="BL28" s="9">
        <f xml:space="preserve"> InpS!BL$11</f>
        <v>0</v>
      </c>
      <c r="BM28" s="9">
        <f xml:space="preserve"> InpS!BM$11</f>
        <v>0</v>
      </c>
      <c r="BN28" s="9">
        <f xml:space="preserve"> InpS!BN$11</f>
        <v>0</v>
      </c>
      <c r="BO28" s="9">
        <f xml:space="preserve"> InpS!BO$11</f>
        <v>0</v>
      </c>
      <c r="BP28" s="9">
        <f xml:space="preserve"> InpS!BP$11</f>
        <v>0</v>
      </c>
      <c r="BQ28" s="9">
        <f xml:space="preserve"> InpS!BQ$11</f>
        <v>0</v>
      </c>
    </row>
    <row r="29" spans="5:69">
      <c r="E29" s="12" t="s">
        <v>114</v>
      </c>
      <c r="F29" s="32"/>
      <c r="G29" s="12" t="s">
        <v>252</v>
      </c>
      <c r="H29" s="54">
        <f ca="1" xml:space="preserve"> SUM( J29:BQ29 )</f>
        <v>34145444.452532314</v>
      </c>
      <c r="I29" s="32"/>
      <c r="J29" s="12">
        <f t="shared" ref="J29:BQ29" ca="1" si="3" xml:space="preserve"> J26 + J28</f>
        <v>65080</v>
      </c>
      <c r="K29" s="12">
        <f t="shared" ca="1" si="3"/>
        <v>-66358.581426716148</v>
      </c>
      <c r="L29" s="12">
        <f t="shared" ca="1" si="3"/>
        <v>-21014.957430742976</v>
      </c>
      <c r="M29" s="12">
        <f t="shared" ca="1" si="3"/>
        <v>-67903.657866081703</v>
      </c>
      <c r="N29" s="12">
        <f t="shared" ca="1" si="3"/>
        <v>-68151.913118096956</v>
      </c>
      <c r="O29" s="12">
        <f t="shared" ca="1" si="3"/>
        <v>-52134.054997746913</v>
      </c>
      <c r="P29" s="12">
        <f t="shared" ca="1" si="3"/>
        <v>-94505.93346569172</v>
      </c>
      <c r="Q29" s="12">
        <f t="shared" ca="1" si="3"/>
        <v>-78837.898230182444</v>
      </c>
      <c r="R29" s="12">
        <f t="shared" ca="1" si="3"/>
        <v>-147673.75980860103</v>
      </c>
      <c r="S29" s="12">
        <f t="shared" ca="1" si="3"/>
        <v>644783.61615091527</v>
      </c>
      <c r="T29" s="12">
        <f t="shared" ca="1" si="3"/>
        <v>49198.047485429386</v>
      </c>
      <c r="U29" s="12">
        <f t="shared" ca="1" si="3"/>
        <v>-76793.600172424471</v>
      </c>
      <c r="V29" s="12">
        <f t="shared" ca="1" si="3"/>
        <v>-106923.27049829671</v>
      </c>
      <c r="W29" s="12">
        <f t="shared" ca="1" si="3"/>
        <v>-91351.130932138185</v>
      </c>
      <c r="X29" s="12">
        <f t="shared" ca="1" si="3"/>
        <v>-164830.58813812991</v>
      </c>
      <c r="Y29" s="12">
        <f t="shared" ca="1" si="3"/>
        <v>671280.54723735293</v>
      </c>
      <c r="Z29" s="12">
        <f t="shared" ca="1" si="3"/>
        <v>128637.60781951444</v>
      </c>
      <c r="AA29" s="12">
        <f t="shared" ca="1" si="3"/>
        <v>-63728.553277364947</v>
      </c>
      <c r="AB29" s="12">
        <f t="shared" ca="1" si="3"/>
        <v>-250951.1649504861</v>
      </c>
      <c r="AC29" s="12">
        <f t="shared" ca="1" si="3"/>
        <v>-104252.70224091849</v>
      </c>
      <c r="AD29" s="12">
        <f t="shared" ca="1" si="3"/>
        <v>-225500.75854831209</v>
      </c>
      <c r="AE29" s="12">
        <f t="shared" ca="1" si="3"/>
        <v>1473962.6893270833</v>
      </c>
      <c r="AF29" s="12">
        <f t="shared" ca="1" si="3"/>
        <v>-132678.02960055287</v>
      </c>
      <c r="AG29" s="12">
        <f t="shared" ca="1" si="3"/>
        <v>50707.19033635917</v>
      </c>
      <c r="AH29" s="12">
        <f t="shared" ca="1" si="3"/>
        <v>-133487.22004294206</v>
      </c>
      <c r="AI29" s="12">
        <f t="shared" ca="1" si="3"/>
        <v>852108.44532843214</v>
      </c>
      <c r="AJ29" s="12">
        <f t="shared" ca="1" si="3"/>
        <v>-494864.35907818202</v>
      </c>
      <c r="AK29" s="12">
        <f t="shared" ca="1" si="3"/>
        <v>595210.93471164652</v>
      </c>
      <c r="AL29" s="12">
        <f t="shared" ca="1" si="3"/>
        <v>257916.74595415458</v>
      </c>
      <c r="AM29" s="12">
        <f t="shared" ca="1" si="3"/>
        <v>560200.90516391792</v>
      </c>
      <c r="AN29" s="12">
        <f t="shared" ca="1" si="3"/>
        <v>45722.835407997154</v>
      </c>
      <c r="AO29" s="12">
        <f t="shared" ca="1" si="3"/>
        <v>32233.143841491037</v>
      </c>
      <c r="AP29" s="12">
        <f t="shared" ca="1" si="3"/>
        <v>586494.40207020449</v>
      </c>
      <c r="AQ29" s="12">
        <f t="shared" ca="1" si="3"/>
        <v>1056401.3206310463</v>
      </c>
      <c r="AR29" s="12">
        <f t="shared" ca="1" si="3"/>
        <v>791111.1837965803</v>
      </c>
      <c r="AS29" s="12">
        <f t="shared" ca="1" si="3"/>
        <v>-1145.370910606478</v>
      </c>
      <c r="AT29" s="12">
        <f t="shared" ca="1" si="3"/>
        <v>214799.20760164055</v>
      </c>
      <c r="AU29" s="12">
        <f t="shared" ca="1" si="3"/>
        <v>1678492.9392729576</v>
      </c>
      <c r="AV29" s="12">
        <f t="shared" ca="1" si="3"/>
        <v>-134712.3695166843</v>
      </c>
      <c r="AW29" s="12">
        <f t="shared" ca="1" si="3"/>
        <v>-561058.29720339994</v>
      </c>
      <c r="AX29" s="12">
        <f t="shared" ca="1" si="3"/>
        <v>1177325.3951887395</v>
      </c>
      <c r="AY29" s="12">
        <f t="shared" ca="1" si="3"/>
        <v>572084.56773490121</v>
      </c>
      <c r="AZ29" s="12">
        <f t="shared" ca="1" si="3"/>
        <v>1204010.2098915628</v>
      </c>
      <c r="BA29" s="12">
        <f t="shared" ca="1" si="3"/>
        <v>512599.36312071007</v>
      </c>
      <c r="BB29" s="12">
        <f t="shared" ca="1" si="3"/>
        <v>1494124.4979094286</v>
      </c>
      <c r="BC29" s="12">
        <f t="shared" ca="1" si="3"/>
        <v>1283594.8433570175</v>
      </c>
      <c r="BD29" s="12">
        <f t="shared" ca="1" si="3"/>
        <v>1461777.549884595</v>
      </c>
      <c r="BE29" s="12">
        <f t="shared" ca="1" si="3"/>
        <v>663790.38195324165</v>
      </c>
      <c r="BF29" s="12">
        <f t="shared" ca="1" si="3"/>
        <v>1384759.9796472439</v>
      </c>
      <c r="BG29" s="12">
        <f t="shared" ca="1" si="3"/>
        <v>1419091.8813465012</v>
      </c>
      <c r="BH29" s="12">
        <f t="shared" ca="1" si="3"/>
        <v>680333.00136813545</v>
      </c>
      <c r="BI29" s="12">
        <f t="shared" ca="1" si="3"/>
        <v>-260368.83628268697</v>
      </c>
      <c r="BJ29" s="12">
        <f t="shared" ca="1" si="3"/>
        <v>2579839.6022001165</v>
      </c>
      <c r="BK29" s="12">
        <f t="shared" ca="1" si="3"/>
        <v>559615.66659213637</v>
      </c>
      <c r="BL29" s="12">
        <f t="shared" ca="1" si="3"/>
        <v>2702336.4977992922</v>
      </c>
      <c r="BM29" s="12">
        <f t="shared" ca="1" si="3"/>
        <v>1908267.9417774179</v>
      </c>
      <c r="BN29" s="12">
        <f t="shared" ca="1" si="3"/>
        <v>1510314.9705972143</v>
      </c>
      <c r="BO29" s="12">
        <f t="shared" ca="1" si="3"/>
        <v>2920368.7946069636</v>
      </c>
      <c r="BP29" s="12">
        <f t="shared" ca="1" si="3"/>
        <v>2137878.0208695685</v>
      </c>
      <c r="BQ29" s="12">
        <f t="shared" ca="1" si="3"/>
        <v>1618216.53228779</v>
      </c>
    </row>
  </sheetData>
  <conditionalFormatting sqref="F2:F3">
    <cfRule type="cellIs" dxfId="70" priority="1" stopIfTrue="1" operator="notEqual">
      <formula>0</formula>
    </cfRule>
    <cfRule type="cellIs" dxfId="69" priority="2" stopIfTrue="1" operator="equal">
      <formula>""</formula>
    </cfRule>
  </conditionalFormatting>
  <conditionalFormatting sqref="J3:BQ3">
    <cfRule type="cellIs" dxfId="68" priority="3" operator="equal">
      <formula>"PPA ext."</formula>
    </cfRule>
    <cfRule type="cellIs" dxfId="67" priority="4" operator="equal">
      <formula>"Delay"</formula>
    </cfRule>
    <cfRule type="cellIs" dxfId="66" priority="5" operator="equal">
      <formula>"Fin Close"</formula>
    </cfRule>
    <cfRule type="cellIs" dxfId="65" priority="6" stopIfTrue="1" operator="equal">
      <formula>"Construction"</formula>
    </cfRule>
    <cfRule type="cellIs" dxfId="64"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4F81BD"/>
    <outlinePr summaryBelow="0" summaryRight="0"/>
  </sheetPr>
  <dimension ref="A1:AC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44" bestFit="1" customWidth="1"/>
    <col min="6" max="6" width="20.54296875" bestFit="1" customWidth="1"/>
    <col min="7" max="7" width="13.1796875" bestFit="1" customWidth="1"/>
    <col min="8" max="8" width="13.1796875" style="43" bestFit="1" customWidth="1"/>
    <col min="9" max="9" width="3.453125" customWidth="1"/>
    <col min="10" max="10" width="11.1796875" bestFit="1" customWidth="1"/>
    <col min="11" max="11" width="11.81640625" bestFit="1" customWidth="1"/>
    <col min="12" max="12" width="11.90625" bestFit="1" customWidth="1"/>
    <col min="13" max="13" width="11.81640625" bestFit="1" customWidth="1"/>
    <col min="14" max="14" width="11.1796875" bestFit="1" customWidth="1"/>
    <col min="15" max="15" width="11.81640625" bestFit="1" customWidth="1"/>
    <col min="16" max="16" width="11.90625" bestFit="1" customWidth="1"/>
    <col min="17" max="17" width="11.81640625" bestFit="1" customWidth="1"/>
    <col min="18" max="18" width="11.1796875" bestFit="1" customWidth="1"/>
    <col min="19" max="19" width="11.81640625" bestFit="1" customWidth="1"/>
    <col min="20" max="20" width="11.90625" bestFit="1" customWidth="1"/>
    <col min="21" max="23" width="11.81640625" bestFit="1" customWidth="1"/>
    <col min="24" max="24" width="11.90625" bestFit="1" customWidth="1"/>
    <col min="25" max="26" width="11.81640625" bestFit="1" customWidth="1"/>
    <col min="27" max="29" width="12.453125" bestFit="1" customWidth="1"/>
    <col min="30" max="30" width="15.08984375" hidden="1" customWidth="1"/>
    <col min="31" max="16384" width="15.08984375" hidden="1"/>
  </cols>
  <sheetData>
    <row r="1" spans="1:29" s="75" customFormat="1" ht="25.15">
      <c r="A1" s="45" t="str">
        <f ca="1" xml:space="preserve"> RIGHT(CELL("filename", A1), LEN(CELL("filename", A1)) - SEARCH("]", CELL("filename", A1)))</f>
        <v>Cashflow Qly</v>
      </c>
      <c r="B1" s="69"/>
      <c r="C1" s="74"/>
      <c r="D1" s="71"/>
      <c r="F1" s="52" t="str">
        <f>HYPERLINK("#Contents!A1","Go to contents")</f>
        <v>Go to contents</v>
      </c>
      <c r="H1" s="47"/>
      <c r="J1" s="47"/>
    </row>
    <row r="2" spans="1:29" s="53" customFormat="1">
      <c r="A2" s="48"/>
      <c r="B2" s="48"/>
      <c r="C2" s="72"/>
      <c r="D2" s="73"/>
      <c r="E2" s="22" t="s">
        <v>324</v>
      </c>
      <c r="F2" s="51">
        <f ca="1" xml:space="preserve"> 'Model Checks and Alerts'!F11</f>
        <v>0</v>
      </c>
      <c r="G2" s="55"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4" customFormat="1">
      <c r="A3" s="48"/>
      <c r="B3" s="48"/>
      <c r="C3" s="72"/>
      <c r="D3" s="73"/>
      <c r="E3" s="39" t="s">
        <v>203</v>
      </c>
      <c r="F3" s="51"/>
      <c r="G3" s="55" t="s">
        <v>97</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8" customFormat="1">
      <c r="A4" s="48"/>
      <c r="B4" s="48"/>
      <c r="C4" s="72"/>
      <c r="D4" s="73"/>
      <c r="E4" s="22" t="s">
        <v>325</v>
      </c>
      <c r="F4"/>
      <c r="G4"/>
      <c r="H4" s="50"/>
      <c r="I4" s="50"/>
      <c r="J4" s="28">
        <f xml:space="preserve"> Time!J$88</f>
        <v>3</v>
      </c>
      <c r="K4" s="28">
        <f xml:space="preserve"> Time!K$88</f>
        <v>6</v>
      </c>
      <c r="L4" s="28">
        <f xml:space="preserve"> Time!L$88</f>
        <v>9</v>
      </c>
      <c r="M4" s="28">
        <f xml:space="preserve"> Time!M$88</f>
        <v>12</v>
      </c>
      <c r="N4" s="28">
        <f xml:space="preserve"> Time!N$88</f>
        <v>15</v>
      </c>
      <c r="O4" s="28">
        <f xml:space="preserve"> Time!O$88</f>
        <v>18</v>
      </c>
      <c r="P4" s="28">
        <f xml:space="preserve"> Time!P$88</f>
        <v>21</v>
      </c>
      <c r="Q4" s="28">
        <f xml:space="preserve"> Time!Q$88</f>
        <v>24</v>
      </c>
      <c r="R4" s="28">
        <f xml:space="preserve"> Time!R$88</f>
        <v>27</v>
      </c>
      <c r="S4" s="28">
        <f xml:space="preserve"> Time!S$88</f>
        <v>30</v>
      </c>
      <c r="T4" s="28">
        <f xml:space="preserve"> Time!T$88</f>
        <v>33</v>
      </c>
      <c r="U4" s="28">
        <f xml:space="preserve"> Time!U$88</f>
        <v>36</v>
      </c>
      <c r="V4" s="28">
        <f xml:space="preserve"> Time!V$88</f>
        <v>39</v>
      </c>
      <c r="W4" s="28">
        <f xml:space="preserve"> Time!W$88</f>
        <v>42</v>
      </c>
      <c r="X4" s="28">
        <f xml:space="preserve"> Time!X$88</f>
        <v>45</v>
      </c>
      <c r="Y4" s="28">
        <f xml:space="preserve"> Time!Y$88</f>
        <v>48</v>
      </c>
      <c r="Z4" s="28">
        <f xml:space="preserve"> Time!Z$88</f>
        <v>51</v>
      </c>
      <c r="AA4" s="28">
        <f xml:space="preserve"> Time!AA$88</f>
        <v>54</v>
      </c>
      <c r="AB4" s="28">
        <f xml:space="preserve"> Time!AB$88</f>
        <v>57</v>
      </c>
      <c r="AC4" s="28">
        <f xml:space="preserve"> Time!AC$88</f>
        <v>60</v>
      </c>
    </row>
    <row r="5" spans="1:29" s="34" customFormat="1">
      <c r="A5" s="48"/>
      <c r="B5" s="48"/>
      <c r="C5" s="72"/>
      <c r="D5" s="73"/>
      <c r="E5" s="22" t="s">
        <v>305</v>
      </c>
      <c r="F5" s="24" t="s">
        <v>248</v>
      </c>
      <c r="G5" s="24" t="s">
        <v>224</v>
      </c>
      <c r="H5" s="24" t="s">
        <v>202</v>
      </c>
      <c r="I5" s="50"/>
      <c r="J5" s="15"/>
      <c r="K5" s="15"/>
      <c r="L5" s="15"/>
      <c r="M5" s="15"/>
      <c r="N5" s="15"/>
      <c r="O5" s="15"/>
      <c r="P5" s="15"/>
    </row>
    <row r="6" spans="1:29" s="43" customFormat="1">
      <c r="A6" s="24"/>
      <c r="B6" s="24"/>
      <c r="C6" s="49"/>
      <c r="D6" s="70"/>
      <c r="F6" s="24"/>
      <c r="G6" s="24"/>
      <c r="H6" s="24"/>
    </row>
    <row r="8" spans="1:29">
      <c r="E8" s="16" t="str">
        <f xml:space="preserve"> 'Working Capital'!E$22</f>
        <v>Cash in from Sales</v>
      </c>
      <c r="F8" s="16">
        <f xml:space="preserve"> 'Working Capital'!F$22</f>
        <v>0</v>
      </c>
      <c r="G8" s="16" t="str">
        <f xml:space="preserve"> 'Working Capital'!G$22</f>
        <v>GBP</v>
      </c>
      <c r="H8" s="42">
        <f ca="1" xml:space="preserve"> 'Working Capital'!H$22</f>
        <v>57317898.380981073</v>
      </c>
      <c r="I8" s="16">
        <f xml:space="preserve"> 'Working Capital'!I$22</f>
        <v>0</v>
      </c>
      <c r="J8" s="9">
        <f ca="1" xml:space="preserve"> SUMIF( Time!$J326:$BQ326, Time!J$28, 'Working Capital'!$J22:$BQ22)</f>
        <v>0</v>
      </c>
      <c r="K8" s="9">
        <f ca="1" xml:space="preserve"> SUMIF( Time!$J326:$BQ326, Time!K$28, 'Working Capital'!$J22:$BQ22)</f>
        <v>0</v>
      </c>
      <c r="L8" s="9">
        <f ca="1" xml:space="preserve"> SUMIF( Time!$J326:$BQ326, Time!L$28, 'Working Capital'!$J22:$BQ22)</f>
        <v>0</v>
      </c>
      <c r="M8" s="9">
        <f ca="1" xml:space="preserve"> SUMIF( Time!$J326:$BQ326, Time!M$28, 'Working Capital'!$J22:$BQ22)</f>
        <v>864000</v>
      </c>
      <c r="N8" s="9">
        <f ca="1" xml:space="preserve"> SUMIF( Time!$J326:$BQ326, Time!N$28, 'Working Capital'!$J22:$BQ22)</f>
        <v>0</v>
      </c>
      <c r="O8" s="9">
        <f ca="1" xml:space="preserve"> SUMIF( Time!$J326:$BQ326, Time!O$28, 'Working Capital'!$J22:$BQ22)</f>
        <v>864000</v>
      </c>
      <c r="P8" s="9">
        <f ca="1" xml:space="preserve"> SUMIF( Time!$J326:$BQ326, Time!P$28, 'Working Capital'!$J22:$BQ22)</f>
        <v>0</v>
      </c>
      <c r="Q8" s="9">
        <f ca="1" xml:space="preserve"> SUMIF( Time!$J326:$BQ326, Time!Q$28, 'Working Capital'!$J22:$BQ22)</f>
        <v>1727999.9999999998</v>
      </c>
      <c r="R8" s="9">
        <f ca="1" xml:space="preserve"> SUMIF( Time!$J326:$BQ326, Time!R$28, 'Working Capital'!$J22:$BQ22)</f>
        <v>864000</v>
      </c>
      <c r="S8" s="9">
        <f ca="1" xml:space="preserve"> SUMIF( Time!$J326:$BQ326, Time!S$28, 'Working Capital'!$J22:$BQ22)</f>
        <v>2278100.9817584353</v>
      </c>
      <c r="T8" s="9">
        <f ca="1" xml:space="preserve"> SUMIF( Time!$J326:$BQ326, Time!T$28, 'Working Capital'!$J22:$BQ22)</f>
        <v>1519116.4032551574</v>
      </c>
      <c r="U8" s="9">
        <f ca="1" xml:space="preserve"> SUMIF( Time!$J326:$BQ326, Time!U$28, 'Working Capital'!$J22:$BQ22)</f>
        <v>2507686.3325451259</v>
      </c>
      <c r="V8" s="9">
        <f ca="1" xml:space="preserve"> SUMIF( Time!$J326:$BQ326, Time!V$28, 'Working Capital'!$J22:$BQ22)</f>
        <v>2654264.7943368535</v>
      </c>
      <c r="W8" s="9">
        <f ca="1" xml:space="preserve"> SUMIF( Time!$J326:$BQ326, Time!W$28, 'Working Capital'!$J22:$BQ22)</f>
        <v>3378927.7179277828</v>
      </c>
      <c r="X8" s="9">
        <f ca="1" xml:space="preserve"> SUMIF( Time!$J326:$BQ326, Time!X$28, 'Working Capital'!$J22:$BQ22)</f>
        <v>4558170.3182986826</v>
      </c>
      <c r="Y8" s="9">
        <f ca="1" xml:space="preserve"> SUMIF( Time!$J326:$BQ326, Time!Y$28, 'Working Capital'!$J22:$BQ22)</f>
        <v>4931955.7899683863</v>
      </c>
      <c r="Z8" s="9">
        <f ca="1" xml:space="preserve"> SUMIF( Time!$J326:$BQ326, Time!Z$28, 'Working Capital'!$J22:$BQ22)</f>
        <v>5371858.8071591817</v>
      </c>
      <c r="AA8" s="9">
        <f ca="1" xml:space="preserve"> SUMIF( Time!$J326:$BQ326, Time!AA$28, 'Working Capital'!$J22:$BQ22)</f>
        <v>7253592.1182455327</v>
      </c>
      <c r="AB8" s="9">
        <f ca="1" xml:space="preserve"> SUMIF( Time!$J326:$BQ326, Time!AB$28, 'Working Capital'!$J22:$BQ22)</f>
        <v>8842219.4863466322</v>
      </c>
      <c r="AC8" s="9">
        <f ca="1" xml:space="preserve"> SUMIF( Time!$J326:$BQ326, Time!AC$28, 'Working Capital'!$J22:$BQ22)</f>
        <v>9702005.6311393064</v>
      </c>
    </row>
    <row r="9" spans="1:29">
      <c r="E9" s="16" t="str">
        <f xml:space="preserve"> 'Working Capital'!E$52</f>
        <v xml:space="preserve">Cash out on Operating Expense </v>
      </c>
      <c r="F9" s="16">
        <f xml:space="preserve"> 'Working Capital'!F$52</f>
        <v>0</v>
      </c>
      <c r="G9" s="16" t="str">
        <f xml:space="preserve"> 'Working Capital'!G$52</f>
        <v>GBP</v>
      </c>
      <c r="H9" s="42">
        <f ca="1" xml:space="preserve"> 'Working Capital'!H$52</f>
        <v>-8739047.4483311232</v>
      </c>
      <c r="I9" s="16">
        <f xml:space="preserve"> 'Working Capital'!I$52</f>
        <v>0</v>
      </c>
      <c r="J9" s="9">
        <f ca="1" xml:space="preserve"> SUMIF( Time!$J326:$BQ326, Time!J$28, 'Working Capital'!$J52:$BQ52)</f>
        <v>-173712.96166392826</v>
      </c>
      <c r="K9" s="9">
        <f ca="1" xml:space="preserve"> SUMIF( Time!$J326:$BQ326, Time!K$28, 'Working Capital'!$J52:$BQ52)</f>
        <v>-182136.83817952042</v>
      </c>
      <c r="L9" s="9">
        <f ca="1" xml:space="preserve"> SUMIF( Time!$J326:$BQ326, Time!L$28, 'Working Capital'!$J52:$BQ52)</f>
        <v>-191544.75378150019</v>
      </c>
      <c r="M9" s="9">
        <f ca="1" xml:space="preserve"> SUMIF( Time!$J326:$BQ326, Time!M$28, 'Working Capital'!$J52:$BQ52)</f>
        <v>-202051.31917221638</v>
      </c>
      <c r="N9" s="9">
        <f ca="1" xml:space="preserve"> SUMIF( Time!$J326:$BQ326, Time!N$28, 'Working Capital'!$J52:$BQ52)</f>
        <v>-213804.55874109513</v>
      </c>
      <c r="O9" s="9">
        <f ca="1" xml:space="preserve"> SUMIF( Time!$J326:$BQ326, Time!O$28, 'Working Capital'!$J52:$BQ52)</f>
        <v>-227428.02570918572</v>
      </c>
      <c r="P9" s="9">
        <f ca="1" xml:space="preserve"> SUMIF( Time!$J326:$BQ326, Time!P$28, 'Working Capital'!$J52:$BQ52)</f>
        <v>-242913.47508105182</v>
      </c>
      <c r="Q9" s="9">
        <f ca="1" xml:space="preserve"> SUMIF( Time!$J326:$BQ326, Time!Q$28, 'Working Capital'!$J52:$BQ52)</f>
        <v>-260532.6503587921</v>
      </c>
      <c r="R9" s="9">
        <f ca="1" xml:space="preserve"> SUMIF( Time!$J326:$BQ326, Time!R$28, 'Working Capital'!$J52:$BQ52)</f>
        <v>-303302.37309667224</v>
      </c>
      <c r="S9" s="9">
        <f ca="1" xml:space="preserve"> SUMIF( Time!$J326:$BQ326, Time!S$28, 'Working Capital'!$J52:$BQ52)</f>
        <v>-331244.30410282069</v>
      </c>
      <c r="T9" s="9">
        <f ca="1" xml:space="preserve"> SUMIF( Time!$J326:$BQ326, Time!T$28, 'Working Capital'!$J52:$BQ52)</f>
        <v>-363700.08572784811</v>
      </c>
      <c r="U9" s="9">
        <f ca="1" xml:space="preserve"> SUMIF( Time!$J326:$BQ326, Time!U$28, 'Working Capital'!$J52:$BQ52)</f>
        <v>-401218.69683670183</v>
      </c>
      <c r="V9" s="9">
        <f ca="1" xml:space="preserve"> SUMIF( Time!$J326:$BQ326, Time!V$28, 'Working Capital'!$J52:$BQ52)</f>
        <v>-444866.55615657085</v>
      </c>
      <c r="W9" s="9">
        <f ca="1" xml:space="preserve"> SUMIF( Time!$J326:$BQ326, Time!W$28, 'Working Capital'!$J52:$BQ52)</f>
        <v>-496834.80997691303</v>
      </c>
      <c r="X9" s="9">
        <f ca="1" xml:space="preserve"> SUMIF( Time!$J326:$BQ326, Time!X$28, 'Working Capital'!$J52:$BQ52)</f>
        <v>-557725.48633823288</v>
      </c>
      <c r="Y9" s="9">
        <f ca="1" xml:space="preserve"> SUMIF( Time!$J326:$BQ326, Time!Y$28, 'Working Capital'!$J52:$BQ52)</f>
        <v>-628624.63844704314</v>
      </c>
      <c r="Z9" s="9">
        <f ca="1" xml:space="preserve"> SUMIF( Time!$J326:$BQ326, Time!Z$28, 'Working Capital'!$J52:$BQ52)</f>
        <v>-711796.45607435016</v>
      </c>
      <c r="AA9" s="9">
        <f ca="1" xml:space="preserve"> SUMIF( Time!$J326:$BQ326, Time!AA$28, 'Working Capital'!$J52:$BQ52)</f>
        <v>-811392.5104202684</v>
      </c>
      <c r="AB9" s="9">
        <f ca="1" xml:space="preserve"> SUMIF( Time!$J326:$BQ326, Time!AB$28, 'Working Capital'!$J52:$BQ52)</f>
        <v>-928447.33386959194</v>
      </c>
      <c r="AC9" s="9">
        <f ca="1" xml:space="preserve"> SUMIF( Time!$J326:$BQ326, Time!AC$28, 'Working Capital'!$J52:$BQ52)</f>
        <v>-1065769.6145968209</v>
      </c>
    </row>
    <row r="10" spans="1:29">
      <c r="E10" s="16" t="str">
        <f xml:space="preserve"> VAT!E$38</f>
        <v xml:space="preserve">VAT paid </v>
      </c>
      <c r="F10" s="16">
        <f xml:space="preserve"> VAT!F$38</f>
        <v>0</v>
      </c>
      <c r="G10" s="16" t="str">
        <f xml:space="preserve"> VAT!G$38</f>
        <v>GBP</v>
      </c>
      <c r="H10" s="42">
        <f ca="1" xml:space="preserve"> VAT!H$38</f>
        <v>-8296110.6882591359</v>
      </c>
      <c r="I10" s="16">
        <f xml:space="preserve"> VAT!I$38</f>
        <v>0</v>
      </c>
      <c r="J10" s="9">
        <f ca="1" xml:space="preserve"> SUMIF( Time!$J326:$BQ326, Time!J$28, VAT!$J38:$BQ38)</f>
        <v>45483.658917580258</v>
      </c>
      <c r="K10" s="9">
        <f ca="1" xml:space="preserve"> SUMIF( Time!$J326:$BQ326, Time!K$28, VAT!$J38:$BQ38)</f>
        <v>16294.149463501151</v>
      </c>
      <c r="L10" s="9">
        <f ca="1" xml:space="preserve"> SUMIF( Time!$J326:$BQ326, Time!L$28, VAT!$J38:$BQ38)</f>
        <v>-68740.257737856227</v>
      </c>
      <c r="M10" s="9">
        <f ca="1" xml:space="preserve"> SUMIF( Time!$J326:$BQ326, Time!M$28, VAT!$J38:$BQ38)</f>
        <v>-5102.8626851205763</v>
      </c>
      <c r="N10" s="9">
        <f ca="1" xml:space="preserve"> SUMIF( Time!$J326:$BQ326, Time!N$28, VAT!$J38:$BQ38)</f>
        <v>-73331.977328029301</v>
      </c>
      <c r="O10" s="9">
        <f ca="1" xml:space="preserve"> SUMIF( Time!$J326:$BQ326, Time!O$28, VAT!$J38:$BQ38)</f>
        <v>38643.356201628834</v>
      </c>
      <c r="P10" s="9">
        <f ca="1" xml:space="preserve"> SUMIF( Time!$J326:$BQ326, Time!P$28, VAT!$J38:$BQ38)</f>
        <v>-243266.08257053205</v>
      </c>
      <c r="Q10" s="9">
        <f ca="1" xml:space="preserve"> SUMIF( Time!$J326:$BQ326, Time!Q$28, VAT!$J38:$BQ38)</f>
        <v>34988.476364123555</v>
      </c>
      <c r="R10" s="9">
        <f ca="1" xml:space="preserve"> SUMIF( Time!$J326:$BQ326, Time!R$28, VAT!$J38:$BQ38)</f>
        <v>-203990.04489077616</v>
      </c>
      <c r="S10" s="9">
        <f ca="1" xml:space="preserve"> SUMIF( Time!$J326:$BQ326, Time!S$28, VAT!$J38:$BQ38)</f>
        <v>-193559.19422678204</v>
      </c>
      <c r="T10" s="9">
        <f ca="1" xml:space="preserve"> SUMIF( Time!$J326:$BQ326, Time!T$28, VAT!$J38:$BQ38)</f>
        <v>-336707.53418296378</v>
      </c>
      <c r="U10" s="9">
        <f ca="1" xml:space="preserve"> SUMIF( Time!$J326:$BQ326, Time!U$28, VAT!$J38:$BQ38)</f>
        <v>-211457.16615017428</v>
      </c>
      <c r="V10" s="9">
        <f ca="1" xml:space="preserve"> SUMIF( Time!$J326:$BQ326, Time!V$28, VAT!$J38:$BQ38)</f>
        <v>-371087.59641166066</v>
      </c>
      <c r="W10" s="9">
        <f ca="1" xml:space="preserve"> SUMIF( Time!$J326:$BQ326, Time!W$28, VAT!$J38:$BQ38)</f>
        <v>-610187.77625286591</v>
      </c>
      <c r="X10" s="9">
        <f ca="1" xml:space="preserve"> SUMIF( Time!$J326:$BQ326, Time!X$28, VAT!$J38:$BQ38)</f>
        <v>-625578.68716786429</v>
      </c>
      <c r="Y10" s="9">
        <f ca="1" xml:space="preserve"> SUMIF( Time!$J326:$BQ326, Time!Y$28, VAT!$J38:$BQ38)</f>
        <v>-685522.65563876927</v>
      </c>
      <c r="Z10" s="9">
        <f ca="1" xml:space="preserve"> SUMIF( Time!$J326:$BQ326, Time!Z$28, VAT!$J38:$BQ38)</f>
        <v>-781053.70518652978</v>
      </c>
      <c r="AA10" s="9">
        <f ca="1" xml:space="preserve"> SUMIF( Time!$J326:$BQ326, Time!AA$28, VAT!$J38:$BQ38)</f>
        <v>-1215329.8641746363</v>
      </c>
      <c r="AB10" s="9">
        <f ca="1" xml:space="preserve"> SUMIF( Time!$J326:$BQ326, Time!AB$28, VAT!$J38:$BQ38)</f>
        <v>-1333198.0654881524</v>
      </c>
      <c r="AC10" s="9">
        <f ca="1" xml:space="preserve"> SUMIF( Time!$J326:$BQ326, Time!AC$28, VAT!$J38:$BQ38)</f>
        <v>-1473406.8591132574</v>
      </c>
    </row>
    <row r="11" spans="1:29">
      <c r="E11" s="16" t="str">
        <f xml:space="preserve"> 'Corporation tax'!E$69</f>
        <v xml:space="preserve">Corporation tax paid </v>
      </c>
      <c r="F11" s="16">
        <f xml:space="preserve"> 'Corporation tax'!F$69</f>
        <v>0</v>
      </c>
      <c r="G11" s="16" t="str">
        <f xml:space="preserve"> 'Corporation tax'!G$69</f>
        <v>GBP</v>
      </c>
      <c r="H11" s="42">
        <f ca="1" xml:space="preserve"> 'Corporation tax'!H$69</f>
        <v>-2943623.9790600152</v>
      </c>
      <c r="I11" s="16">
        <f xml:space="preserve"> 'Corporation tax'!I$69</f>
        <v>0</v>
      </c>
      <c r="J11" s="9">
        <f ca="1" xml:space="preserve"> SUMIF( Time!$J326:$BQ326, Time!J$28, 'Corporation tax'!$J69:$BQ69)</f>
        <v>0</v>
      </c>
      <c r="K11" s="9">
        <f ca="1" xml:space="preserve"> SUMIF( Time!$J326:$BQ326, Time!K$28, 'Corporation tax'!$J69:$BQ69)</f>
        <v>0</v>
      </c>
      <c r="L11" s="9">
        <f ca="1" xml:space="preserve"> SUMIF( Time!$J326:$BQ326, Time!L$28, 'Corporation tax'!$J69:$BQ69)</f>
        <v>0</v>
      </c>
      <c r="M11" s="9">
        <f ca="1" xml:space="preserve"> SUMIF( Time!$J326:$BQ326, Time!M$28, 'Corporation tax'!$J69:$BQ69)</f>
        <v>0</v>
      </c>
      <c r="N11" s="9">
        <f ca="1" xml:space="preserve"> SUMIF( Time!$J326:$BQ326, Time!N$28, 'Corporation tax'!$J69:$BQ69)</f>
        <v>0</v>
      </c>
      <c r="O11" s="9">
        <f ca="1" xml:space="preserve"> SUMIF( Time!$J326:$BQ326, Time!O$28, 'Corporation tax'!$J69:$BQ69)</f>
        <v>0</v>
      </c>
      <c r="P11" s="9">
        <f ca="1" xml:space="preserve"> SUMIF( Time!$J326:$BQ326, Time!P$28, 'Corporation tax'!$J69:$BQ69)</f>
        <v>0</v>
      </c>
      <c r="Q11" s="9">
        <f ca="1" xml:space="preserve"> SUMIF( Time!$J326:$BQ326, Time!Q$28, 'Corporation tax'!$J69:$BQ69)</f>
        <v>0</v>
      </c>
      <c r="R11" s="9">
        <f ca="1" xml:space="preserve"> SUMIF( Time!$J326:$BQ326, Time!R$28, 'Corporation tax'!$J69:$BQ69)</f>
        <v>0</v>
      </c>
      <c r="S11" s="9">
        <f ca="1" xml:space="preserve"> SUMIF( Time!$J326:$BQ326, Time!S$28, 'Corporation tax'!$J69:$BQ69)</f>
        <v>-195685.12595542119</v>
      </c>
      <c r="T11" s="9">
        <f ca="1" xml:space="preserve"> SUMIF( Time!$J326:$BQ326, Time!T$28, 'Corporation tax'!$J69:$BQ69)</f>
        <v>0</v>
      </c>
      <c r="U11" s="9">
        <f ca="1" xml:space="preserve"> SUMIF( Time!$J326:$BQ326, Time!U$28, 'Corporation tax'!$J69:$BQ69)</f>
        <v>0</v>
      </c>
      <c r="V11" s="9">
        <f ca="1" xml:space="preserve"> SUMIF( Time!$J326:$BQ326, Time!V$28, 'Corporation tax'!$J69:$BQ69)</f>
        <v>0</v>
      </c>
      <c r="W11" s="9">
        <f ca="1" xml:space="preserve"> SUMIF( Time!$J326:$BQ326, Time!W$28, 'Corporation tax'!$J69:$BQ69)</f>
        <v>-829461.348841978</v>
      </c>
      <c r="X11" s="9">
        <f ca="1" xml:space="preserve"> SUMIF( Time!$J326:$BQ326, Time!X$28, 'Corporation tax'!$J69:$BQ69)</f>
        <v>0</v>
      </c>
      <c r="Y11" s="9">
        <f ca="1" xml:space="preserve"> SUMIF( Time!$J326:$BQ326, Time!Y$28, 'Corporation tax'!$J69:$BQ69)</f>
        <v>0</v>
      </c>
      <c r="Z11" s="9">
        <f ca="1" xml:space="preserve"> SUMIF( Time!$J326:$BQ326, Time!Z$28, 'Corporation tax'!$J69:$BQ69)</f>
        <v>0</v>
      </c>
      <c r="AA11" s="9">
        <f ca="1" xml:space="preserve"> SUMIF( Time!$J326:$BQ326, Time!AA$28, 'Corporation tax'!$J69:$BQ69)</f>
        <v>-1918477.5042626159</v>
      </c>
      <c r="AB11" s="9">
        <f ca="1" xml:space="preserve"> SUMIF( Time!$J326:$BQ326, Time!AB$28, 'Corporation tax'!$J69:$BQ69)</f>
        <v>0</v>
      </c>
      <c r="AC11" s="9">
        <f ca="1" xml:space="preserve"> SUMIF( Time!$J326:$BQ326, Time!AC$28, 'Corporation tax'!$J69:$BQ69)</f>
        <v>0</v>
      </c>
    </row>
    <row r="12" spans="1:29">
      <c r="E12" s="12" t="s">
        <v>113</v>
      </c>
      <c r="F12" s="32"/>
      <c r="G12" s="12" t="s">
        <v>252</v>
      </c>
      <c r="H12" s="54">
        <f ca="1" xml:space="preserve"> SUM( J12:BQ12 )</f>
        <v>37339116.265330799</v>
      </c>
      <c r="I12" s="32"/>
      <c r="J12" s="12">
        <f ca="1" xml:space="preserve"> SUMIF( Time!$J326:$BQ326, Time!J$28, Cashflow!$J12:$BQ12)</f>
        <v>-128229.302746348</v>
      </c>
      <c r="K12" s="12">
        <f ca="1" xml:space="preserve"> SUMIF( Time!$J326:$BQ326, Time!K$28, Cashflow!$J12:$BQ12)</f>
        <v>-165842.68871601927</v>
      </c>
      <c r="L12" s="12">
        <f ca="1" xml:space="preserve"> SUMIF( Time!$J326:$BQ326, Time!L$28, Cashflow!$J12:$BQ12)</f>
        <v>-260285.0115193564</v>
      </c>
      <c r="M12" s="12">
        <f ca="1" xml:space="preserve"> SUMIF( Time!$J326:$BQ326, Time!M$28, Cashflow!$J12:$BQ12)</f>
        <v>656845.81814266299</v>
      </c>
      <c r="N12" s="12">
        <f ca="1" xml:space="preserve"> SUMIF( Time!$J326:$BQ326, Time!N$28, Cashflow!$J12:$BQ12)</f>
        <v>-287136.53606912447</v>
      </c>
      <c r="O12" s="12">
        <f ca="1" xml:space="preserve"> SUMIF( Time!$J326:$BQ326, Time!O$28, Cashflow!$J12:$BQ12)</f>
        <v>675215.33049244306</v>
      </c>
      <c r="P12" s="12">
        <f ca="1" xml:space="preserve"> SUMIF( Time!$J326:$BQ326, Time!P$28, Cashflow!$J12:$BQ12)</f>
        <v>-486179.55765158386</v>
      </c>
      <c r="Q12" s="12">
        <f ca="1" xml:space="preserve"> SUMIF( Time!$J326:$BQ326, Time!Q$28, Cashflow!$J12:$BQ12)</f>
        <v>1502455.8260053312</v>
      </c>
      <c r="R12" s="12">
        <f ca="1" xml:space="preserve"> SUMIF( Time!$J326:$BQ326, Time!R$28, Cashflow!$J12:$BQ12)</f>
        <v>356707.5820125516</v>
      </c>
      <c r="S12" s="12">
        <f ca="1" xml:space="preserve"> SUMIF( Time!$J326:$BQ326, Time!S$28, Cashflow!$J12:$BQ12)</f>
        <v>1557612.3574734111</v>
      </c>
      <c r="T12" s="12">
        <f ca="1" xml:space="preserve"> SUMIF( Time!$J326:$BQ326, Time!T$28, Cashflow!$J12:$BQ12)</f>
        <v>818708.7833443454</v>
      </c>
      <c r="U12" s="12">
        <f ca="1" xml:space="preserve"> SUMIF( Time!$J326:$BQ326, Time!U$28, Cashflow!$J12:$BQ12)</f>
        <v>1895010.4695582492</v>
      </c>
      <c r="V12" s="12">
        <f ca="1" xml:space="preserve"> SUMIF( Time!$J326:$BQ326, Time!V$28, Cashflow!$J12:$BQ12)</f>
        <v>1838310.6417686222</v>
      </c>
      <c r="W12" s="12">
        <f ca="1" xml:space="preserve"> SUMIF( Time!$J326:$BQ326, Time!W$28, Cashflow!$J12:$BQ12)</f>
        <v>1442443.7828560257</v>
      </c>
      <c r="X12" s="12">
        <f ca="1" xml:space="preserve"> SUMIF( Time!$J326:$BQ326, Time!X$28, Cashflow!$J12:$BQ12)</f>
        <v>3374866.1447925852</v>
      </c>
      <c r="Y12" s="12">
        <f ca="1" xml:space="preserve"> SUMIF( Time!$J326:$BQ326, Time!Y$28, Cashflow!$J12:$BQ12)</f>
        <v>3617808.4958825735</v>
      </c>
      <c r="Z12" s="12">
        <f ca="1" xml:space="preserve"> SUMIF( Time!$J326:$BQ326, Time!Z$28, Cashflow!$J12:$BQ12)</f>
        <v>3879008.6458983021</v>
      </c>
      <c r="AA12" s="12">
        <f ca="1" xml:space="preserve"> SUMIF( Time!$J326:$BQ326, Time!AA$28, Cashflow!$J12:$BQ12)</f>
        <v>3308392.2393880123</v>
      </c>
      <c r="AB12" s="12">
        <f ca="1" xml:space="preserve"> SUMIF( Time!$J326:$BQ326, Time!AB$28, Cashflow!$J12:$BQ12)</f>
        <v>6580574.0869888877</v>
      </c>
      <c r="AC12" s="12">
        <f ca="1" xml:space="preserve"> SUMIF( Time!$J326:$BQ326, Time!AC$28, Cashflow!$J12:$BQ12)</f>
        <v>7162829.1574292276</v>
      </c>
    </row>
    <row r="14" spans="1:29">
      <c r="E14" s="16" t="str">
        <f xml:space="preserve"> 'Working Capital'!E$15</f>
        <v xml:space="preserve">Cash out on Inventory </v>
      </c>
      <c r="F14" s="16">
        <f xml:space="preserve"> 'Working Capital'!F$15</f>
        <v>0</v>
      </c>
      <c r="G14" s="16" t="str">
        <f xml:space="preserve"> 'Working Capital'!G$15</f>
        <v>GBP</v>
      </c>
      <c r="H14" s="42">
        <f ca="1" xml:space="preserve"> 'Working Capital'!H$15</f>
        <v>-5701499.9999999991</v>
      </c>
      <c r="I14" s="16">
        <f xml:space="preserve"> 'Working Capital'!I$15</f>
        <v>0</v>
      </c>
      <c r="J14" s="9">
        <f ca="1" xml:space="preserve"> SUMIF( Time!$J326:$BQ326, Time!J$28, 'Working Capital'!$J15:$BQ15)</f>
        <v>-52500</v>
      </c>
      <c r="K14" s="9">
        <f ca="1" xml:space="preserve"> SUMIF( Time!$J326:$BQ326, Time!K$28, 'Working Capital'!$J15:$BQ15)</f>
        <v>0</v>
      </c>
      <c r="L14" s="9">
        <f ca="1" xml:space="preserve"> SUMIF( Time!$J326:$BQ326, Time!L$28, 'Working Capital'!$J15:$BQ15)</f>
        <v>-199499.99999999997</v>
      </c>
      <c r="M14" s="9">
        <f ca="1" xml:space="preserve"> SUMIF( Time!$J326:$BQ326, Time!M$28, 'Working Capital'!$J15:$BQ15)</f>
        <v>0</v>
      </c>
      <c r="N14" s="9">
        <f ca="1" xml:space="preserve"> SUMIF( Time!$J326:$BQ326, Time!N$28, 'Working Capital'!$J15:$BQ15)</f>
        <v>-199499.99999999997</v>
      </c>
      <c r="O14" s="9">
        <f ca="1" xml:space="preserve"> SUMIF( Time!$J326:$BQ326, Time!O$28, 'Working Capital'!$J15:$BQ15)</f>
        <v>-52500</v>
      </c>
      <c r="P14" s="9">
        <f ca="1" xml:space="preserve"> SUMIF( Time!$J326:$BQ326, Time!P$28, 'Working Capital'!$J15:$BQ15)</f>
        <v>-199499.99999999997</v>
      </c>
      <c r="Q14" s="9">
        <f ca="1" xml:space="preserve"> SUMIF( Time!$J326:$BQ326, Time!Q$28, 'Working Capital'!$J15:$BQ15)</f>
        <v>-199499.99999999997</v>
      </c>
      <c r="R14" s="9">
        <f ca="1" xml:space="preserve"> SUMIF( Time!$J326:$BQ326, Time!R$28, 'Working Capital'!$J15:$BQ15)</f>
        <v>-199499.99999999997</v>
      </c>
      <c r="S14" s="9">
        <f ca="1" xml:space="preserve"> SUMIF( Time!$J326:$BQ326, Time!S$28, 'Working Capital'!$J15:$BQ15)</f>
        <v>-199499.99999999997</v>
      </c>
      <c r="T14" s="9">
        <f ca="1" xml:space="preserve"> SUMIF( Time!$J326:$BQ326, Time!T$28, 'Working Capital'!$J15:$BQ15)</f>
        <v>-199499.99999999997</v>
      </c>
      <c r="U14" s="9">
        <f ca="1" xml:space="preserve"> SUMIF( Time!$J326:$BQ326, Time!U$28, 'Working Capital'!$J15:$BQ15)</f>
        <v>-251999.99999999997</v>
      </c>
      <c r="V14" s="9">
        <f ca="1" xml:space="preserve"> SUMIF( Time!$J326:$BQ326, Time!V$28, 'Working Capital'!$J15:$BQ15)</f>
        <v>-251999.99999999997</v>
      </c>
      <c r="W14" s="9">
        <f ca="1" xml:space="preserve"> SUMIF( Time!$J326:$BQ326, Time!W$28, 'Working Capital'!$J15:$BQ15)</f>
        <v>-398999.99999999994</v>
      </c>
      <c r="X14" s="9">
        <f ca="1" xml:space="preserve"> SUMIF( Time!$J326:$BQ326, Time!X$28, 'Working Capital'!$J15:$BQ15)</f>
        <v>-451499.99999999994</v>
      </c>
      <c r="Y14" s="9">
        <f ca="1" xml:space="preserve"> SUMIF( Time!$J326:$BQ326, Time!Y$28, 'Working Capital'!$J15:$BQ15)</f>
        <v>-451499.99999999994</v>
      </c>
      <c r="Z14" s="9">
        <f ca="1" xml:space="preserve"> SUMIF( Time!$J326:$BQ326, Time!Z$28, 'Working Capital'!$J15:$BQ15)</f>
        <v>-598499.99999999988</v>
      </c>
      <c r="AA14" s="9">
        <f ca="1" xml:space="preserve"> SUMIF( Time!$J326:$BQ326, Time!AA$28, 'Working Capital'!$J15:$BQ15)</f>
        <v>-598499.99999999988</v>
      </c>
      <c r="AB14" s="9">
        <f ca="1" xml:space="preserve"> SUMIF( Time!$J326:$BQ326, Time!AB$28, 'Working Capital'!$J15:$BQ15)</f>
        <v>-598499.99999999988</v>
      </c>
      <c r="AC14" s="9">
        <f ca="1" xml:space="preserve"> SUMIF( Time!$J326:$BQ326, Time!AC$28, 'Working Capital'!$J15:$BQ15)</f>
        <v>-598499.99999999988</v>
      </c>
    </row>
    <row r="15" spans="1:29">
      <c r="E15" s="12" t="s">
        <v>20</v>
      </c>
      <c r="F15" s="32"/>
      <c r="G15" s="12" t="s">
        <v>252</v>
      </c>
      <c r="H15" s="54">
        <f ca="1" xml:space="preserve"> SUM( J15:BQ15 )</f>
        <v>31637616.265330799</v>
      </c>
      <c r="I15" s="32"/>
      <c r="J15" s="12">
        <f ca="1" xml:space="preserve"> SUMIF( Time!$J326:$BQ326, Time!J$28, Cashflow!$J15:$BQ15)</f>
        <v>-180729.302746348</v>
      </c>
      <c r="K15" s="12">
        <f ca="1" xml:space="preserve"> SUMIF( Time!$J326:$BQ326, Time!K$28, Cashflow!$J15:$BQ15)</f>
        <v>-165842.68871601927</v>
      </c>
      <c r="L15" s="12">
        <f ca="1" xml:space="preserve"> SUMIF( Time!$J326:$BQ326, Time!L$28, Cashflow!$J15:$BQ15)</f>
        <v>-459785.0115193564</v>
      </c>
      <c r="M15" s="12">
        <f ca="1" xml:space="preserve"> SUMIF( Time!$J326:$BQ326, Time!M$28, Cashflow!$J15:$BQ15)</f>
        <v>656845.81814266299</v>
      </c>
      <c r="N15" s="12">
        <f ca="1" xml:space="preserve"> SUMIF( Time!$J326:$BQ326, Time!N$28, Cashflow!$J15:$BQ15)</f>
        <v>-486636.53606912441</v>
      </c>
      <c r="O15" s="12">
        <f ca="1" xml:space="preserve"> SUMIF( Time!$J326:$BQ326, Time!O$28, Cashflow!$J15:$BQ15)</f>
        <v>622715.33049244306</v>
      </c>
      <c r="P15" s="12">
        <f ca="1" xml:space="preserve"> SUMIF( Time!$J326:$BQ326, Time!P$28, Cashflow!$J15:$BQ15)</f>
        <v>-685679.5576515838</v>
      </c>
      <c r="Q15" s="12">
        <f ca="1" xml:space="preserve"> SUMIF( Time!$J326:$BQ326, Time!Q$28, Cashflow!$J15:$BQ15)</f>
        <v>1302955.8260053312</v>
      </c>
      <c r="R15" s="12">
        <f ca="1" xml:space="preserve"> SUMIF( Time!$J326:$BQ326, Time!R$28, Cashflow!$J15:$BQ15)</f>
        <v>157207.5820125516</v>
      </c>
      <c r="S15" s="12">
        <f ca="1" xml:space="preserve"> SUMIF( Time!$J326:$BQ326, Time!S$28, Cashflow!$J15:$BQ15)</f>
        <v>1358112.3574734111</v>
      </c>
      <c r="T15" s="12">
        <f ca="1" xml:space="preserve"> SUMIF( Time!$J326:$BQ326, Time!T$28, Cashflow!$J15:$BQ15)</f>
        <v>619208.78334434552</v>
      </c>
      <c r="U15" s="12">
        <f ca="1" xml:space="preserve"> SUMIF( Time!$J326:$BQ326, Time!U$28, Cashflow!$J15:$BQ15)</f>
        <v>1643010.4695582492</v>
      </c>
      <c r="V15" s="12">
        <f ca="1" xml:space="preserve"> SUMIF( Time!$J326:$BQ326, Time!V$28, Cashflow!$J15:$BQ15)</f>
        <v>1586310.6417686222</v>
      </c>
      <c r="W15" s="12">
        <f ca="1" xml:space="preserve"> SUMIF( Time!$J326:$BQ326, Time!W$28, Cashflow!$J15:$BQ15)</f>
        <v>1043443.7828560257</v>
      </c>
      <c r="X15" s="12">
        <f ca="1" xml:space="preserve"> SUMIF( Time!$J326:$BQ326, Time!X$28, Cashflow!$J15:$BQ15)</f>
        <v>2923366.1447925852</v>
      </c>
      <c r="Y15" s="12">
        <f ca="1" xml:space="preserve"> SUMIF( Time!$J326:$BQ326, Time!Y$28, Cashflow!$J15:$BQ15)</f>
        <v>3166308.4958825735</v>
      </c>
      <c r="Z15" s="12">
        <f ca="1" xml:space="preserve"> SUMIF( Time!$J326:$BQ326, Time!Z$28, Cashflow!$J15:$BQ15)</f>
        <v>3280508.6458983021</v>
      </c>
      <c r="AA15" s="12">
        <f ca="1" xml:space="preserve"> SUMIF( Time!$J326:$BQ326, Time!AA$28, Cashflow!$J15:$BQ15)</f>
        <v>2709892.2393880123</v>
      </c>
      <c r="AB15" s="12">
        <f ca="1" xml:space="preserve"> SUMIF( Time!$J326:$BQ326, Time!AB$28, Cashflow!$J15:$BQ15)</f>
        <v>5982074.0869888877</v>
      </c>
      <c r="AC15" s="12">
        <f ca="1" xml:space="preserve"> SUMIF( Time!$J326:$BQ326, Time!AC$28, Cashflow!$J15:$BQ15)</f>
        <v>6564329.1574292276</v>
      </c>
    </row>
    <row r="17" spans="5:29">
      <c r="E17" s="16" t="str">
        <f xml:space="preserve"> 'Supply Chain finance'!E$22</f>
        <v>Supply Chain Finance drawdown</v>
      </c>
      <c r="F17" s="16">
        <f xml:space="preserve"> 'Supply Chain finance'!F$22</f>
        <v>0</v>
      </c>
      <c r="G17" s="16" t="str">
        <f xml:space="preserve"> 'Supply Chain finance'!G$22</f>
        <v>GBP</v>
      </c>
      <c r="H17" s="42">
        <f ca="1" xml:space="preserve"> 'Supply Chain finance'!H$22</f>
        <v>0</v>
      </c>
      <c r="I17" s="16">
        <f xml:space="preserve"> 'Supply Chain finance'!I$22</f>
        <v>0</v>
      </c>
      <c r="J17" s="9">
        <f ca="1" xml:space="preserve"> SUMIF( Time!$J326:$BQ326, Time!J$28, 'Supply Chain finance'!$J22:$BQ22)</f>
        <v>0</v>
      </c>
      <c r="K17" s="9">
        <f ca="1" xml:space="preserve"> SUMIF( Time!$J326:$BQ326, Time!K$28, 'Supply Chain finance'!$J22:$BQ22)</f>
        <v>0</v>
      </c>
      <c r="L17" s="9">
        <f ca="1" xml:space="preserve"> SUMIF( Time!$J326:$BQ326, Time!L$28, 'Supply Chain finance'!$J22:$BQ22)</f>
        <v>0</v>
      </c>
      <c r="M17" s="9">
        <f ca="1" xml:space="preserve"> SUMIF( Time!$J326:$BQ326, Time!M$28, 'Supply Chain finance'!$J22:$BQ22)</f>
        <v>0</v>
      </c>
      <c r="N17" s="9">
        <f ca="1" xml:space="preserve"> SUMIF( Time!$J326:$BQ326, Time!N$28, 'Supply Chain finance'!$J22:$BQ22)</f>
        <v>0</v>
      </c>
      <c r="O17" s="9">
        <f ca="1" xml:space="preserve"> SUMIF( Time!$J326:$BQ326, Time!O$28, 'Supply Chain finance'!$J22:$BQ22)</f>
        <v>0</v>
      </c>
      <c r="P17" s="9">
        <f ca="1" xml:space="preserve"> SUMIF( Time!$J326:$BQ326, Time!P$28, 'Supply Chain finance'!$J22:$BQ22)</f>
        <v>0</v>
      </c>
      <c r="Q17" s="9">
        <f ca="1" xml:space="preserve"> SUMIF( Time!$J326:$BQ326, Time!Q$28, 'Supply Chain finance'!$J22:$BQ22)</f>
        <v>0</v>
      </c>
      <c r="R17" s="9">
        <f ca="1" xml:space="preserve"> SUMIF( Time!$J326:$BQ326, Time!R$28, 'Supply Chain finance'!$J22:$BQ22)</f>
        <v>0</v>
      </c>
      <c r="S17" s="9">
        <f ca="1" xml:space="preserve"> SUMIF( Time!$J326:$BQ326, Time!S$28, 'Supply Chain finance'!$J22:$BQ22)</f>
        <v>0</v>
      </c>
      <c r="T17" s="9">
        <f ca="1" xml:space="preserve"> SUMIF( Time!$J326:$BQ326, Time!T$28, 'Supply Chain finance'!$J22:$BQ22)</f>
        <v>0</v>
      </c>
      <c r="U17" s="9">
        <f ca="1" xml:space="preserve"> SUMIF( Time!$J326:$BQ326, Time!U$28, 'Supply Chain finance'!$J22:$BQ22)</f>
        <v>0</v>
      </c>
      <c r="V17" s="9">
        <f ca="1" xml:space="preserve"> SUMIF( Time!$J326:$BQ326, Time!V$28, 'Supply Chain finance'!$J22:$BQ22)</f>
        <v>0</v>
      </c>
      <c r="W17" s="9">
        <f ca="1" xml:space="preserve"> SUMIF( Time!$J326:$BQ326, Time!W$28, 'Supply Chain finance'!$J22:$BQ22)</f>
        <v>0</v>
      </c>
      <c r="X17" s="9">
        <f ca="1" xml:space="preserve"> SUMIF( Time!$J326:$BQ326, Time!X$28, 'Supply Chain finance'!$J22:$BQ22)</f>
        <v>0</v>
      </c>
      <c r="Y17" s="9">
        <f ca="1" xml:space="preserve"> SUMIF( Time!$J326:$BQ326, Time!Y$28, 'Supply Chain finance'!$J22:$BQ22)</f>
        <v>0</v>
      </c>
      <c r="Z17" s="9">
        <f ca="1" xml:space="preserve"> SUMIF( Time!$J326:$BQ326, Time!Z$28, 'Supply Chain finance'!$J22:$BQ22)</f>
        <v>0</v>
      </c>
      <c r="AA17" s="9">
        <f ca="1" xml:space="preserve"> SUMIF( Time!$J326:$BQ326, Time!AA$28, 'Supply Chain finance'!$J22:$BQ22)</f>
        <v>0</v>
      </c>
      <c r="AB17" s="9">
        <f ca="1" xml:space="preserve"> SUMIF( Time!$J326:$BQ326, Time!AB$28, 'Supply Chain finance'!$J22:$BQ22)</f>
        <v>0</v>
      </c>
      <c r="AC17" s="9">
        <f ca="1" xml:space="preserve"> SUMIF( Time!$J326:$BQ326, Time!AC$28, 'Supply Chain finance'!$J22:$BQ22)</f>
        <v>0</v>
      </c>
    </row>
    <row r="18" spans="5:29">
      <c r="E18" s="16" t="str">
        <f xml:space="preserve"> 'Supply Chain finance'!E$29</f>
        <v xml:space="preserve">Supply Chain Finance principal repayment </v>
      </c>
      <c r="F18" s="16">
        <f xml:space="preserve"> 'Supply Chain finance'!F$29</f>
        <v>0</v>
      </c>
      <c r="G18" s="16" t="str">
        <f xml:space="preserve"> 'Supply Chain finance'!G$29</f>
        <v>GBP</v>
      </c>
      <c r="H18" s="42">
        <f ca="1" xml:space="preserve"> 'Supply Chain finance'!H$29</f>
        <v>0</v>
      </c>
      <c r="I18" s="16">
        <f xml:space="preserve"> 'Supply Chain finance'!I$29</f>
        <v>0</v>
      </c>
      <c r="J18" s="9">
        <f ca="1" xml:space="preserve"> SUMIF( Time!$J326:$BQ326, Time!J$28, 'Supply Chain finance'!$J29:$BQ29)</f>
        <v>0</v>
      </c>
      <c r="K18" s="9">
        <f ca="1" xml:space="preserve"> SUMIF( Time!$J326:$BQ326, Time!K$28, 'Supply Chain finance'!$J29:$BQ29)</f>
        <v>0</v>
      </c>
      <c r="L18" s="9">
        <f ca="1" xml:space="preserve"> SUMIF( Time!$J326:$BQ326, Time!L$28, 'Supply Chain finance'!$J29:$BQ29)</f>
        <v>0</v>
      </c>
      <c r="M18" s="9">
        <f ca="1" xml:space="preserve"> SUMIF( Time!$J326:$BQ326, Time!M$28, 'Supply Chain finance'!$J29:$BQ29)</f>
        <v>0</v>
      </c>
      <c r="N18" s="9">
        <f ca="1" xml:space="preserve"> SUMIF( Time!$J326:$BQ326, Time!N$28, 'Supply Chain finance'!$J29:$BQ29)</f>
        <v>0</v>
      </c>
      <c r="O18" s="9">
        <f ca="1" xml:space="preserve"> SUMIF( Time!$J326:$BQ326, Time!O$28, 'Supply Chain finance'!$J29:$BQ29)</f>
        <v>0</v>
      </c>
      <c r="P18" s="9">
        <f ca="1" xml:space="preserve"> SUMIF( Time!$J326:$BQ326, Time!P$28, 'Supply Chain finance'!$J29:$BQ29)</f>
        <v>0</v>
      </c>
      <c r="Q18" s="9">
        <f ca="1" xml:space="preserve"> SUMIF( Time!$J326:$BQ326, Time!Q$28, 'Supply Chain finance'!$J29:$BQ29)</f>
        <v>0</v>
      </c>
      <c r="R18" s="9">
        <f ca="1" xml:space="preserve"> SUMIF( Time!$J326:$BQ326, Time!R$28, 'Supply Chain finance'!$J29:$BQ29)</f>
        <v>0</v>
      </c>
      <c r="S18" s="9">
        <f ca="1" xml:space="preserve"> SUMIF( Time!$J326:$BQ326, Time!S$28, 'Supply Chain finance'!$J29:$BQ29)</f>
        <v>0</v>
      </c>
      <c r="T18" s="9">
        <f ca="1" xml:space="preserve"> SUMIF( Time!$J326:$BQ326, Time!T$28, 'Supply Chain finance'!$J29:$BQ29)</f>
        <v>0</v>
      </c>
      <c r="U18" s="9">
        <f ca="1" xml:space="preserve"> SUMIF( Time!$J326:$BQ326, Time!U$28, 'Supply Chain finance'!$J29:$BQ29)</f>
        <v>0</v>
      </c>
      <c r="V18" s="9">
        <f ca="1" xml:space="preserve"> SUMIF( Time!$J326:$BQ326, Time!V$28, 'Supply Chain finance'!$J29:$BQ29)</f>
        <v>0</v>
      </c>
      <c r="W18" s="9">
        <f ca="1" xml:space="preserve"> SUMIF( Time!$J326:$BQ326, Time!W$28, 'Supply Chain finance'!$J29:$BQ29)</f>
        <v>0</v>
      </c>
      <c r="X18" s="9">
        <f ca="1" xml:space="preserve"> SUMIF( Time!$J326:$BQ326, Time!X$28, 'Supply Chain finance'!$J29:$BQ29)</f>
        <v>0</v>
      </c>
      <c r="Y18" s="9">
        <f ca="1" xml:space="preserve"> SUMIF( Time!$J326:$BQ326, Time!Y$28, 'Supply Chain finance'!$J29:$BQ29)</f>
        <v>0</v>
      </c>
      <c r="Z18" s="9">
        <f ca="1" xml:space="preserve"> SUMIF( Time!$J326:$BQ326, Time!Z$28, 'Supply Chain finance'!$J29:$BQ29)</f>
        <v>0</v>
      </c>
      <c r="AA18" s="9">
        <f ca="1" xml:space="preserve"> SUMIF( Time!$J326:$BQ326, Time!AA$28, 'Supply Chain finance'!$J29:$BQ29)</f>
        <v>0</v>
      </c>
      <c r="AB18" s="9">
        <f ca="1" xml:space="preserve"> SUMIF( Time!$J326:$BQ326, Time!AB$28, 'Supply Chain finance'!$J29:$BQ29)</f>
        <v>0</v>
      </c>
      <c r="AC18" s="9">
        <f ca="1" xml:space="preserve"> SUMIF( Time!$J326:$BQ326, Time!AC$28, 'Supply Chain finance'!$J29:$BQ29)</f>
        <v>0</v>
      </c>
    </row>
    <row r="19" spans="5:29">
      <c r="E19" s="16" t="str">
        <f xml:space="preserve"> 'Invoice finance'!E$21</f>
        <v>Invoice finance drawdown</v>
      </c>
      <c r="F19" s="16">
        <f xml:space="preserve"> 'Invoice finance'!F$21</f>
        <v>0</v>
      </c>
      <c r="G19" s="16" t="str">
        <f xml:space="preserve"> 'Invoice finance'!G$21</f>
        <v>GBP</v>
      </c>
      <c r="H19" s="42">
        <f ca="1" xml:space="preserve"> 'Invoice finance'!H$21</f>
        <v>0</v>
      </c>
      <c r="I19" s="16">
        <f xml:space="preserve"> 'Invoice finance'!I$21</f>
        <v>0</v>
      </c>
      <c r="J19" s="9">
        <f ca="1" xml:space="preserve"> SUMIF( Time!$J326:$BQ326, Time!J$28, 'Invoice finance'!$J21:$BQ21)</f>
        <v>0</v>
      </c>
      <c r="K19" s="9">
        <f ca="1" xml:space="preserve"> SUMIF( Time!$J326:$BQ326, Time!K$28, 'Invoice finance'!$J21:$BQ21)</f>
        <v>0</v>
      </c>
      <c r="L19" s="9">
        <f ca="1" xml:space="preserve"> SUMIF( Time!$J326:$BQ326, Time!L$28, 'Invoice finance'!$J21:$BQ21)</f>
        <v>0</v>
      </c>
      <c r="M19" s="9">
        <f ca="1" xml:space="preserve"> SUMIF( Time!$J326:$BQ326, Time!M$28, 'Invoice finance'!$J21:$BQ21)</f>
        <v>0</v>
      </c>
      <c r="N19" s="9">
        <f ca="1" xml:space="preserve"> SUMIF( Time!$J326:$BQ326, Time!N$28, 'Invoice finance'!$J21:$BQ21)</f>
        <v>0</v>
      </c>
      <c r="O19" s="9">
        <f ca="1" xml:space="preserve"> SUMIF( Time!$J326:$BQ326, Time!O$28, 'Invoice finance'!$J21:$BQ21)</f>
        <v>0</v>
      </c>
      <c r="P19" s="9">
        <f ca="1" xml:space="preserve"> SUMIF( Time!$J326:$BQ326, Time!P$28, 'Invoice finance'!$J21:$BQ21)</f>
        <v>0</v>
      </c>
      <c r="Q19" s="9">
        <f ca="1" xml:space="preserve"> SUMIF( Time!$J326:$BQ326, Time!Q$28, 'Invoice finance'!$J21:$BQ21)</f>
        <v>0</v>
      </c>
      <c r="R19" s="9">
        <f ca="1" xml:space="preserve"> SUMIF( Time!$J326:$BQ326, Time!R$28, 'Invoice finance'!$J21:$BQ21)</f>
        <v>0</v>
      </c>
      <c r="S19" s="9">
        <f ca="1" xml:space="preserve"> SUMIF( Time!$J326:$BQ326, Time!S$28, 'Invoice finance'!$J21:$BQ21)</f>
        <v>0</v>
      </c>
      <c r="T19" s="9">
        <f ca="1" xml:space="preserve"> SUMIF( Time!$J326:$BQ326, Time!T$28, 'Invoice finance'!$J21:$BQ21)</f>
        <v>0</v>
      </c>
      <c r="U19" s="9">
        <f ca="1" xml:space="preserve"> SUMIF( Time!$J326:$BQ326, Time!U$28, 'Invoice finance'!$J21:$BQ21)</f>
        <v>0</v>
      </c>
      <c r="V19" s="9">
        <f ca="1" xml:space="preserve"> SUMIF( Time!$J326:$BQ326, Time!V$28, 'Invoice finance'!$J21:$BQ21)</f>
        <v>0</v>
      </c>
      <c r="W19" s="9">
        <f ca="1" xml:space="preserve"> SUMIF( Time!$J326:$BQ326, Time!W$28, 'Invoice finance'!$J21:$BQ21)</f>
        <v>0</v>
      </c>
      <c r="X19" s="9">
        <f ca="1" xml:space="preserve"> SUMIF( Time!$J326:$BQ326, Time!X$28, 'Invoice finance'!$J21:$BQ21)</f>
        <v>0</v>
      </c>
      <c r="Y19" s="9">
        <f ca="1" xml:space="preserve"> SUMIF( Time!$J326:$BQ326, Time!Y$28, 'Invoice finance'!$J21:$BQ21)</f>
        <v>0</v>
      </c>
      <c r="Z19" s="9">
        <f ca="1" xml:space="preserve"> SUMIF( Time!$J326:$BQ326, Time!Z$28, 'Invoice finance'!$J21:$BQ21)</f>
        <v>0</v>
      </c>
      <c r="AA19" s="9">
        <f ca="1" xml:space="preserve"> SUMIF( Time!$J326:$BQ326, Time!AA$28, 'Invoice finance'!$J21:$BQ21)</f>
        <v>0</v>
      </c>
      <c r="AB19" s="9">
        <f ca="1" xml:space="preserve"> SUMIF( Time!$J326:$BQ326, Time!AB$28, 'Invoice finance'!$J21:$BQ21)</f>
        <v>0</v>
      </c>
      <c r="AC19" s="9">
        <f ca="1" xml:space="preserve"> SUMIF( Time!$J326:$BQ326, Time!AC$28, 'Invoice finance'!$J21:$BQ21)</f>
        <v>0</v>
      </c>
    </row>
    <row r="20" spans="5:29">
      <c r="E20" s="16" t="str">
        <f xml:space="preserve"> 'Invoice finance'!E$28</f>
        <v xml:space="preserve">Invoice finance principal repayment </v>
      </c>
      <c r="F20" s="16">
        <f xml:space="preserve"> 'Invoice finance'!F$28</f>
        <v>0</v>
      </c>
      <c r="G20" s="16" t="str">
        <f xml:space="preserve"> 'Invoice finance'!G$28</f>
        <v>GBP</v>
      </c>
      <c r="H20" s="42">
        <f ca="1" xml:space="preserve"> 'Invoice finance'!H$28</f>
        <v>0</v>
      </c>
      <c r="I20" s="16">
        <f xml:space="preserve"> 'Invoice finance'!I$28</f>
        <v>0</v>
      </c>
      <c r="J20" s="9">
        <f ca="1" xml:space="preserve"> SUMIF( Time!$J326:$BQ326, Time!J$28, 'Invoice finance'!$J28:$BQ28)</f>
        <v>0</v>
      </c>
      <c r="K20" s="9">
        <f ca="1" xml:space="preserve"> SUMIF( Time!$J326:$BQ326, Time!K$28, 'Invoice finance'!$J28:$BQ28)</f>
        <v>0</v>
      </c>
      <c r="L20" s="9">
        <f ca="1" xml:space="preserve"> SUMIF( Time!$J326:$BQ326, Time!L$28, 'Invoice finance'!$J28:$BQ28)</f>
        <v>0</v>
      </c>
      <c r="M20" s="9">
        <f ca="1" xml:space="preserve"> SUMIF( Time!$J326:$BQ326, Time!M$28, 'Invoice finance'!$J28:$BQ28)</f>
        <v>0</v>
      </c>
      <c r="N20" s="9">
        <f ca="1" xml:space="preserve"> SUMIF( Time!$J326:$BQ326, Time!N$28, 'Invoice finance'!$J28:$BQ28)</f>
        <v>0</v>
      </c>
      <c r="O20" s="9">
        <f ca="1" xml:space="preserve"> SUMIF( Time!$J326:$BQ326, Time!O$28, 'Invoice finance'!$J28:$BQ28)</f>
        <v>0</v>
      </c>
      <c r="P20" s="9">
        <f ca="1" xml:space="preserve"> SUMIF( Time!$J326:$BQ326, Time!P$28, 'Invoice finance'!$J28:$BQ28)</f>
        <v>0</v>
      </c>
      <c r="Q20" s="9">
        <f ca="1" xml:space="preserve"> SUMIF( Time!$J326:$BQ326, Time!Q$28, 'Invoice finance'!$J28:$BQ28)</f>
        <v>0</v>
      </c>
      <c r="R20" s="9">
        <f ca="1" xml:space="preserve"> SUMIF( Time!$J326:$BQ326, Time!R$28, 'Invoice finance'!$J28:$BQ28)</f>
        <v>0</v>
      </c>
      <c r="S20" s="9">
        <f ca="1" xml:space="preserve"> SUMIF( Time!$J326:$BQ326, Time!S$28, 'Invoice finance'!$J28:$BQ28)</f>
        <v>0</v>
      </c>
      <c r="T20" s="9">
        <f ca="1" xml:space="preserve"> SUMIF( Time!$J326:$BQ326, Time!T$28, 'Invoice finance'!$J28:$BQ28)</f>
        <v>0</v>
      </c>
      <c r="U20" s="9">
        <f ca="1" xml:space="preserve"> SUMIF( Time!$J326:$BQ326, Time!U$28, 'Invoice finance'!$J28:$BQ28)</f>
        <v>0</v>
      </c>
      <c r="V20" s="9">
        <f ca="1" xml:space="preserve"> SUMIF( Time!$J326:$BQ326, Time!V$28, 'Invoice finance'!$J28:$BQ28)</f>
        <v>0</v>
      </c>
      <c r="W20" s="9">
        <f ca="1" xml:space="preserve"> SUMIF( Time!$J326:$BQ326, Time!W$28, 'Invoice finance'!$J28:$BQ28)</f>
        <v>0</v>
      </c>
      <c r="X20" s="9">
        <f ca="1" xml:space="preserve"> SUMIF( Time!$J326:$BQ326, Time!X$28, 'Invoice finance'!$J28:$BQ28)</f>
        <v>0</v>
      </c>
      <c r="Y20" s="9">
        <f ca="1" xml:space="preserve"> SUMIF( Time!$J326:$BQ326, Time!Y$28, 'Invoice finance'!$J28:$BQ28)</f>
        <v>0</v>
      </c>
      <c r="Z20" s="9">
        <f ca="1" xml:space="preserve"> SUMIF( Time!$J326:$BQ326, Time!Z$28, 'Invoice finance'!$J28:$BQ28)</f>
        <v>0</v>
      </c>
      <c r="AA20" s="9">
        <f ca="1" xml:space="preserve"> SUMIF( Time!$J326:$BQ326, Time!AA$28, 'Invoice finance'!$J28:$BQ28)</f>
        <v>0</v>
      </c>
      <c r="AB20" s="9">
        <f ca="1" xml:space="preserve"> SUMIF( Time!$J326:$BQ326, Time!AB$28, 'Invoice finance'!$J28:$BQ28)</f>
        <v>0</v>
      </c>
      <c r="AC20" s="9">
        <f ca="1" xml:space="preserve"> SUMIF( Time!$J326:$BQ326, Time!AC$28, 'Invoice finance'!$J28:$BQ28)</f>
        <v>0</v>
      </c>
    </row>
    <row r="21" spans="5:29">
      <c r="E21" s="16" t="str">
        <f xml:space="preserve"> 'Asset Finance'!E$22</f>
        <v>Asset Finance drawdown</v>
      </c>
      <c r="F21" s="16">
        <f xml:space="preserve"> 'Asset Finance'!F$22</f>
        <v>0</v>
      </c>
      <c r="G21" s="16" t="str">
        <f xml:space="preserve"> 'Asset Finance'!G$22</f>
        <v>GBP</v>
      </c>
      <c r="H21" s="42">
        <f ca="1" xml:space="preserve"> 'Asset Finance'!H$22</f>
        <v>5775000</v>
      </c>
      <c r="I21" s="16">
        <f xml:space="preserve"> 'Asset Finance'!I$22</f>
        <v>0</v>
      </c>
      <c r="J21" s="9">
        <f ca="1" xml:space="preserve"> SUMIF( Time!$J326:$BQ326, Time!J$28, 'Asset Finance'!$J22:$BQ22)</f>
        <v>175000</v>
      </c>
      <c r="K21" s="9">
        <f ca="1" xml:space="preserve"> SUMIF( Time!$J326:$BQ326, Time!K$28, 'Asset Finance'!$J22:$BQ22)</f>
        <v>0</v>
      </c>
      <c r="L21" s="9">
        <f ca="1" xml:space="preserve"> SUMIF( Time!$J326:$BQ326, Time!L$28, 'Asset Finance'!$J22:$BQ22)</f>
        <v>175000</v>
      </c>
      <c r="M21" s="9">
        <f ca="1" xml:space="preserve"> SUMIF( Time!$J326:$BQ326, Time!M$28, 'Asset Finance'!$J22:$BQ22)</f>
        <v>0</v>
      </c>
      <c r="N21" s="9">
        <f ca="1" xml:space="preserve"> SUMIF( Time!$J326:$BQ326, Time!N$28, 'Asset Finance'!$J22:$BQ22)</f>
        <v>175000</v>
      </c>
      <c r="O21" s="9">
        <f ca="1" xml:space="preserve"> SUMIF( Time!$J326:$BQ326, Time!O$28, 'Asset Finance'!$J22:$BQ22)</f>
        <v>175000</v>
      </c>
      <c r="P21" s="9">
        <f ca="1" xml:space="preserve"> SUMIF( Time!$J326:$BQ326, Time!P$28, 'Asset Finance'!$J22:$BQ22)</f>
        <v>175000</v>
      </c>
      <c r="Q21" s="9">
        <f ca="1" xml:space="preserve"> SUMIF( Time!$J326:$BQ326, Time!Q$28, 'Asset Finance'!$J22:$BQ22)</f>
        <v>175000</v>
      </c>
      <c r="R21" s="9">
        <f ca="1" xml:space="preserve"> SUMIF( Time!$J326:$BQ326, Time!R$28, 'Asset Finance'!$J22:$BQ22)</f>
        <v>175000</v>
      </c>
      <c r="S21" s="9">
        <f ca="1" xml:space="preserve"> SUMIF( Time!$J326:$BQ326, Time!S$28, 'Asset Finance'!$J22:$BQ22)</f>
        <v>175000</v>
      </c>
      <c r="T21" s="9">
        <f ca="1" xml:space="preserve"> SUMIF( Time!$J326:$BQ326, Time!T$28, 'Asset Finance'!$J22:$BQ22)</f>
        <v>175000</v>
      </c>
      <c r="U21" s="9">
        <f ca="1" xml:space="preserve"> SUMIF( Time!$J326:$BQ326, Time!U$28, 'Asset Finance'!$J22:$BQ22)</f>
        <v>350000</v>
      </c>
      <c r="V21" s="9">
        <f ca="1" xml:space="preserve"> SUMIF( Time!$J326:$BQ326, Time!V$28, 'Asset Finance'!$J22:$BQ22)</f>
        <v>350000</v>
      </c>
      <c r="W21" s="9">
        <f ca="1" xml:space="preserve"> SUMIF( Time!$J326:$BQ326, Time!W$28, 'Asset Finance'!$J22:$BQ22)</f>
        <v>350000</v>
      </c>
      <c r="X21" s="9">
        <f ca="1" xml:space="preserve"> SUMIF( Time!$J326:$BQ326, Time!X$28, 'Asset Finance'!$J22:$BQ22)</f>
        <v>525000</v>
      </c>
      <c r="Y21" s="9">
        <f ca="1" xml:space="preserve"> SUMIF( Time!$J326:$BQ326, Time!Y$28, 'Asset Finance'!$J22:$BQ22)</f>
        <v>525000</v>
      </c>
      <c r="Z21" s="9">
        <f ca="1" xml:space="preserve"> SUMIF( Time!$J326:$BQ326, Time!Z$28, 'Asset Finance'!$J22:$BQ22)</f>
        <v>525000</v>
      </c>
      <c r="AA21" s="9">
        <f ca="1" xml:space="preserve"> SUMIF( Time!$J326:$BQ326, Time!AA$28, 'Asset Finance'!$J22:$BQ22)</f>
        <v>525000</v>
      </c>
      <c r="AB21" s="9">
        <f ca="1" xml:space="preserve"> SUMIF( Time!$J326:$BQ326, Time!AB$28, 'Asset Finance'!$J22:$BQ22)</f>
        <v>525000</v>
      </c>
      <c r="AC21" s="9">
        <f ca="1" xml:space="preserve"> SUMIF( Time!$J326:$BQ326, Time!AC$28, 'Asset Finance'!$J22:$BQ22)</f>
        <v>525000</v>
      </c>
    </row>
    <row r="22" spans="5:29">
      <c r="E22" s="16" t="str">
        <f xml:space="preserve"> 'Asset Finance'!E$29</f>
        <v xml:space="preserve">Asset Finance principal repayment </v>
      </c>
      <c r="F22" s="16">
        <f xml:space="preserve"> 'Asset Finance'!F$29</f>
        <v>0</v>
      </c>
      <c r="G22" s="16" t="str">
        <f xml:space="preserve"> 'Asset Finance'!G$29</f>
        <v>GBP</v>
      </c>
      <c r="H22" s="42">
        <f ca="1" xml:space="preserve"> 'Asset Finance'!H$29</f>
        <v>-2816527.4248262797</v>
      </c>
      <c r="I22" s="16">
        <f xml:space="preserve"> 'Asset Finance'!I$29</f>
        <v>0</v>
      </c>
      <c r="J22" s="9">
        <f ca="1" xml:space="preserve"> SUMIF( Time!$J326:$BQ326, Time!J$28, 'Asset Finance'!$J29:$BQ29)</f>
        <v>-14279.513888888891</v>
      </c>
      <c r="K22" s="9">
        <f ca="1" xml:space="preserve"> SUMIF( Time!$J326:$BQ326, Time!K$28, 'Asset Finance'!$J29:$BQ29)</f>
        <v>-19264.601091298548</v>
      </c>
      <c r="L22" s="9">
        <f ca="1" xml:space="preserve"> SUMIF( Time!$J326:$BQ326, Time!L$28, 'Asset Finance'!$J29:$BQ29)</f>
        <v>-31234.982745792062</v>
      </c>
      <c r="M22" s="9">
        <f ca="1" xml:space="preserve"> SUMIF( Time!$J326:$BQ326, Time!M$28, 'Asset Finance'!$J29:$BQ29)</f>
        <v>-34187.719550640344</v>
      </c>
      <c r="N22" s="9">
        <f ca="1" xml:space="preserve"> SUMIF( Time!$J326:$BQ326, Time!N$28, 'Asset Finance'!$J29:$BQ29)</f>
        <v>-44369.356465034798</v>
      </c>
      <c r="O22" s="9">
        <f ca="1" xml:space="preserve"> SUMIF( Time!$J326:$BQ326, Time!O$28, 'Asset Finance'!$J29:$BQ29)</f>
        <v>-53039.421304259151</v>
      </c>
      <c r="P22" s="9">
        <f ca="1" xml:space="preserve"> SUMIF( Time!$J326:$BQ326, Time!P$28, 'Asset Finance'!$J29:$BQ29)</f>
        <v>-60366.438007011078</v>
      </c>
      <c r="Q22" s="9">
        <f ca="1" xml:space="preserve"> SUMIF( Time!$J326:$BQ326, Time!Q$28, 'Asset Finance'!$J29:$BQ29)</f>
        <v>-74106.875812449653</v>
      </c>
      <c r="R22" s="9">
        <f ca="1" xml:space="preserve"> SUMIF( Time!$J326:$BQ326, Time!R$28, 'Asset Finance'!$J29:$BQ29)</f>
        <v>-93491.996383830643</v>
      </c>
      <c r="S22" s="9">
        <f ca="1" xml:space="preserve"> SUMIF( Time!$J326:$BQ326, Time!S$28, 'Asset Finance'!$J29:$BQ29)</f>
        <v>-103261.87210663102</v>
      </c>
      <c r="T22" s="9">
        <f ca="1" xml:space="preserve"> SUMIF( Time!$J326:$BQ326, Time!T$28, 'Asset Finance'!$J29:$BQ29)</f>
        <v>-111860.69140056276</v>
      </c>
      <c r="U22" s="9">
        <f ca="1" xml:space="preserve"> SUMIF( Time!$J326:$BQ326, Time!U$28, 'Asset Finance'!$J29:$BQ29)</f>
        <v>-126416.66900105958</v>
      </c>
      <c r="V22" s="9">
        <f ca="1" xml:space="preserve"> SUMIF( Time!$J326:$BQ326, Time!V$28, 'Asset Finance'!$J29:$BQ29)</f>
        <v>-153216.26242302457</v>
      </c>
      <c r="W22" s="9">
        <f ca="1" xml:space="preserve"> SUMIF( Time!$J326:$BQ326, Time!W$28, 'Asset Finance'!$J29:$BQ29)</f>
        <v>-176803.54925498698</v>
      </c>
      <c r="X22" s="9">
        <f ca="1" xml:space="preserve"> SUMIF( Time!$J326:$BQ326, Time!X$28, 'Asset Finance'!$J29:$BQ29)</f>
        <v>-204855.23609558929</v>
      </c>
      <c r="Y22" s="9">
        <f ca="1" xml:space="preserve"> SUMIF( Time!$J326:$BQ326, Time!Y$28, 'Asset Finance'!$J29:$BQ29)</f>
        <v>-243229.0695583793</v>
      </c>
      <c r="Z22" s="9">
        <f ca="1" xml:space="preserve"> SUMIF( Time!$J326:$BQ326, Time!Z$28, 'Asset Finance'!$J29:$BQ29)</f>
        <v>-277003.26166932879</v>
      </c>
      <c r="AA22" s="9">
        <f ca="1" xml:space="preserve"> SUMIF( Time!$J326:$BQ326, Time!AA$28, 'Asset Finance'!$J29:$BQ29)</f>
        <v>-306729.14386072935</v>
      </c>
      <c r="AB22" s="9">
        <f ca="1" xml:space="preserve"> SUMIF( Time!$J326:$BQ326, Time!AB$28, 'Asset Finance'!$J29:$BQ29)</f>
        <v>-332891.96277152013</v>
      </c>
      <c r="AC22" s="9">
        <f ca="1" xml:space="preserve"> SUMIF( Time!$J326:$BQ326, Time!AC$28, 'Asset Finance'!$J29:$BQ29)</f>
        <v>-355918.80143526371</v>
      </c>
    </row>
    <row r="23" spans="5:29">
      <c r="E23" s="16" t="str">
        <f xml:space="preserve"> 'Supply Chain finance'!E$48</f>
        <v xml:space="preserve">Supply Chain Finance interest paid </v>
      </c>
      <c r="F23" s="16">
        <f xml:space="preserve"> 'Supply Chain finance'!F$48</f>
        <v>0</v>
      </c>
      <c r="G23" s="16" t="str">
        <f xml:space="preserve"> 'Supply Chain finance'!G$48</f>
        <v>GBP</v>
      </c>
      <c r="H23" s="42">
        <f ca="1" xml:space="preserve"> 'Supply Chain finance'!H$48</f>
        <v>0</v>
      </c>
      <c r="I23" s="16">
        <f xml:space="preserve"> 'Supply Chain finance'!I$48</f>
        <v>0</v>
      </c>
      <c r="J23" s="9">
        <f ca="1" xml:space="preserve"> SUMIF( Time!$J326:$BQ326, Time!J$28, 'Supply Chain finance'!$J48:$BQ48)</f>
        <v>0</v>
      </c>
      <c r="K23" s="9">
        <f ca="1" xml:space="preserve"> SUMIF( Time!$J326:$BQ326, Time!K$28, 'Supply Chain finance'!$J48:$BQ48)</f>
        <v>0</v>
      </c>
      <c r="L23" s="9">
        <f ca="1" xml:space="preserve"> SUMIF( Time!$J326:$BQ326, Time!L$28, 'Supply Chain finance'!$J48:$BQ48)</f>
        <v>0</v>
      </c>
      <c r="M23" s="9">
        <f ca="1" xml:space="preserve"> SUMIF( Time!$J326:$BQ326, Time!M$28, 'Supply Chain finance'!$J48:$BQ48)</f>
        <v>0</v>
      </c>
      <c r="N23" s="9">
        <f ca="1" xml:space="preserve"> SUMIF( Time!$J326:$BQ326, Time!N$28, 'Supply Chain finance'!$J48:$BQ48)</f>
        <v>0</v>
      </c>
      <c r="O23" s="9">
        <f ca="1" xml:space="preserve"> SUMIF( Time!$J326:$BQ326, Time!O$28, 'Supply Chain finance'!$J48:$BQ48)</f>
        <v>0</v>
      </c>
      <c r="P23" s="9">
        <f ca="1" xml:space="preserve"> SUMIF( Time!$J326:$BQ326, Time!P$28, 'Supply Chain finance'!$J48:$BQ48)</f>
        <v>0</v>
      </c>
      <c r="Q23" s="9">
        <f ca="1" xml:space="preserve"> SUMIF( Time!$J326:$BQ326, Time!Q$28, 'Supply Chain finance'!$J48:$BQ48)</f>
        <v>0</v>
      </c>
      <c r="R23" s="9">
        <f ca="1" xml:space="preserve"> SUMIF( Time!$J326:$BQ326, Time!R$28, 'Supply Chain finance'!$J48:$BQ48)</f>
        <v>0</v>
      </c>
      <c r="S23" s="9">
        <f ca="1" xml:space="preserve"> SUMIF( Time!$J326:$BQ326, Time!S$28, 'Supply Chain finance'!$J48:$BQ48)</f>
        <v>0</v>
      </c>
      <c r="T23" s="9">
        <f ca="1" xml:space="preserve"> SUMIF( Time!$J326:$BQ326, Time!T$28, 'Supply Chain finance'!$J48:$BQ48)</f>
        <v>0</v>
      </c>
      <c r="U23" s="9">
        <f ca="1" xml:space="preserve"> SUMIF( Time!$J326:$BQ326, Time!U$28, 'Supply Chain finance'!$J48:$BQ48)</f>
        <v>0</v>
      </c>
      <c r="V23" s="9">
        <f ca="1" xml:space="preserve"> SUMIF( Time!$J326:$BQ326, Time!V$28, 'Supply Chain finance'!$J48:$BQ48)</f>
        <v>0</v>
      </c>
      <c r="W23" s="9">
        <f ca="1" xml:space="preserve"> SUMIF( Time!$J326:$BQ326, Time!W$28, 'Supply Chain finance'!$J48:$BQ48)</f>
        <v>0</v>
      </c>
      <c r="X23" s="9">
        <f ca="1" xml:space="preserve"> SUMIF( Time!$J326:$BQ326, Time!X$28, 'Supply Chain finance'!$J48:$BQ48)</f>
        <v>0</v>
      </c>
      <c r="Y23" s="9">
        <f ca="1" xml:space="preserve"> SUMIF( Time!$J326:$BQ326, Time!Y$28, 'Supply Chain finance'!$J48:$BQ48)</f>
        <v>0</v>
      </c>
      <c r="Z23" s="9">
        <f ca="1" xml:space="preserve"> SUMIF( Time!$J326:$BQ326, Time!Z$28, 'Supply Chain finance'!$J48:$BQ48)</f>
        <v>0</v>
      </c>
      <c r="AA23" s="9">
        <f ca="1" xml:space="preserve"> SUMIF( Time!$J326:$BQ326, Time!AA$28, 'Supply Chain finance'!$J48:$BQ48)</f>
        <v>0</v>
      </c>
      <c r="AB23" s="9">
        <f ca="1" xml:space="preserve"> SUMIF( Time!$J326:$BQ326, Time!AB$28, 'Supply Chain finance'!$J48:$BQ48)</f>
        <v>0</v>
      </c>
      <c r="AC23" s="9">
        <f ca="1" xml:space="preserve"> SUMIF( Time!$J326:$BQ326, Time!AC$28, 'Supply Chain finance'!$J48:$BQ48)</f>
        <v>0</v>
      </c>
    </row>
    <row r="24" spans="5:29">
      <c r="E24" s="16" t="str">
        <f xml:space="preserve"> 'Invoice finance'!E$47</f>
        <v xml:space="preserve">Invoice finance interest paid </v>
      </c>
      <c r="F24" s="16">
        <f xml:space="preserve"> 'Invoice finance'!F$47</f>
        <v>0</v>
      </c>
      <c r="G24" s="16" t="str">
        <f xml:space="preserve"> 'Invoice finance'!G$47</f>
        <v>GBP</v>
      </c>
      <c r="H24" s="42">
        <f ca="1" xml:space="preserve"> 'Invoice finance'!H$47</f>
        <v>0</v>
      </c>
      <c r="I24" s="16">
        <f xml:space="preserve"> 'Invoice finance'!I$47</f>
        <v>0</v>
      </c>
      <c r="J24" s="9">
        <f ca="1" xml:space="preserve"> SUMIF( Time!$J326:$BQ326, Time!J$28, 'Invoice finance'!$J47:$BQ47)</f>
        <v>0</v>
      </c>
      <c r="K24" s="9">
        <f ca="1" xml:space="preserve"> SUMIF( Time!$J326:$BQ326, Time!K$28, 'Invoice finance'!$J47:$BQ47)</f>
        <v>0</v>
      </c>
      <c r="L24" s="9">
        <f ca="1" xml:space="preserve"> SUMIF( Time!$J326:$BQ326, Time!L$28, 'Invoice finance'!$J47:$BQ47)</f>
        <v>0</v>
      </c>
      <c r="M24" s="9">
        <f ca="1" xml:space="preserve"> SUMIF( Time!$J326:$BQ326, Time!M$28, 'Invoice finance'!$J47:$BQ47)</f>
        <v>0</v>
      </c>
      <c r="N24" s="9">
        <f ca="1" xml:space="preserve"> SUMIF( Time!$J326:$BQ326, Time!N$28, 'Invoice finance'!$J47:$BQ47)</f>
        <v>0</v>
      </c>
      <c r="O24" s="9">
        <f ca="1" xml:space="preserve"> SUMIF( Time!$J326:$BQ326, Time!O$28, 'Invoice finance'!$J47:$BQ47)</f>
        <v>0</v>
      </c>
      <c r="P24" s="9">
        <f ca="1" xml:space="preserve"> SUMIF( Time!$J326:$BQ326, Time!P$28, 'Invoice finance'!$J47:$BQ47)</f>
        <v>0</v>
      </c>
      <c r="Q24" s="9">
        <f ca="1" xml:space="preserve"> SUMIF( Time!$J326:$BQ326, Time!Q$28, 'Invoice finance'!$J47:$BQ47)</f>
        <v>0</v>
      </c>
      <c r="R24" s="9">
        <f ca="1" xml:space="preserve"> SUMIF( Time!$J326:$BQ326, Time!R$28, 'Invoice finance'!$J47:$BQ47)</f>
        <v>0</v>
      </c>
      <c r="S24" s="9">
        <f ca="1" xml:space="preserve"> SUMIF( Time!$J326:$BQ326, Time!S$28, 'Invoice finance'!$J47:$BQ47)</f>
        <v>0</v>
      </c>
      <c r="T24" s="9">
        <f ca="1" xml:space="preserve"> SUMIF( Time!$J326:$BQ326, Time!T$28, 'Invoice finance'!$J47:$BQ47)</f>
        <v>0</v>
      </c>
      <c r="U24" s="9">
        <f ca="1" xml:space="preserve"> SUMIF( Time!$J326:$BQ326, Time!U$28, 'Invoice finance'!$J47:$BQ47)</f>
        <v>0</v>
      </c>
      <c r="V24" s="9">
        <f ca="1" xml:space="preserve"> SUMIF( Time!$J326:$BQ326, Time!V$28, 'Invoice finance'!$J47:$BQ47)</f>
        <v>0</v>
      </c>
      <c r="W24" s="9">
        <f ca="1" xml:space="preserve"> SUMIF( Time!$J326:$BQ326, Time!W$28, 'Invoice finance'!$J47:$BQ47)</f>
        <v>0</v>
      </c>
      <c r="X24" s="9">
        <f ca="1" xml:space="preserve"> SUMIF( Time!$J326:$BQ326, Time!X$28, 'Invoice finance'!$J47:$BQ47)</f>
        <v>0</v>
      </c>
      <c r="Y24" s="9">
        <f ca="1" xml:space="preserve"> SUMIF( Time!$J326:$BQ326, Time!Y$28, 'Invoice finance'!$J47:$BQ47)</f>
        <v>0</v>
      </c>
      <c r="Z24" s="9">
        <f ca="1" xml:space="preserve"> SUMIF( Time!$J326:$BQ326, Time!Z$28, 'Invoice finance'!$J47:$BQ47)</f>
        <v>0</v>
      </c>
      <c r="AA24" s="9">
        <f ca="1" xml:space="preserve"> SUMIF( Time!$J326:$BQ326, Time!AA$28, 'Invoice finance'!$J47:$BQ47)</f>
        <v>0</v>
      </c>
      <c r="AB24" s="9">
        <f ca="1" xml:space="preserve"> SUMIF( Time!$J326:$BQ326, Time!AB$28, 'Invoice finance'!$J47:$BQ47)</f>
        <v>0</v>
      </c>
      <c r="AC24" s="9">
        <f ca="1" xml:space="preserve"> SUMIF( Time!$J326:$BQ326, Time!AC$28, 'Invoice finance'!$J47:$BQ47)</f>
        <v>0</v>
      </c>
    </row>
    <row r="25" spans="5:29">
      <c r="E25" s="16" t="str">
        <f xml:space="preserve"> 'Asset Finance'!E$48</f>
        <v xml:space="preserve">Asset Finance interest paid </v>
      </c>
      <c r="F25" s="16">
        <f xml:space="preserve"> 'Asset Finance'!F$48</f>
        <v>0</v>
      </c>
      <c r="G25" s="16" t="str">
        <f xml:space="preserve"> 'Asset Finance'!G$48</f>
        <v>GBP</v>
      </c>
      <c r="H25" s="42">
        <f ca="1" xml:space="preserve"> 'Asset Finance'!H$48</f>
        <v>-450644.387972205</v>
      </c>
      <c r="I25" s="16">
        <f xml:space="preserve"> 'Asset Finance'!I$48</f>
        <v>0</v>
      </c>
      <c r="J25" s="9">
        <f ca="1" xml:space="preserve"> SUMIF( Time!$J326:$BQ326, Time!J$28, 'Asset Finance'!$J48:$BQ48)</f>
        <v>-2284.7222222222226</v>
      </c>
      <c r="K25" s="9">
        <f ca="1" xml:space="preserve"> SUMIF( Time!$J326:$BQ326, Time!K$28, 'Asset Finance'!$J48:$BQ48)</f>
        <v>-3082.336174607768</v>
      </c>
      <c r="L25" s="9">
        <f ca="1" xml:space="preserve"> SUMIF( Time!$J326:$BQ326, Time!L$28, 'Asset Finance'!$J48:$BQ48)</f>
        <v>-4997.5972393267302</v>
      </c>
      <c r="M25" s="9">
        <f ca="1" xml:space="preserve"> SUMIF( Time!$J326:$BQ326, Time!M$28, 'Asset Finance'!$J48:$BQ48)</f>
        <v>-5470.035128102455</v>
      </c>
      <c r="N25" s="9">
        <f ca="1" xml:space="preserve"> SUMIF( Time!$J326:$BQ326, Time!N$28, 'Asset Finance'!$J48:$BQ48)</f>
        <v>-7099.0970344055686</v>
      </c>
      <c r="O25" s="9">
        <f ca="1" xml:space="preserve"> SUMIF( Time!$J326:$BQ326, Time!O$28, 'Asset Finance'!$J48:$BQ48)</f>
        <v>-8486.3074086814649</v>
      </c>
      <c r="P25" s="9">
        <f ca="1" xml:space="preserve"> SUMIF( Time!$J326:$BQ326, Time!P$28, 'Asset Finance'!$J48:$BQ48)</f>
        <v>-9658.6300811217734</v>
      </c>
      <c r="Q25" s="9">
        <f ca="1" xml:space="preserve"> SUMIF( Time!$J326:$BQ326, Time!Q$28, 'Asset Finance'!$J48:$BQ48)</f>
        <v>-11857.100129991943</v>
      </c>
      <c r="R25" s="9">
        <f ca="1" xml:space="preserve"> SUMIF( Time!$J326:$BQ326, Time!R$28, 'Asset Finance'!$J48:$BQ48)</f>
        <v>-14958.719421412905</v>
      </c>
      <c r="S25" s="9">
        <f ca="1" xml:space="preserve"> SUMIF( Time!$J326:$BQ326, Time!S$28, 'Asset Finance'!$J48:$BQ48)</f>
        <v>-16521.899537060966</v>
      </c>
      <c r="T25" s="9">
        <f ca="1" xml:space="preserve"> SUMIF( Time!$J326:$BQ326, Time!T$28, 'Asset Finance'!$J48:$BQ48)</f>
        <v>-17897.710624090047</v>
      </c>
      <c r="U25" s="9">
        <f ca="1" xml:space="preserve"> SUMIF( Time!$J326:$BQ326, Time!U$28, 'Asset Finance'!$J48:$BQ48)</f>
        <v>-20226.66704016953</v>
      </c>
      <c r="V25" s="9">
        <f ca="1" xml:space="preserve"> SUMIF( Time!$J326:$BQ326, Time!V$28, 'Asset Finance'!$J48:$BQ48)</f>
        <v>-24514.601987683935</v>
      </c>
      <c r="W25" s="9">
        <f ca="1" xml:space="preserve"> SUMIF( Time!$J326:$BQ326, Time!W$28, 'Asset Finance'!$J48:$BQ48)</f>
        <v>-28288.56788079792</v>
      </c>
      <c r="X25" s="9">
        <f ca="1" xml:space="preserve"> SUMIF( Time!$J326:$BQ326, Time!X$28, 'Asset Finance'!$J48:$BQ48)</f>
        <v>-32776.837775294291</v>
      </c>
      <c r="Y25" s="9">
        <f ca="1" xml:space="preserve"> SUMIF( Time!$J326:$BQ326, Time!Y$28, 'Asset Finance'!$J48:$BQ48)</f>
        <v>-38916.651129340695</v>
      </c>
      <c r="Z25" s="9">
        <f ca="1" xml:space="preserve"> SUMIF( Time!$J326:$BQ326, Time!Z$28, 'Asset Finance'!$J48:$BQ48)</f>
        <v>-44320.521867092612</v>
      </c>
      <c r="AA25" s="9">
        <f ca="1" xml:space="preserve"> SUMIF( Time!$J326:$BQ326, Time!AA$28, 'Asset Finance'!$J48:$BQ48)</f>
        <v>-49076.663017716703</v>
      </c>
      <c r="AB25" s="9">
        <f ca="1" xml:space="preserve"> SUMIF( Time!$J326:$BQ326, Time!AB$28, 'Asset Finance'!$J48:$BQ48)</f>
        <v>-53262.714043443222</v>
      </c>
      <c r="AC25" s="9">
        <f ca="1" xml:space="preserve"> SUMIF( Time!$J326:$BQ326, Time!AC$28, 'Asset Finance'!$J48:$BQ48)</f>
        <v>-56947.008229642204</v>
      </c>
    </row>
    <row r="26" spans="5:29">
      <c r="E26" s="12" t="s">
        <v>178</v>
      </c>
      <c r="F26" s="32"/>
      <c r="G26" s="12" t="s">
        <v>252</v>
      </c>
      <c r="H26" s="54">
        <f ca="1" xml:space="preserve"> SUM( J26:BQ26 )</f>
        <v>34145444.452532314</v>
      </c>
      <c r="I26" s="32"/>
      <c r="J26" s="12">
        <f ca="1" xml:space="preserve"> SUMIF( Time!$J326:$BQ326, Time!J$28, Cashflow!$J26:$BQ26)</f>
        <v>-22293.538857459123</v>
      </c>
      <c r="K26" s="12">
        <f ca="1" xml:space="preserve"> SUMIF( Time!$J326:$BQ326, Time!K$28, Cashflow!$J26:$BQ26)</f>
        <v>-188189.62598192558</v>
      </c>
      <c r="L26" s="12">
        <f ca="1" xml:space="preserve"> SUMIF( Time!$J326:$BQ326, Time!L$28, Cashflow!$J26:$BQ26)</f>
        <v>-321017.59150447522</v>
      </c>
      <c r="M26" s="12">
        <f ca="1" xml:space="preserve"> SUMIF( Time!$J326:$BQ326, Time!M$28, Cashflow!$J26:$BQ26)</f>
        <v>617188.06346392026</v>
      </c>
      <c r="N26" s="12">
        <f ca="1" xml:space="preserve"> SUMIF( Time!$J326:$BQ326, Time!N$28, Cashflow!$J26:$BQ26)</f>
        <v>-363104.98956856481</v>
      </c>
      <c r="O26" s="12">
        <f ca="1" xml:space="preserve"> SUMIF( Time!$J326:$BQ326, Time!O$28, Cashflow!$J26:$BQ26)</f>
        <v>736189.60177950247</v>
      </c>
      <c r="P26" s="12">
        <f ca="1" xml:space="preserve"> SUMIF( Time!$J326:$BQ326, Time!P$28, Cashflow!$J26:$BQ26)</f>
        <v>-580704.62573971669</v>
      </c>
      <c r="Q26" s="12">
        <f ca="1" xml:space="preserve"> SUMIF( Time!$J326:$BQ326, Time!Q$28, Cashflow!$J26:$BQ26)</f>
        <v>1391991.8500628895</v>
      </c>
      <c r="R26" s="12">
        <f ca="1" xml:space="preserve"> SUMIF( Time!$J326:$BQ326, Time!R$28, Cashflow!$J26:$BQ26)</f>
        <v>223756.86620730802</v>
      </c>
      <c r="S26" s="12">
        <f ca="1" xml:space="preserve"> SUMIF( Time!$J326:$BQ326, Time!S$28, Cashflow!$J26:$BQ26)</f>
        <v>1413328.585829719</v>
      </c>
      <c r="T26" s="12">
        <f ca="1" xml:space="preserve"> SUMIF( Time!$J326:$BQ326, Time!T$28, Cashflow!$J26:$BQ26)</f>
        <v>664450.38131969271</v>
      </c>
      <c r="U26" s="12">
        <f ca="1" xml:space="preserve"> SUMIF( Time!$J326:$BQ326, Time!U$28, Cashflow!$J26:$BQ26)</f>
        <v>1846367.1335170201</v>
      </c>
      <c r="V26" s="12">
        <f ca="1" xml:space="preserve"> SUMIF( Time!$J326:$BQ326, Time!V$28, Cashflow!$J26:$BQ26)</f>
        <v>1758579.777357914</v>
      </c>
      <c r="W26" s="12">
        <f ca="1" xml:space="preserve"> SUMIF( Time!$J326:$BQ326, Time!W$28, Cashflow!$J26:$BQ26)</f>
        <v>1188351.6657202407</v>
      </c>
      <c r="X26" s="12">
        <f ca="1" xml:space="preserve"> SUMIF( Time!$J326:$BQ326, Time!X$28, Cashflow!$J26:$BQ26)</f>
        <v>3210734.0709217014</v>
      </c>
      <c r="Y26" s="12">
        <f ca="1" xml:space="preserve"> SUMIF( Time!$J326:$BQ326, Time!Y$28, Cashflow!$J26:$BQ26)</f>
        <v>3409162.775194854</v>
      </c>
      <c r="Z26" s="12">
        <f ca="1" xml:space="preserve"> SUMIF( Time!$J326:$BQ326, Time!Z$28, Cashflow!$J26:$BQ26)</f>
        <v>3484184.86236188</v>
      </c>
      <c r="AA26" s="12">
        <f ca="1" xml:space="preserve"> SUMIF( Time!$J326:$BQ326, Time!AA$28, Cashflow!$J26:$BQ26)</f>
        <v>2879086.4325095662</v>
      </c>
      <c r="AB26" s="12">
        <f ca="1" xml:space="preserve"> SUMIF( Time!$J326:$BQ326, Time!AB$28, Cashflow!$J26:$BQ26)</f>
        <v>6120919.4101739237</v>
      </c>
      <c r="AC26" s="12">
        <f ca="1" xml:space="preserve"> SUMIF( Time!$J326:$BQ326, Time!AC$28, Cashflow!$J26:$BQ26)</f>
        <v>6676463.3477643225</v>
      </c>
    </row>
    <row r="28" spans="5:29">
      <c r="E28" s="16" t="str">
        <f xml:space="preserve"> InpS!E$11</f>
        <v>New share capital issued</v>
      </c>
      <c r="F28" s="16">
        <f xml:space="preserve"> InpS!F$11</f>
        <v>0</v>
      </c>
      <c r="G28" s="16" t="str">
        <f xml:space="preserve"> InpS!G$11</f>
        <v>GBP</v>
      </c>
      <c r="H28" s="42">
        <f xml:space="preserve"> InpS!H$11</f>
        <v>0</v>
      </c>
      <c r="I28" s="16">
        <f xml:space="preserve"> InpS!I$11</f>
        <v>0</v>
      </c>
      <c r="J28" s="9">
        <f xml:space="preserve"> SUMIF( Time!$J326:$BQ326, Time!J$28, InpS!$J11:$BQ11)</f>
        <v>0</v>
      </c>
      <c r="K28" s="9">
        <f xml:space="preserve"> SUMIF( Time!$J326:$BQ326, Time!K$28, InpS!$J11:$BQ11)</f>
        <v>0</v>
      </c>
      <c r="L28" s="9">
        <f xml:space="preserve"> SUMIF( Time!$J326:$BQ326, Time!L$28, InpS!$J11:$BQ11)</f>
        <v>0</v>
      </c>
      <c r="M28" s="9">
        <f xml:space="preserve"> SUMIF( Time!$J326:$BQ326, Time!M$28, InpS!$J11:$BQ11)</f>
        <v>0</v>
      </c>
      <c r="N28" s="9">
        <f xml:space="preserve"> SUMIF( Time!$J326:$BQ326, Time!N$28, InpS!$J11:$BQ11)</f>
        <v>0</v>
      </c>
      <c r="O28" s="9">
        <f xml:space="preserve"> SUMIF( Time!$J326:$BQ326, Time!O$28, InpS!$J11:$BQ11)</f>
        <v>0</v>
      </c>
      <c r="P28" s="9">
        <f xml:space="preserve"> SUMIF( Time!$J326:$BQ326, Time!P$28, InpS!$J11:$BQ11)</f>
        <v>0</v>
      </c>
      <c r="Q28" s="9">
        <f xml:space="preserve"> SUMIF( Time!$J326:$BQ326, Time!Q$28, InpS!$J11:$BQ11)</f>
        <v>0</v>
      </c>
      <c r="R28" s="9">
        <f xml:space="preserve"> SUMIF( Time!$J326:$BQ326, Time!R$28, InpS!$J11:$BQ11)</f>
        <v>0</v>
      </c>
      <c r="S28" s="9">
        <f xml:space="preserve"> SUMIF( Time!$J326:$BQ326, Time!S$28, InpS!$J11:$BQ11)</f>
        <v>0</v>
      </c>
      <c r="T28" s="9">
        <f xml:space="preserve"> SUMIF( Time!$J326:$BQ326, Time!T$28, InpS!$J11:$BQ11)</f>
        <v>0</v>
      </c>
      <c r="U28" s="9">
        <f xml:space="preserve"> SUMIF( Time!$J326:$BQ326, Time!U$28, InpS!$J11:$BQ11)</f>
        <v>0</v>
      </c>
      <c r="V28" s="9">
        <f xml:space="preserve"> SUMIF( Time!$J326:$BQ326, Time!V$28, InpS!$J11:$BQ11)</f>
        <v>0</v>
      </c>
      <c r="W28" s="9">
        <f xml:space="preserve"> SUMIF( Time!$J326:$BQ326, Time!W$28, InpS!$J11:$BQ11)</f>
        <v>0</v>
      </c>
      <c r="X28" s="9">
        <f xml:space="preserve"> SUMIF( Time!$J326:$BQ326, Time!X$28, InpS!$J11:$BQ11)</f>
        <v>0</v>
      </c>
      <c r="Y28" s="9">
        <f xml:space="preserve"> SUMIF( Time!$J326:$BQ326, Time!Y$28, InpS!$J11:$BQ11)</f>
        <v>0</v>
      </c>
      <c r="Z28" s="9">
        <f xml:space="preserve"> SUMIF( Time!$J326:$BQ326, Time!Z$28, InpS!$J11:$BQ11)</f>
        <v>0</v>
      </c>
      <c r="AA28" s="9">
        <f xml:space="preserve"> SUMIF( Time!$J326:$BQ326, Time!AA$28, InpS!$J11:$BQ11)</f>
        <v>0</v>
      </c>
      <c r="AB28" s="9">
        <f xml:space="preserve"> SUMIF( Time!$J326:$BQ326, Time!AB$28, InpS!$J11:$BQ11)</f>
        <v>0</v>
      </c>
      <c r="AC28" s="9">
        <f xml:space="preserve"> SUMIF( Time!$J326:$BQ326, Time!AC$28, InpS!$J11:$BQ11)</f>
        <v>0</v>
      </c>
    </row>
    <row r="29" spans="5:29">
      <c r="E29" s="12" t="s">
        <v>114</v>
      </c>
      <c r="F29" s="32"/>
      <c r="G29" s="12" t="s">
        <v>252</v>
      </c>
      <c r="H29" s="54">
        <f ca="1" xml:space="preserve"> SUM( J29:BQ29 )</f>
        <v>34145444.452532314</v>
      </c>
      <c r="I29" s="32"/>
      <c r="J29" s="12">
        <f ca="1" xml:space="preserve"> SUMIF( Time!$J326:$BQ326, Time!J$28, Cashflow!$J29:$BQ29)</f>
        <v>-22293.538857459123</v>
      </c>
      <c r="K29" s="12">
        <f ca="1" xml:space="preserve"> SUMIF( Time!$J326:$BQ326, Time!K$28, Cashflow!$J29:$BQ29)</f>
        <v>-188189.62598192558</v>
      </c>
      <c r="L29" s="12">
        <f ca="1" xml:space="preserve"> SUMIF( Time!$J326:$BQ326, Time!L$28, Cashflow!$J29:$BQ29)</f>
        <v>-321017.59150447522</v>
      </c>
      <c r="M29" s="12">
        <f ca="1" xml:space="preserve"> SUMIF( Time!$J326:$BQ326, Time!M$28, Cashflow!$J29:$BQ29)</f>
        <v>617188.06346392026</v>
      </c>
      <c r="N29" s="12">
        <f ca="1" xml:space="preserve"> SUMIF( Time!$J326:$BQ326, Time!N$28, Cashflow!$J29:$BQ29)</f>
        <v>-363104.98956856481</v>
      </c>
      <c r="O29" s="12">
        <f ca="1" xml:space="preserve"> SUMIF( Time!$J326:$BQ326, Time!O$28, Cashflow!$J29:$BQ29)</f>
        <v>736189.60177950247</v>
      </c>
      <c r="P29" s="12">
        <f ca="1" xml:space="preserve"> SUMIF( Time!$J326:$BQ326, Time!P$28, Cashflow!$J29:$BQ29)</f>
        <v>-580704.62573971669</v>
      </c>
      <c r="Q29" s="12">
        <f ca="1" xml:space="preserve"> SUMIF( Time!$J326:$BQ326, Time!Q$28, Cashflow!$J29:$BQ29)</f>
        <v>1391991.8500628895</v>
      </c>
      <c r="R29" s="12">
        <f ca="1" xml:space="preserve"> SUMIF( Time!$J326:$BQ326, Time!R$28, Cashflow!$J29:$BQ29)</f>
        <v>223756.86620730802</v>
      </c>
      <c r="S29" s="12">
        <f ca="1" xml:space="preserve"> SUMIF( Time!$J326:$BQ326, Time!S$28, Cashflow!$J29:$BQ29)</f>
        <v>1413328.585829719</v>
      </c>
      <c r="T29" s="12">
        <f ca="1" xml:space="preserve"> SUMIF( Time!$J326:$BQ326, Time!T$28, Cashflow!$J29:$BQ29)</f>
        <v>664450.38131969271</v>
      </c>
      <c r="U29" s="12">
        <f ca="1" xml:space="preserve"> SUMIF( Time!$J326:$BQ326, Time!U$28, Cashflow!$J29:$BQ29)</f>
        <v>1846367.1335170201</v>
      </c>
      <c r="V29" s="12">
        <f ca="1" xml:space="preserve"> SUMIF( Time!$J326:$BQ326, Time!V$28, Cashflow!$J29:$BQ29)</f>
        <v>1758579.777357914</v>
      </c>
      <c r="W29" s="12">
        <f ca="1" xml:space="preserve"> SUMIF( Time!$J326:$BQ326, Time!W$28, Cashflow!$J29:$BQ29)</f>
        <v>1188351.6657202407</v>
      </c>
      <c r="X29" s="12">
        <f ca="1" xml:space="preserve"> SUMIF( Time!$J326:$BQ326, Time!X$28, Cashflow!$J29:$BQ29)</f>
        <v>3210734.0709217014</v>
      </c>
      <c r="Y29" s="12">
        <f ca="1" xml:space="preserve"> SUMIF( Time!$J326:$BQ326, Time!Y$28, Cashflow!$J29:$BQ29)</f>
        <v>3409162.775194854</v>
      </c>
      <c r="Z29" s="12">
        <f ca="1" xml:space="preserve"> SUMIF( Time!$J326:$BQ326, Time!Z$28, Cashflow!$J29:$BQ29)</f>
        <v>3484184.86236188</v>
      </c>
      <c r="AA29" s="12">
        <f ca="1" xml:space="preserve"> SUMIF( Time!$J326:$BQ326, Time!AA$28, Cashflow!$J29:$BQ29)</f>
        <v>2879086.4325095662</v>
      </c>
      <c r="AB29" s="12">
        <f ca="1" xml:space="preserve"> SUMIF( Time!$J326:$BQ326, Time!AB$28, Cashflow!$J29:$BQ29)</f>
        <v>6120919.4101739237</v>
      </c>
      <c r="AC29" s="12">
        <f ca="1" xml:space="preserve"> SUMIF( Time!$J326:$BQ326, Time!AC$28, Cashflow!$J29:$BQ29)</f>
        <v>6676463.3477643225</v>
      </c>
    </row>
  </sheetData>
  <conditionalFormatting sqref="F2:F3">
    <cfRule type="cellIs" dxfId="63" priority="1" stopIfTrue="1" operator="notEqual">
      <formula>0</formula>
    </cfRule>
    <cfRule type="cellIs" dxfId="62" priority="2" stopIfTrue="1" operator="equal">
      <formula>""</formula>
    </cfRule>
  </conditionalFormatting>
  <conditionalFormatting sqref="J3:AC3">
    <cfRule type="cellIs" dxfId="61" priority="3" operator="equal">
      <formula>"PPA ext."</formula>
    </cfRule>
    <cfRule type="cellIs" dxfId="60" priority="4" operator="equal">
      <formula>"Delay"</formula>
    </cfRule>
    <cfRule type="cellIs" dxfId="59" priority="5" operator="equal">
      <formula>"Fin Close"</formula>
    </cfRule>
    <cfRule type="cellIs" dxfId="58" priority="6" stopIfTrue="1" operator="equal">
      <formula>"Construction"</formula>
    </cfRule>
    <cfRule type="cellIs" dxfId="57"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4F81BD"/>
    <outlinePr summaryBelow="0" summaryRight="0"/>
  </sheetPr>
  <dimension ref="A1:S29"/>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44" bestFit="1" customWidth="1"/>
    <col min="6" max="6" width="20.54296875" bestFit="1" customWidth="1"/>
    <col min="7" max="7" width="13.1796875" bestFit="1" customWidth="1"/>
    <col min="8" max="8" width="13.1796875" style="43" bestFit="1" customWidth="1"/>
    <col min="9" max="9" width="3.453125" customWidth="1"/>
    <col min="10" max="16" width="11.81640625" bestFit="1" customWidth="1"/>
    <col min="17" max="17" width="12.453125" bestFit="1" customWidth="1"/>
    <col min="18" max="19" width="13.1796875" bestFit="1" customWidth="1"/>
    <col min="20" max="20" width="15.08984375" hidden="1" customWidth="1"/>
    <col min="21" max="16384" width="15.08984375" hidden="1"/>
  </cols>
  <sheetData>
    <row r="1" spans="1:19" s="75" customFormat="1" ht="25.15">
      <c r="A1" s="45" t="str">
        <f ca="1" xml:space="preserve"> RIGHT(CELL("filename", A1), LEN(CELL("filename", A1)) - SEARCH("]", CELL("filename", A1)))</f>
        <v>Cashflow SemiAnnually</v>
      </c>
      <c r="B1" s="69"/>
      <c r="C1" s="74"/>
      <c r="D1" s="71"/>
      <c r="F1" s="52" t="str">
        <f>HYPERLINK("#Contents!A1","Go to contents")</f>
        <v>Go to contents</v>
      </c>
      <c r="H1" s="47"/>
      <c r="J1" s="47"/>
    </row>
    <row r="2" spans="1:19" s="53" customFormat="1">
      <c r="A2" s="48"/>
      <c r="B2" s="48"/>
      <c r="C2" s="72"/>
      <c r="D2" s="73"/>
      <c r="E2" s="22" t="s">
        <v>324</v>
      </c>
      <c r="F2" s="51">
        <f ca="1" xml:space="preserve"> 'Model Checks and Alerts'!F11</f>
        <v>0</v>
      </c>
      <c r="G2" s="55"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4" customFormat="1">
      <c r="A3" s="48"/>
      <c r="B3" s="48"/>
      <c r="C3" s="72"/>
      <c r="D3" s="73"/>
      <c r="E3" s="39" t="s">
        <v>203</v>
      </c>
      <c r="F3" s="51"/>
      <c r="G3" s="55" t="s">
        <v>97</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8" customFormat="1">
      <c r="A4" s="48"/>
      <c r="B4" s="48"/>
      <c r="C4" s="72"/>
      <c r="D4" s="73"/>
      <c r="E4" s="22" t="s">
        <v>325</v>
      </c>
      <c r="F4"/>
      <c r="G4"/>
      <c r="H4" s="50"/>
      <c r="I4" s="50"/>
      <c r="J4" s="28">
        <f xml:space="preserve"> Time!J$108</f>
        <v>6</v>
      </c>
      <c r="K4" s="28">
        <f xml:space="preserve"> Time!K$108</f>
        <v>12</v>
      </c>
      <c r="L4" s="28">
        <f xml:space="preserve"> Time!L$108</f>
        <v>18</v>
      </c>
      <c r="M4" s="28">
        <f xml:space="preserve"> Time!M$108</f>
        <v>24</v>
      </c>
      <c r="N4" s="28">
        <f xml:space="preserve"> Time!N$108</f>
        <v>30</v>
      </c>
      <c r="O4" s="28">
        <f xml:space="preserve"> Time!O$108</f>
        <v>36</v>
      </c>
      <c r="P4" s="28">
        <f xml:space="preserve"> Time!P$108</f>
        <v>42</v>
      </c>
      <c r="Q4" s="28">
        <f xml:space="preserve"> Time!Q$108</f>
        <v>48</v>
      </c>
      <c r="R4" s="28">
        <f xml:space="preserve"> Time!R$108</f>
        <v>54</v>
      </c>
      <c r="S4" s="28">
        <f xml:space="preserve"> Time!S$108</f>
        <v>60</v>
      </c>
    </row>
    <row r="5" spans="1:19" s="34" customFormat="1">
      <c r="A5" s="48"/>
      <c r="B5" s="48"/>
      <c r="C5" s="72"/>
      <c r="D5" s="73"/>
      <c r="E5" s="22" t="s">
        <v>305</v>
      </c>
      <c r="F5" s="24" t="s">
        <v>248</v>
      </c>
      <c r="G5" s="24" t="s">
        <v>224</v>
      </c>
      <c r="H5" s="24" t="s">
        <v>202</v>
      </c>
      <c r="I5" s="50"/>
      <c r="J5" s="15"/>
      <c r="K5" s="15"/>
      <c r="L5" s="15"/>
      <c r="M5" s="15"/>
      <c r="N5" s="15"/>
      <c r="O5" s="15"/>
      <c r="P5" s="15"/>
    </row>
    <row r="6" spans="1:19" s="43" customFormat="1">
      <c r="A6" s="24"/>
      <c r="B6" s="24"/>
      <c r="C6" s="49"/>
      <c r="D6" s="70"/>
      <c r="F6" s="24"/>
      <c r="G6" s="24"/>
      <c r="H6" s="24"/>
    </row>
    <row r="8" spans="1:19">
      <c r="E8" s="16" t="str">
        <f xml:space="preserve"> 'Working Capital'!E$22</f>
        <v>Cash in from Sales</v>
      </c>
      <c r="F8" s="16">
        <f xml:space="preserve"> 'Working Capital'!F$22</f>
        <v>0</v>
      </c>
      <c r="G8" s="16" t="str">
        <f xml:space="preserve"> 'Working Capital'!G$22</f>
        <v>GBP</v>
      </c>
      <c r="H8" s="42">
        <f ca="1" xml:space="preserve"> 'Working Capital'!H$22</f>
        <v>57317898.380981073</v>
      </c>
      <c r="I8" s="16">
        <f xml:space="preserve"> 'Working Capital'!I$22</f>
        <v>0</v>
      </c>
      <c r="J8" s="9">
        <f ca="1" xml:space="preserve"> SUMIF( Time!$J341:$BQ341, Time!J$28, 'Working Capital'!$J22:$BQ22)</f>
        <v>0</v>
      </c>
      <c r="K8" s="9">
        <f ca="1" xml:space="preserve"> SUMIF( Time!$J341:$BQ341, Time!K$28, 'Working Capital'!$J22:$BQ22)</f>
        <v>864000</v>
      </c>
      <c r="L8" s="9">
        <f ca="1" xml:space="preserve"> SUMIF( Time!$J341:$BQ341, Time!L$28, 'Working Capital'!$J22:$BQ22)</f>
        <v>864000</v>
      </c>
      <c r="M8" s="9">
        <f ca="1" xml:space="preserve"> SUMIF( Time!$J341:$BQ341, Time!M$28, 'Working Capital'!$J22:$BQ22)</f>
        <v>1727999.9999999998</v>
      </c>
      <c r="N8" s="9">
        <f ca="1" xml:space="preserve"> SUMIF( Time!$J341:$BQ341, Time!N$28, 'Working Capital'!$J22:$BQ22)</f>
        <v>3142100.9817584353</v>
      </c>
      <c r="O8" s="9">
        <f ca="1" xml:space="preserve"> SUMIF( Time!$J341:$BQ341, Time!O$28, 'Working Capital'!$J22:$BQ22)</f>
        <v>4026802.735800283</v>
      </c>
      <c r="P8" s="9">
        <f ca="1" xml:space="preserve"> SUMIF( Time!$J341:$BQ341, Time!P$28, 'Working Capital'!$J22:$BQ22)</f>
        <v>6033192.5122646354</v>
      </c>
      <c r="Q8" s="9">
        <f ca="1" xml:space="preserve"> SUMIF( Time!$J341:$BQ341, Time!Q$28, 'Working Capital'!$J22:$BQ22)</f>
        <v>9490126.1082670689</v>
      </c>
      <c r="R8" s="9">
        <f ca="1" xml:space="preserve"> SUMIF( Time!$J341:$BQ341, Time!R$28, 'Working Capital'!$J22:$BQ22)</f>
        <v>12625450.925404716</v>
      </c>
      <c r="S8" s="9">
        <f ca="1" xml:space="preserve"> SUMIF( Time!$J341:$BQ341, Time!S$28, 'Working Capital'!$J22:$BQ22)</f>
        <v>18544225.11748594</v>
      </c>
    </row>
    <row r="9" spans="1:19">
      <c r="E9" s="16" t="str">
        <f xml:space="preserve"> 'Working Capital'!E$52</f>
        <v xml:space="preserve">Cash out on Operating Expense </v>
      </c>
      <c r="F9" s="16">
        <f xml:space="preserve"> 'Working Capital'!F$52</f>
        <v>0</v>
      </c>
      <c r="G9" s="16" t="str">
        <f xml:space="preserve"> 'Working Capital'!G$52</f>
        <v>GBP</v>
      </c>
      <c r="H9" s="42">
        <f ca="1" xml:space="preserve"> 'Working Capital'!H$52</f>
        <v>-8739047.4483311232</v>
      </c>
      <c r="I9" s="16">
        <f xml:space="preserve"> 'Working Capital'!I$52</f>
        <v>0</v>
      </c>
      <c r="J9" s="9">
        <f ca="1" xml:space="preserve"> SUMIF( Time!$J341:$BQ341, Time!J$28, 'Working Capital'!$J52:$BQ52)</f>
        <v>-355849.79984344868</v>
      </c>
      <c r="K9" s="9">
        <f ca="1" xml:space="preserve"> SUMIF( Time!$J341:$BQ341, Time!K$28, 'Working Capital'!$J52:$BQ52)</f>
        <v>-393596.07295371662</v>
      </c>
      <c r="L9" s="9">
        <f ca="1" xml:space="preserve"> SUMIF( Time!$J341:$BQ341, Time!L$28, 'Working Capital'!$J52:$BQ52)</f>
        <v>-441232.58445028088</v>
      </c>
      <c r="M9" s="9">
        <f ca="1" xml:space="preserve"> SUMIF( Time!$J341:$BQ341, Time!M$28, 'Working Capital'!$J52:$BQ52)</f>
        <v>-503446.12543984392</v>
      </c>
      <c r="N9" s="9">
        <f ca="1" xml:space="preserve"> SUMIF( Time!$J341:$BQ341, Time!N$28, 'Working Capital'!$J52:$BQ52)</f>
        <v>-634546.67719949293</v>
      </c>
      <c r="O9" s="9">
        <f ca="1" xml:space="preserve"> SUMIF( Time!$J341:$BQ341, Time!O$28, 'Working Capital'!$J52:$BQ52)</f>
        <v>-764918.78256454994</v>
      </c>
      <c r="P9" s="9">
        <f ca="1" xml:space="preserve"> SUMIF( Time!$J341:$BQ341, Time!P$28, 'Working Capital'!$J52:$BQ52)</f>
        <v>-941701.36613348394</v>
      </c>
      <c r="Q9" s="9">
        <f ca="1" xml:space="preserve"> SUMIF( Time!$J341:$BQ341, Time!Q$28, 'Working Capital'!$J52:$BQ52)</f>
        <v>-1186350.1247852759</v>
      </c>
      <c r="R9" s="9">
        <f ca="1" xml:space="preserve"> SUMIF( Time!$J341:$BQ341, Time!R$28, 'Working Capital'!$J52:$BQ52)</f>
        <v>-1523188.9664946184</v>
      </c>
      <c r="S9" s="9">
        <f ca="1" xml:space="preserve"> SUMIF( Time!$J341:$BQ341, Time!S$28, 'Working Capital'!$J52:$BQ52)</f>
        <v>-1994216.9484664127</v>
      </c>
    </row>
    <row r="10" spans="1:19">
      <c r="E10" s="16" t="str">
        <f xml:space="preserve"> VAT!E$38</f>
        <v xml:space="preserve">VAT paid </v>
      </c>
      <c r="F10" s="16">
        <f xml:space="preserve"> VAT!F$38</f>
        <v>0</v>
      </c>
      <c r="G10" s="16" t="str">
        <f xml:space="preserve"> VAT!G$38</f>
        <v>GBP</v>
      </c>
      <c r="H10" s="42">
        <f ca="1" xml:space="preserve"> VAT!H$38</f>
        <v>-8296110.6882591359</v>
      </c>
      <c r="I10" s="16">
        <f xml:space="preserve"> VAT!I$38</f>
        <v>0</v>
      </c>
      <c r="J10" s="9">
        <f ca="1" xml:space="preserve"> SUMIF( Time!$J341:$BQ341, Time!J$28, VAT!$J38:$BQ38)</f>
        <v>61777.808381081413</v>
      </c>
      <c r="K10" s="9">
        <f ca="1" xml:space="preserve"> SUMIF( Time!$J341:$BQ341, Time!K$28, VAT!$J38:$BQ38)</f>
        <v>-73843.120422976805</v>
      </c>
      <c r="L10" s="9">
        <f ca="1" xml:space="preserve"> SUMIF( Time!$J341:$BQ341, Time!L$28, VAT!$J38:$BQ38)</f>
        <v>-34688.621126400467</v>
      </c>
      <c r="M10" s="9">
        <f ca="1" xml:space="preserve"> SUMIF( Time!$J341:$BQ341, Time!M$28, VAT!$J38:$BQ38)</f>
        <v>-208277.6062064085</v>
      </c>
      <c r="N10" s="9">
        <f ca="1" xml:space="preserve"> SUMIF( Time!$J341:$BQ341, Time!N$28, VAT!$J38:$BQ38)</f>
        <v>-397549.23911755823</v>
      </c>
      <c r="O10" s="9">
        <f ca="1" xml:space="preserve"> SUMIF( Time!$J341:$BQ341, Time!O$28, VAT!$J38:$BQ38)</f>
        <v>-548164.700333138</v>
      </c>
      <c r="P10" s="9">
        <f ca="1" xml:space="preserve"> SUMIF( Time!$J341:$BQ341, Time!P$28, VAT!$J38:$BQ38)</f>
        <v>-981275.37266452657</v>
      </c>
      <c r="Q10" s="9">
        <f ca="1" xml:space="preserve"> SUMIF( Time!$J341:$BQ341, Time!Q$28, VAT!$J38:$BQ38)</f>
        <v>-1311101.3428066336</v>
      </c>
      <c r="R10" s="9">
        <f ca="1" xml:space="preserve"> SUMIF( Time!$J341:$BQ341, Time!R$28, VAT!$J38:$BQ38)</f>
        <v>-1996383.5693611661</v>
      </c>
      <c r="S10" s="9">
        <f ca="1" xml:space="preserve"> SUMIF( Time!$J341:$BQ341, Time!S$28, VAT!$J38:$BQ38)</f>
        <v>-2806604.9246014096</v>
      </c>
    </row>
    <row r="11" spans="1:19">
      <c r="E11" s="16" t="str">
        <f xml:space="preserve"> 'Corporation tax'!E$69</f>
        <v xml:space="preserve">Corporation tax paid </v>
      </c>
      <c r="F11" s="16">
        <f xml:space="preserve"> 'Corporation tax'!F$69</f>
        <v>0</v>
      </c>
      <c r="G11" s="16" t="str">
        <f xml:space="preserve"> 'Corporation tax'!G$69</f>
        <v>GBP</v>
      </c>
      <c r="H11" s="42">
        <f ca="1" xml:space="preserve"> 'Corporation tax'!H$69</f>
        <v>-2943623.9790600152</v>
      </c>
      <c r="I11" s="16">
        <f xml:space="preserve"> 'Corporation tax'!I$69</f>
        <v>0</v>
      </c>
      <c r="J11" s="9">
        <f ca="1" xml:space="preserve"> SUMIF( Time!$J341:$BQ341, Time!J$28, 'Corporation tax'!$J69:$BQ69)</f>
        <v>0</v>
      </c>
      <c r="K11" s="9">
        <f ca="1" xml:space="preserve"> SUMIF( Time!$J341:$BQ341, Time!K$28, 'Corporation tax'!$J69:$BQ69)</f>
        <v>0</v>
      </c>
      <c r="L11" s="9">
        <f ca="1" xml:space="preserve"> SUMIF( Time!$J341:$BQ341, Time!L$28, 'Corporation tax'!$J69:$BQ69)</f>
        <v>0</v>
      </c>
      <c r="M11" s="9">
        <f ca="1" xml:space="preserve"> SUMIF( Time!$J341:$BQ341, Time!M$28, 'Corporation tax'!$J69:$BQ69)</f>
        <v>0</v>
      </c>
      <c r="N11" s="9">
        <f ca="1" xml:space="preserve"> SUMIF( Time!$J341:$BQ341, Time!N$28, 'Corporation tax'!$J69:$BQ69)</f>
        <v>-195685.12595542119</v>
      </c>
      <c r="O11" s="9">
        <f ca="1" xml:space="preserve"> SUMIF( Time!$J341:$BQ341, Time!O$28, 'Corporation tax'!$J69:$BQ69)</f>
        <v>0</v>
      </c>
      <c r="P11" s="9">
        <f ca="1" xml:space="preserve"> SUMIF( Time!$J341:$BQ341, Time!P$28, 'Corporation tax'!$J69:$BQ69)</f>
        <v>-829461.348841978</v>
      </c>
      <c r="Q11" s="9">
        <f ca="1" xml:space="preserve"> SUMIF( Time!$J341:$BQ341, Time!Q$28, 'Corporation tax'!$J69:$BQ69)</f>
        <v>0</v>
      </c>
      <c r="R11" s="9">
        <f ca="1" xml:space="preserve"> SUMIF( Time!$J341:$BQ341, Time!R$28, 'Corporation tax'!$J69:$BQ69)</f>
        <v>-1918477.5042626159</v>
      </c>
      <c r="S11" s="9">
        <f ca="1" xml:space="preserve"> SUMIF( Time!$J341:$BQ341, Time!S$28, 'Corporation tax'!$J69:$BQ69)</f>
        <v>0</v>
      </c>
    </row>
    <row r="12" spans="1:19">
      <c r="E12" s="12" t="s">
        <v>113</v>
      </c>
      <c r="F12" s="32"/>
      <c r="G12" s="12" t="s">
        <v>252</v>
      </c>
      <c r="H12" s="54">
        <f ca="1" xml:space="preserve"> SUM( J12:BQ12 )</f>
        <v>37339116.265330799</v>
      </c>
      <c r="I12" s="32"/>
      <c r="J12" s="12">
        <f ca="1" xml:space="preserve"> SUMIF( Time!$J341:$BQ341, Time!J$28, Cashflow!$J12:$BQ12)</f>
        <v>-294071.99146236724</v>
      </c>
      <c r="K12" s="12">
        <f ca="1" xml:space="preserve"> SUMIF( Time!$J341:$BQ341, Time!K$28, Cashflow!$J12:$BQ12)</f>
        <v>396560.80662330653</v>
      </c>
      <c r="L12" s="12">
        <f ca="1" xml:space="preserve"> SUMIF( Time!$J341:$BQ341, Time!L$28, Cashflow!$J12:$BQ12)</f>
        <v>388078.79442331858</v>
      </c>
      <c r="M12" s="12">
        <f ca="1" xml:space="preserve"> SUMIF( Time!$J341:$BQ341, Time!M$28, Cashflow!$J12:$BQ12)</f>
        <v>1016276.2683537476</v>
      </c>
      <c r="N12" s="12">
        <f ca="1" xml:space="preserve"> SUMIF( Time!$J341:$BQ341, Time!N$28, Cashflow!$J12:$BQ12)</f>
        <v>1914319.9394859627</v>
      </c>
      <c r="O12" s="12">
        <f ca="1" xml:space="preserve"> SUMIF( Time!$J341:$BQ341, Time!O$28, Cashflow!$J12:$BQ12)</f>
        <v>2713719.2529025949</v>
      </c>
      <c r="P12" s="12">
        <f ca="1" xml:space="preserve"> SUMIF( Time!$J341:$BQ341, Time!P$28, Cashflow!$J12:$BQ12)</f>
        <v>3280754.4246246479</v>
      </c>
      <c r="Q12" s="12">
        <f ca="1" xml:space="preserve"> SUMIF( Time!$J341:$BQ341, Time!Q$28, Cashflow!$J12:$BQ12)</f>
        <v>6992674.6406751592</v>
      </c>
      <c r="R12" s="12">
        <f ca="1" xml:space="preserve"> SUMIF( Time!$J341:$BQ341, Time!R$28, Cashflow!$J12:$BQ12)</f>
        <v>7187400.8852863144</v>
      </c>
      <c r="S12" s="12">
        <f ca="1" xml:space="preserve"> SUMIF( Time!$J341:$BQ341, Time!S$28, Cashflow!$J12:$BQ12)</f>
        <v>13743403.244418116</v>
      </c>
    </row>
    <row r="14" spans="1:19">
      <c r="E14" s="16" t="str">
        <f xml:space="preserve"> 'Working Capital'!E$15</f>
        <v xml:space="preserve">Cash out on Inventory </v>
      </c>
      <c r="F14" s="16">
        <f xml:space="preserve"> 'Working Capital'!F$15</f>
        <v>0</v>
      </c>
      <c r="G14" s="16" t="str">
        <f xml:space="preserve"> 'Working Capital'!G$15</f>
        <v>GBP</v>
      </c>
      <c r="H14" s="42">
        <f ca="1" xml:space="preserve"> 'Working Capital'!H$15</f>
        <v>-5701499.9999999991</v>
      </c>
      <c r="I14" s="16">
        <f xml:space="preserve"> 'Working Capital'!I$15</f>
        <v>0</v>
      </c>
      <c r="J14" s="9">
        <f ca="1" xml:space="preserve"> SUMIF( Time!$J341:$BQ341, Time!J$28, 'Working Capital'!$J15:$BQ15)</f>
        <v>-52500</v>
      </c>
      <c r="K14" s="9">
        <f ca="1" xml:space="preserve"> SUMIF( Time!$J341:$BQ341, Time!K$28, 'Working Capital'!$J15:$BQ15)</f>
        <v>-199499.99999999997</v>
      </c>
      <c r="L14" s="9">
        <f ca="1" xml:space="preserve"> SUMIF( Time!$J341:$BQ341, Time!L$28, 'Working Capital'!$J15:$BQ15)</f>
        <v>-251999.99999999997</v>
      </c>
      <c r="M14" s="9">
        <f ca="1" xml:space="preserve"> SUMIF( Time!$J341:$BQ341, Time!M$28, 'Working Capital'!$J15:$BQ15)</f>
        <v>-398999.99999999994</v>
      </c>
      <c r="N14" s="9">
        <f ca="1" xml:space="preserve"> SUMIF( Time!$J341:$BQ341, Time!N$28, 'Working Capital'!$J15:$BQ15)</f>
        <v>-398999.99999999994</v>
      </c>
      <c r="O14" s="9">
        <f ca="1" xml:space="preserve"> SUMIF( Time!$J341:$BQ341, Time!O$28, 'Working Capital'!$J15:$BQ15)</f>
        <v>-451499.99999999994</v>
      </c>
      <c r="P14" s="9">
        <f ca="1" xml:space="preserve"> SUMIF( Time!$J341:$BQ341, Time!P$28, 'Working Capital'!$J15:$BQ15)</f>
        <v>-650999.99999999988</v>
      </c>
      <c r="Q14" s="9">
        <f ca="1" xml:space="preserve"> SUMIF( Time!$J341:$BQ341, Time!Q$28, 'Working Capital'!$J15:$BQ15)</f>
        <v>-902999.99999999988</v>
      </c>
      <c r="R14" s="9">
        <f ca="1" xml:space="preserve"> SUMIF( Time!$J341:$BQ341, Time!R$28, 'Working Capital'!$J15:$BQ15)</f>
        <v>-1196999.9999999998</v>
      </c>
      <c r="S14" s="9">
        <f ca="1" xml:space="preserve"> SUMIF( Time!$J341:$BQ341, Time!S$28, 'Working Capital'!$J15:$BQ15)</f>
        <v>-1196999.9999999998</v>
      </c>
    </row>
    <row r="15" spans="1:19">
      <c r="E15" s="12" t="s">
        <v>20</v>
      </c>
      <c r="F15" s="32"/>
      <c r="G15" s="12" t="s">
        <v>252</v>
      </c>
      <c r="H15" s="54">
        <f ca="1" xml:space="preserve"> SUM( J15:BQ15 )</f>
        <v>31637616.265330799</v>
      </c>
      <c r="I15" s="32"/>
      <c r="J15" s="12">
        <f ca="1" xml:space="preserve"> SUMIF( Time!$J341:$BQ341, Time!J$28, Cashflow!$J15:$BQ15)</f>
        <v>-346571.99146236724</v>
      </c>
      <c r="K15" s="12">
        <f ca="1" xml:space="preserve"> SUMIF( Time!$J341:$BQ341, Time!K$28, Cashflow!$J15:$BQ15)</f>
        <v>197060.80662330653</v>
      </c>
      <c r="L15" s="12">
        <f ca="1" xml:space="preserve"> SUMIF( Time!$J341:$BQ341, Time!L$28, Cashflow!$J15:$BQ15)</f>
        <v>136078.79442331867</v>
      </c>
      <c r="M15" s="12">
        <f ca="1" xml:space="preserve"> SUMIF( Time!$J341:$BQ341, Time!M$28, Cashflow!$J15:$BQ15)</f>
        <v>617276.26835374755</v>
      </c>
      <c r="N15" s="12">
        <f ca="1" xml:space="preserve"> SUMIF( Time!$J341:$BQ341, Time!N$28, Cashflow!$J15:$BQ15)</f>
        <v>1515319.9394859627</v>
      </c>
      <c r="O15" s="12">
        <f ca="1" xml:space="preserve"> SUMIF( Time!$J341:$BQ341, Time!O$28, Cashflow!$J15:$BQ15)</f>
        <v>2262219.2529025949</v>
      </c>
      <c r="P15" s="12">
        <f ca="1" xml:space="preserve"> SUMIF( Time!$J341:$BQ341, Time!P$28, Cashflow!$J15:$BQ15)</f>
        <v>2629754.4246246479</v>
      </c>
      <c r="Q15" s="12">
        <f ca="1" xml:space="preserve"> SUMIF( Time!$J341:$BQ341, Time!Q$28, Cashflow!$J15:$BQ15)</f>
        <v>6089674.6406751592</v>
      </c>
      <c r="R15" s="12">
        <f ca="1" xml:space="preserve"> SUMIF( Time!$J341:$BQ341, Time!R$28, Cashflow!$J15:$BQ15)</f>
        <v>5990400.8852863144</v>
      </c>
      <c r="S15" s="12">
        <f ca="1" xml:space="preserve"> SUMIF( Time!$J341:$BQ341, Time!S$28, Cashflow!$J15:$BQ15)</f>
        <v>12546403.244418116</v>
      </c>
    </row>
    <row r="17" spans="5:19">
      <c r="E17" s="16" t="str">
        <f xml:space="preserve"> 'Supply Chain finance'!E$22</f>
        <v>Supply Chain Finance drawdown</v>
      </c>
      <c r="F17" s="16">
        <f xml:space="preserve"> 'Supply Chain finance'!F$22</f>
        <v>0</v>
      </c>
      <c r="G17" s="16" t="str">
        <f xml:space="preserve"> 'Supply Chain finance'!G$22</f>
        <v>GBP</v>
      </c>
      <c r="H17" s="42">
        <f ca="1" xml:space="preserve"> 'Supply Chain finance'!H$22</f>
        <v>0</v>
      </c>
      <c r="I17" s="16">
        <f xml:space="preserve"> 'Supply Chain finance'!I$22</f>
        <v>0</v>
      </c>
      <c r="J17" s="9">
        <f ca="1" xml:space="preserve"> SUMIF( Time!$J341:$BQ341, Time!J$28, 'Supply Chain finance'!$J22:$BQ22)</f>
        <v>0</v>
      </c>
      <c r="K17" s="9">
        <f ca="1" xml:space="preserve"> SUMIF( Time!$J341:$BQ341, Time!K$28, 'Supply Chain finance'!$J22:$BQ22)</f>
        <v>0</v>
      </c>
      <c r="L17" s="9">
        <f ca="1" xml:space="preserve"> SUMIF( Time!$J341:$BQ341, Time!L$28, 'Supply Chain finance'!$J22:$BQ22)</f>
        <v>0</v>
      </c>
      <c r="M17" s="9">
        <f ca="1" xml:space="preserve"> SUMIF( Time!$J341:$BQ341, Time!M$28, 'Supply Chain finance'!$J22:$BQ22)</f>
        <v>0</v>
      </c>
      <c r="N17" s="9">
        <f ca="1" xml:space="preserve"> SUMIF( Time!$J341:$BQ341, Time!N$28, 'Supply Chain finance'!$J22:$BQ22)</f>
        <v>0</v>
      </c>
      <c r="O17" s="9">
        <f ca="1" xml:space="preserve"> SUMIF( Time!$J341:$BQ341, Time!O$28, 'Supply Chain finance'!$J22:$BQ22)</f>
        <v>0</v>
      </c>
      <c r="P17" s="9">
        <f ca="1" xml:space="preserve"> SUMIF( Time!$J341:$BQ341, Time!P$28, 'Supply Chain finance'!$J22:$BQ22)</f>
        <v>0</v>
      </c>
      <c r="Q17" s="9">
        <f ca="1" xml:space="preserve"> SUMIF( Time!$J341:$BQ341, Time!Q$28, 'Supply Chain finance'!$J22:$BQ22)</f>
        <v>0</v>
      </c>
      <c r="R17" s="9">
        <f ca="1" xml:space="preserve"> SUMIF( Time!$J341:$BQ341, Time!R$28, 'Supply Chain finance'!$J22:$BQ22)</f>
        <v>0</v>
      </c>
      <c r="S17" s="9">
        <f ca="1" xml:space="preserve"> SUMIF( Time!$J341:$BQ341, Time!S$28, 'Supply Chain finance'!$J22:$BQ22)</f>
        <v>0</v>
      </c>
    </row>
    <row r="18" spans="5:19">
      <c r="E18" s="16" t="str">
        <f xml:space="preserve"> 'Supply Chain finance'!E$29</f>
        <v xml:space="preserve">Supply Chain Finance principal repayment </v>
      </c>
      <c r="F18" s="16">
        <f xml:space="preserve"> 'Supply Chain finance'!F$29</f>
        <v>0</v>
      </c>
      <c r="G18" s="16" t="str">
        <f xml:space="preserve"> 'Supply Chain finance'!G$29</f>
        <v>GBP</v>
      </c>
      <c r="H18" s="42">
        <f ca="1" xml:space="preserve"> 'Supply Chain finance'!H$29</f>
        <v>0</v>
      </c>
      <c r="I18" s="16">
        <f xml:space="preserve"> 'Supply Chain finance'!I$29</f>
        <v>0</v>
      </c>
      <c r="J18" s="9">
        <f ca="1" xml:space="preserve"> SUMIF( Time!$J341:$BQ341, Time!J$28, 'Supply Chain finance'!$J29:$BQ29)</f>
        <v>0</v>
      </c>
      <c r="K18" s="9">
        <f ca="1" xml:space="preserve"> SUMIF( Time!$J341:$BQ341, Time!K$28, 'Supply Chain finance'!$J29:$BQ29)</f>
        <v>0</v>
      </c>
      <c r="L18" s="9">
        <f ca="1" xml:space="preserve"> SUMIF( Time!$J341:$BQ341, Time!L$28, 'Supply Chain finance'!$J29:$BQ29)</f>
        <v>0</v>
      </c>
      <c r="M18" s="9">
        <f ca="1" xml:space="preserve"> SUMIF( Time!$J341:$BQ341, Time!M$28, 'Supply Chain finance'!$J29:$BQ29)</f>
        <v>0</v>
      </c>
      <c r="N18" s="9">
        <f ca="1" xml:space="preserve"> SUMIF( Time!$J341:$BQ341, Time!N$28, 'Supply Chain finance'!$J29:$BQ29)</f>
        <v>0</v>
      </c>
      <c r="O18" s="9">
        <f ca="1" xml:space="preserve"> SUMIF( Time!$J341:$BQ341, Time!O$28, 'Supply Chain finance'!$J29:$BQ29)</f>
        <v>0</v>
      </c>
      <c r="P18" s="9">
        <f ca="1" xml:space="preserve"> SUMIF( Time!$J341:$BQ341, Time!P$28, 'Supply Chain finance'!$J29:$BQ29)</f>
        <v>0</v>
      </c>
      <c r="Q18" s="9">
        <f ca="1" xml:space="preserve"> SUMIF( Time!$J341:$BQ341, Time!Q$28, 'Supply Chain finance'!$J29:$BQ29)</f>
        <v>0</v>
      </c>
      <c r="R18" s="9">
        <f ca="1" xml:space="preserve"> SUMIF( Time!$J341:$BQ341, Time!R$28, 'Supply Chain finance'!$J29:$BQ29)</f>
        <v>0</v>
      </c>
      <c r="S18" s="9">
        <f ca="1" xml:space="preserve"> SUMIF( Time!$J341:$BQ341, Time!S$28, 'Supply Chain finance'!$J29:$BQ29)</f>
        <v>0</v>
      </c>
    </row>
    <row r="19" spans="5:19">
      <c r="E19" s="16" t="str">
        <f xml:space="preserve"> 'Invoice finance'!E$21</f>
        <v>Invoice finance drawdown</v>
      </c>
      <c r="F19" s="16">
        <f xml:space="preserve"> 'Invoice finance'!F$21</f>
        <v>0</v>
      </c>
      <c r="G19" s="16" t="str">
        <f xml:space="preserve"> 'Invoice finance'!G$21</f>
        <v>GBP</v>
      </c>
      <c r="H19" s="42">
        <f ca="1" xml:space="preserve"> 'Invoice finance'!H$21</f>
        <v>0</v>
      </c>
      <c r="I19" s="16">
        <f xml:space="preserve"> 'Invoice finance'!I$21</f>
        <v>0</v>
      </c>
      <c r="J19" s="9">
        <f ca="1" xml:space="preserve"> SUMIF( Time!$J341:$BQ341, Time!J$28, 'Invoice finance'!$J21:$BQ21)</f>
        <v>0</v>
      </c>
      <c r="K19" s="9">
        <f ca="1" xml:space="preserve"> SUMIF( Time!$J341:$BQ341, Time!K$28, 'Invoice finance'!$J21:$BQ21)</f>
        <v>0</v>
      </c>
      <c r="L19" s="9">
        <f ca="1" xml:space="preserve"> SUMIF( Time!$J341:$BQ341, Time!L$28, 'Invoice finance'!$J21:$BQ21)</f>
        <v>0</v>
      </c>
      <c r="M19" s="9">
        <f ca="1" xml:space="preserve"> SUMIF( Time!$J341:$BQ341, Time!M$28, 'Invoice finance'!$J21:$BQ21)</f>
        <v>0</v>
      </c>
      <c r="N19" s="9">
        <f ca="1" xml:space="preserve"> SUMIF( Time!$J341:$BQ341, Time!N$28, 'Invoice finance'!$J21:$BQ21)</f>
        <v>0</v>
      </c>
      <c r="O19" s="9">
        <f ca="1" xml:space="preserve"> SUMIF( Time!$J341:$BQ341, Time!O$28, 'Invoice finance'!$J21:$BQ21)</f>
        <v>0</v>
      </c>
      <c r="P19" s="9">
        <f ca="1" xml:space="preserve"> SUMIF( Time!$J341:$BQ341, Time!P$28, 'Invoice finance'!$J21:$BQ21)</f>
        <v>0</v>
      </c>
      <c r="Q19" s="9">
        <f ca="1" xml:space="preserve"> SUMIF( Time!$J341:$BQ341, Time!Q$28, 'Invoice finance'!$J21:$BQ21)</f>
        <v>0</v>
      </c>
      <c r="R19" s="9">
        <f ca="1" xml:space="preserve"> SUMIF( Time!$J341:$BQ341, Time!R$28, 'Invoice finance'!$J21:$BQ21)</f>
        <v>0</v>
      </c>
      <c r="S19" s="9">
        <f ca="1" xml:space="preserve"> SUMIF( Time!$J341:$BQ341, Time!S$28, 'Invoice finance'!$J21:$BQ21)</f>
        <v>0</v>
      </c>
    </row>
    <row r="20" spans="5:19">
      <c r="E20" s="16" t="str">
        <f xml:space="preserve"> 'Invoice finance'!E$28</f>
        <v xml:space="preserve">Invoice finance principal repayment </v>
      </c>
      <c r="F20" s="16">
        <f xml:space="preserve"> 'Invoice finance'!F$28</f>
        <v>0</v>
      </c>
      <c r="G20" s="16" t="str">
        <f xml:space="preserve"> 'Invoice finance'!G$28</f>
        <v>GBP</v>
      </c>
      <c r="H20" s="42">
        <f ca="1" xml:space="preserve"> 'Invoice finance'!H$28</f>
        <v>0</v>
      </c>
      <c r="I20" s="16">
        <f xml:space="preserve"> 'Invoice finance'!I$28</f>
        <v>0</v>
      </c>
      <c r="J20" s="9">
        <f ca="1" xml:space="preserve"> SUMIF( Time!$J341:$BQ341, Time!J$28, 'Invoice finance'!$J28:$BQ28)</f>
        <v>0</v>
      </c>
      <c r="K20" s="9">
        <f ca="1" xml:space="preserve"> SUMIF( Time!$J341:$BQ341, Time!K$28, 'Invoice finance'!$J28:$BQ28)</f>
        <v>0</v>
      </c>
      <c r="L20" s="9">
        <f ca="1" xml:space="preserve"> SUMIF( Time!$J341:$BQ341, Time!L$28, 'Invoice finance'!$J28:$BQ28)</f>
        <v>0</v>
      </c>
      <c r="M20" s="9">
        <f ca="1" xml:space="preserve"> SUMIF( Time!$J341:$BQ341, Time!M$28, 'Invoice finance'!$J28:$BQ28)</f>
        <v>0</v>
      </c>
      <c r="N20" s="9">
        <f ca="1" xml:space="preserve"> SUMIF( Time!$J341:$BQ341, Time!N$28, 'Invoice finance'!$J28:$BQ28)</f>
        <v>0</v>
      </c>
      <c r="O20" s="9">
        <f ca="1" xml:space="preserve"> SUMIF( Time!$J341:$BQ341, Time!O$28, 'Invoice finance'!$J28:$BQ28)</f>
        <v>0</v>
      </c>
      <c r="P20" s="9">
        <f ca="1" xml:space="preserve"> SUMIF( Time!$J341:$BQ341, Time!P$28, 'Invoice finance'!$J28:$BQ28)</f>
        <v>0</v>
      </c>
      <c r="Q20" s="9">
        <f ca="1" xml:space="preserve"> SUMIF( Time!$J341:$BQ341, Time!Q$28, 'Invoice finance'!$J28:$BQ28)</f>
        <v>0</v>
      </c>
      <c r="R20" s="9">
        <f ca="1" xml:space="preserve"> SUMIF( Time!$J341:$BQ341, Time!R$28, 'Invoice finance'!$J28:$BQ28)</f>
        <v>0</v>
      </c>
      <c r="S20" s="9">
        <f ca="1" xml:space="preserve"> SUMIF( Time!$J341:$BQ341, Time!S$28, 'Invoice finance'!$J28:$BQ28)</f>
        <v>0</v>
      </c>
    </row>
    <row r="21" spans="5:19">
      <c r="E21" s="16" t="str">
        <f xml:space="preserve"> 'Asset Finance'!E$22</f>
        <v>Asset Finance drawdown</v>
      </c>
      <c r="F21" s="16">
        <f xml:space="preserve"> 'Asset Finance'!F$22</f>
        <v>0</v>
      </c>
      <c r="G21" s="16" t="str">
        <f xml:space="preserve"> 'Asset Finance'!G$22</f>
        <v>GBP</v>
      </c>
      <c r="H21" s="42">
        <f ca="1" xml:space="preserve"> 'Asset Finance'!H$22</f>
        <v>5775000</v>
      </c>
      <c r="I21" s="16">
        <f xml:space="preserve"> 'Asset Finance'!I$22</f>
        <v>0</v>
      </c>
      <c r="J21" s="9">
        <f ca="1" xml:space="preserve"> SUMIF( Time!$J341:$BQ341, Time!J$28, 'Asset Finance'!$J22:$BQ22)</f>
        <v>175000</v>
      </c>
      <c r="K21" s="9">
        <f ca="1" xml:space="preserve"> SUMIF( Time!$J341:$BQ341, Time!K$28, 'Asset Finance'!$J22:$BQ22)</f>
        <v>175000</v>
      </c>
      <c r="L21" s="9">
        <f ca="1" xml:space="preserve"> SUMIF( Time!$J341:$BQ341, Time!L$28, 'Asset Finance'!$J22:$BQ22)</f>
        <v>350000</v>
      </c>
      <c r="M21" s="9">
        <f ca="1" xml:space="preserve"> SUMIF( Time!$J341:$BQ341, Time!M$28, 'Asset Finance'!$J22:$BQ22)</f>
        <v>350000</v>
      </c>
      <c r="N21" s="9">
        <f ca="1" xml:space="preserve"> SUMIF( Time!$J341:$BQ341, Time!N$28, 'Asset Finance'!$J22:$BQ22)</f>
        <v>350000</v>
      </c>
      <c r="O21" s="9">
        <f ca="1" xml:space="preserve"> SUMIF( Time!$J341:$BQ341, Time!O$28, 'Asset Finance'!$J22:$BQ22)</f>
        <v>525000</v>
      </c>
      <c r="P21" s="9">
        <f ca="1" xml:space="preserve"> SUMIF( Time!$J341:$BQ341, Time!P$28, 'Asset Finance'!$J22:$BQ22)</f>
        <v>700000</v>
      </c>
      <c r="Q21" s="9">
        <f ca="1" xml:space="preserve"> SUMIF( Time!$J341:$BQ341, Time!Q$28, 'Asset Finance'!$J22:$BQ22)</f>
        <v>1050000</v>
      </c>
      <c r="R21" s="9">
        <f ca="1" xml:space="preserve"> SUMIF( Time!$J341:$BQ341, Time!R$28, 'Asset Finance'!$J22:$BQ22)</f>
        <v>1050000</v>
      </c>
      <c r="S21" s="9">
        <f ca="1" xml:space="preserve"> SUMIF( Time!$J341:$BQ341, Time!S$28, 'Asset Finance'!$J22:$BQ22)</f>
        <v>1050000</v>
      </c>
    </row>
    <row r="22" spans="5:19">
      <c r="E22" s="16" t="str">
        <f xml:space="preserve"> 'Asset Finance'!E$29</f>
        <v xml:space="preserve">Asset Finance principal repayment </v>
      </c>
      <c r="F22" s="16">
        <f xml:space="preserve"> 'Asset Finance'!F$29</f>
        <v>0</v>
      </c>
      <c r="G22" s="16" t="str">
        <f xml:space="preserve"> 'Asset Finance'!G$29</f>
        <v>GBP</v>
      </c>
      <c r="H22" s="42">
        <f ca="1" xml:space="preserve"> 'Asset Finance'!H$29</f>
        <v>-2816527.4248262797</v>
      </c>
      <c r="I22" s="16">
        <f xml:space="preserve"> 'Asset Finance'!I$29</f>
        <v>0</v>
      </c>
      <c r="J22" s="9">
        <f ca="1" xml:space="preserve"> SUMIF( Time!$J341:$BQ341, Time!J$28, 'Asset Finance'!$J29:$BQ29)</f>
        <v>-33544.114980187442</v>
      </c>
      <c r="K22" s="9">
        <f ca="1" xml:space="preserve"> SUMIF( Time!$J341:$BQ341, Time!K$28, 'Asset Finance'!$J29:$BQ29)</f>
        <v>-65422.702296432406</v>
      </c>
      <c r="L22" s="9">
        <f ca="1" xml:space="preserve"> SUMIF( Time!$J341:$BQ341, Time!L$28, 'Asset Finance'!$J29:$BQ29)</f>
        <v>-97408.777769293956</v>
      </c>
      <c r="M22" s="9">
        <f ca="1" xml:space="preserve"> SUMIF( Time!$J341:$BQ341, Time!M$28, 'Asset Finance'!$J29:$BQ29)</f>
        <v>-134473.31381946072</v>
      </c>
      <c r="N22" s="9">
        <f ca="1" xml:space="preserve"> SUMIF( Time!$J341:$BQ341, Time!N$28, 'Asset Finance'!$J29:$BQ29)</f>
        <v>-196753.86849046167</v>
      </c>
      <c r="O22" s="9">
        <f ca="1" xml:space="preserve"> SUMIF( Time!$J341:$BQ341, Time!O$28, 'Asset Finance'!$J29:$BQ29)</f>
        <v>-238277.36040162234</v>
      </c>
      <c r="P22" s="9">
        <f ca="1" xml:space="preserve"> SUMIF( Time!$J341:$BQ341, Time!P$28, 'Asset Finance'!$J29:$BQ29)</f>
        <v>-330019.81167801155</v>
      </c>
      <c r="Q22" s="9">
        <f ca="1" xml:space="preserve"> SUMIF( Time!$J341:$BQ341, Time!Q$28, 'Asset Finance'!$J29:$BQ29)</f>
        <v>-448084.30565396859</v>
      </c>
      <c r="R22" s="9">
        <f ca="1" xml:space="preserve"> SUMIF( Time!$J341:$BQ341, Time!R$28, 'Asset Finance'!$J29:$BQ29)</f>
        <v>-583732.4055300582</v>
      </c>
      <c r="S22" s="9">
        <f ca="1" xml:space="preserve"> SUMIF( Time!$J341:$BQ341, Time!S$28, 'Asset Finance'!$J29:$BQ29)</f>
        <v>-688810.76420678385</v>
      </c>
    </row>
    <row r="23" spans="5:19">
      <c r="E23" s="16" t="str">
        <f xml:space="preserve"> 'Supply Chain finance'!E$48</f>
        <v xml:space="preserve">Supply Chain Finance interest paid </v>
      </c>
      <c r="F23" s="16">
        <f xml:space="preserve"> 'Supply Chain finance'!F$48</f>
        <v>0</v>
      </c>
      <c r="G23" s="16" t="str">
        <f xml:space="preserve"> 'Supply Chain finance'!G$48</f>
        <v>GBP</v>
      </c>
      <c r="H23" s="42">
        <f ca="1" xml:space="preserve"> 'Supply Chain finance'!H$48</f>
        <v>0</v>
      </c>
      <c r="I23" s="16">
        <f xml:space="preserve"> 'Supply Chain finance'!I$48</f>
        <v>0</v>
      </c>
      <c r="J23" s="9">
        <f ca="1" xml:space="preserve"> SUMIF( Time!$J341:$BQ341, Time!J$28, 'Supply Chain finance'!$J48:$BQ48)</f>
        <v>0</v>
      </c>
      <c r="K23" s="9">
        <f ca="1" xml:space="preserve"> SUMIF( Time!$J341:$BQ341, Time!K$28, 'Supply Chain finance'!$J48:$BQ48)</f>
        <v>0</v>
      </c>
      <c r="L23" s="9">
        <f ca="1" xml:space="preserve"> SUMIF( Time!$J341:$BQ341, Time!L$28, 'Supply Chain finance'!$J48:$BQ48)</f>
        <v>0</v>
      </c>
      <c r="M23" s="9">
        <f ca="1" xml:space="preserve"> SUMIF( Time!$J341:$BQ341, Time!M$28, 'Supply Chain finance'!$J48:$BQ48)</f>
        <v>0</v>
      </c>
      <c r="N23" s="9">
        <f ca="1" xml:space="preserve"> SUMIF( Time!$J341:$BQ341, Time!N$28, 'Supply Chain finance'!$J48:$BQ48)</f>
        <v>0</v>
      </c>
      <c r="O23" s="9">
        <f ca="1" xml:space="preserve"> SUMIF( Time!$J341:$BQ341, Time!O$28, 'Supply Chain finance'!$J48:$BQ48)</f>
        <v>0</v>
      </c>
      <c r="P23" s="9">
        <f ca="1" xml:space="preserve"> SUMIF( Time!$J341:$BQ341, Time!P$28, 'Supply Chain finance'!$J48:$BQ48)</f>
        <v>0</v>
      </c>
      <c r="Q23" s="9">
        <f ca="1" xml:space="preserve"> SUMIF( Time!$J341:$BQ341, Time!Q$28, 'Supply Chain finance'!$J48:$BQ48)</f>
        <v>0</v>
      </c>
      <c r="R23" s="9">
        <f ca="1" xml:space="preserve"> SUMIF( Time!$J341:$BQ341, Time!R$28, 'Supply Chain finance'!$J48:$BQ48)</f>
        <v>0</v>
      </c>
      <c r="S23" s="9">
        <f ca="1" xml:space="preserve"> SUMIF( Time!$J341:$BQ341, Time!S$28, 'Supply Chain finance'!$J48:$BQ48)</f>
        <v>0</v>
      </c>
    </row>
    <row r="24" spans="5:19">
      <c r="E24" s="16" t="str">
        <f xml:space="preserve"> 'Invoice finance'!E$47</f>
        <v xml:space="preserve">Invoice finance interest paid </v>
      </c>
      <c r="F24" s="16">
        <f xml:space="preserve"> 'Invoice finance'!F$47</f>
        <v>0</v>
      </c>
      <c r="G24" s="16" t="str">
        <f xml:space="preserve"> 'Invoice finance'!G$47</f>
        <v>GBP</v>
      </c>
      <c r="H24" s="42">
        <f ca="1" xml:space="preserve"> 'Invoice finance'!H$47</f>
        <v>0</v>
      </c>
      <c r="I24" s="16">
        <f xml:space="preserve"> 'Invoice finance'!I$47</f>
        <v>0</v>
      </c>
      <c r="J24" s="9">
        <f ca="1" xml:space="preserve"> SUMIF( Time!$J341:$BQ341, Time!J$28, 'Invoice finance'!$J47:$BQ47)</f>
        <v>0</v>
      </c>
      <c r="K24" s="9">
        <f ca="1" xml:space="preserve"> SUMIF( Time!$J341:$BQ341, Time!K$28, 'Invoice finance'!$J47:$BQ47)</f>
        <v>0</v>
      </c>
      <c r="L24" s="9">
        <f ca="1" xml:space="preserve"> SUMIF( Time!$J341:$BQ341, Time!L$28, 'Invoice finance'!$J47:$BQ47)</f>
        <v>0</v>
      </c>
      <c r="M24" s="9">
        <f ca="1" xml:space="preserve"> SUMIF( Time!$J341:$BQ341, Time!M$28, 'Invoice finance'!$J47:$BQ47)</f>
        <v>0</v>
      </c>
      <c r="N24" s="9">
        <f ca="1" xml:space="preserve"> SUMIF( Time!$J341:$BQ341, Time!N$28, 'Invoice finance'!$J47:$BQ47)</f>
        <v>0</v>
      </c>
      <c r="O24" s="9">
        <f ca="1" xml:space="preserve"> SUMIF( Time!$J341:$BQ341, Time!O$28, 'Invoice finance'!$J47:$BQ47)</f>
        <v>0</v>
      </c>
      <c r="P24" s="9">
        <f ca="1" xml:space="preserve"> SUMIF( Time!$J341:$BQ341, Time!P$28, 'Invoice finance'!$J47:$BQ47)</f>
        <v>0</v>
      </c>
      <c r="Q24" s="9">
        <f ca="1" xml:space="preserve"> SUMIF( Time!$J341:$BQ341, Time!Q$28, 'Invoice finance'!$J47:$BQ47)</f>
        <v>0</v>
      </c>
      <c r="R24" s="9">
        <f ca="1" xml:space="preserve"> SUMIF( Time!$J341:$BQ341, Time!R$28, 'Invoice finance'!$J47:$BQ47)</f>
        <v>0</v>
      </c>
      <c r="S24" s="9">
        <f ca="1" xml:space="preserve"> SUMIF( Time!$J341:$BQ341, Time!S$28, 'Invoice finance'!$J47:$BQ47)</f>
        <v>0</v>
      </c>
    </row>
    <row r="25" spans="5:19">
      <c r="E25" s="16" t="str">
        <f xml:space="preserve"> 'Asset Finance'!E$48</f>
        <v xml:space="preserve">Asset Finance interest paid </v>
      </c>
      <c r="F25" s="16">
        <f xml:space="preserve"> 'Asset Finance'!F$48</f>
        <v>0</v>
      </c>
      <c r="G25" s="16" t="str">
        <f xml:space="preserve"> 'Asset Finance'!G$48</f>
        <v>GBP</v>
      </c>
      <c r="H25" s="42">
        <f ca="1" xml:space="preserve"> 'Asset Finance'!H$48</f>
        <v>-450644.387972205</v>
      </c>
      <c r="I25" s="16">
        <f xml:space="preserve"> 'Asset Finance'!I$48</f>
        <v>0</v>
      </c>
      <c r="J25" s="9">
        <f ca="1" xml:space="preserve"> SUMIF( Time!$J341:$BQ341, Time!J$28, 'Asset Finance'!$J48:$BQ48)</f>
        <v>-5367.0583968299907</v>
      </c>
      <c r="K25" s="9">
        <f ca="1" xml:space="preserve"> SUMIF( Time!$J341:$BQ341, Time!K$28, 'Asset Finance'!$J48:$BQ48)</f>
        <v>-10467.632367429185</v>
      </c>
      <c r="L25" s="9">
        <f ca="1" xml:space="preserve"> SUMIF( Time!$J341:$BQ341, Time!L$28, 'Asset Finance'!$J48:$BQ48)</f>
        <v>-15585.404443087033</v>
      </c>
      <c r="M25" s="9">
        <f ca="1" xml:space="preserve"> SUMIF( Time!$J341:$BQ341, Time!M$28, 'Asset Finance'!$J48:$BQ48)</f>
        <v>-21515.730211113718</v>
      </c>
      <c r="N25" s="9">
        <f ca="1" xml:space="preserve"> SUMIF( Time!$J341:$BQ341, Time!N$28, 'Asset Finance'!$J48:$BQ48)</f>
        <v>-31480.618958473871</v>
      </c>
      <c r="O25" s="9">
        <f ca="1" xml:space="preserve"> SUMIF( Time!$J341:$BQ341, Time!O$28, 'Asset Finance'!$J48:$BQ48)</f>
        <v>-38124.377664259577</v>
      </c>
      <c r="P25" s="9">
        <f ca="1" xml:space="preserve"> SUMIF( Time!$J341:$BQ341, Time!P$28, 'Asset Finance'!$J48:$BQ48)</f>
        <v>-52803.169868481855</v>
      </c>
      <c r="Q25" s="9">
        <f ca="1" xml:space="preserve"> SUMIF( Time!$J341:$BQ341, Time!Q$28, 'Asset Finance'!$J48:$BQ48)</f>
        <v>-71693.488904634985</v>
      </c>
      <c r="R25" s="9">
        <f ca="1" xml:space="preserve"> SUMIF( Time!$J341:$BQ341, Time!R$28, 'Asset Finance'!$J48:$BQ48)</f>
        <v>-93397.184884809307</v>
      </c>
      <c r="S25" s="9">
        <f ca="1" xml:space="preserve"> SUMIF( Time!$J341:$BQ341, Time!S$28, 'Asset Finance'!$J48:$BQ48)</f>
        <v>-110209.72227308543</v>
      </c>
    </row>
    <row r="26" spans="5:19">
      <c r="E26" s="12" t="s">
        <v>178</v>
      </c>
      <c r="F26" s="32"/>
      <c r="G26" s="12" t="s">
        <v>252</v>
      </c>
      <c r="H26" s="54">
        <f ca="1" xml:space="preserve"> SUM( J26:BQ26 )</f>
        <v>34145444.452532314</v>
      </c>
      <c r="I26" s="32"/>
      <c r="J26" s="12">
        <f ca="1" xml:space="preserve"> SUMIF( Time!$J341:$BQ341, Time!J$28, Cashflow!$J26:$BQ26)</f>
        <v>-210483.1648393847</v>
      </c>
      <c r="K26" s="12">
        <f ca="1" xml:space="preserve"> SUMIF( Time!$J341:$BQ341, Time!K$28, Cashflow!$J26:$BQ26)</f>
        <v>296170.47195944499</v>
      </c>
      <c r="L26" s="12">
        <f ca="1" xml:space="preserve"> SUMIF( Time!$J341:$BQ341, Time!L$28, Cashflow!$J26:$BQ26)</f>
        <v>373084.61221093766</v>
      </c>
      <c r="M26" s="12">
        <f ca="1" xml:space="preserve"> SUMIF( Time!$J341:$BQ341, Time!M$28, Cashflow!$J26:$BQ26)</f>
        <v>811287.22432317294</v>
      </c>
      <c r="N26" s="12">
        <f ca="1" xml:space="preserve"> SUMIF( Time!$J341:$BQ341, Time!N$28, Cashflow!$J26:$BQ26)</f>
        <v>1637085.4520370271</v>
      </c>
      <c r="O26" s="12">
        <f ca="1" xml:space="preserve"> SUMIF( Time!$J341:$BQ341, Time!O$28, Cashflow!$J26:$BQ26)</f>
        <v>2510817.5148367132</v>
      </c>
      <c r="P26" s="12">
        <f ca="1" xml:space="preserve"> SUMIF( Time!$J341:$BQ341, Time!P$28, Cashflow!$J26:$BQ26)</f>
        <v>2946931.4430781552</v>
      </c>
      <c r="Q26" s="12">
        <f ca="1" xml:space="preserve"> SUMIF( Time!$J341:$BQ341, Time!Q$28, Cashflow!$J26:$BQ26)</f>
        <v>6619896.8461165549</v>
      </c>
      <c r="R26" s="12">
        <f ca="1" xml:space="preserve"> SUMIF( Time!$J341:$BQ341, Time!R$28, Cashflow!$J26:$BQ26)</f>
        <v>6363271.2948714457</v>
      </c>
      <c r="S26" s="12">
        <f ca="1" xml:space="preserve"> SUMIF( Time!$J341:$BQ341, Time!S$28, Cashflow!$J26:$BQ26)</f>
        <v>12797382.757938245</v>
      </c>
    </row>
    <row r="28" spans="5:19">
      <c r="E28" s="16" t="str">
        <f xml:space="preserve"> InpS!E$11</f>
        <v>New share capital issued</v>
      </c>
      <c r="F28" s="16">
        <f xml:space="preserve"> InpS!F$11</f>
        <v>0</v>
      </c>
      <c r="G28" s="16" t="str">
        <f xml:space="preserve"> InpS!G$11</f>
        <v>GBP</v>
      </c>
      <c r="H28" s="42">
        <f xml:space="preserve"> InpS!H$11</f>
        <v>0</v>
      </c>
      <c r="I28" s="16">
        <f xml:space="preserve"> InpS!I$11</f>
        <v>0</v>
      </c>
      <c r="J28" s="9">
        <f xml:space="preserve"> SUMIF( Time!$J341:$BQ341, Time!J$28, InpS!$J11:$BQ11)</f>
        <v>0</v>
      </c>
      <c r="K28" s="9">
        <f xml:space="preserve"> SUMIF( Time!$J341:$BQ341, Time!K$28, InpS!$J11:$BQ11)</f>
        <v>0</v>
      </c>
      <c r="L28" s="9">
        <f xml:space="preserve"> SUMIF( Time!$J341:$BQ341, Time!L$28, InpS!$J11:$BQ11)</f>
        <v>0</v>
      </c>
      <c r="M28" s="9">
        <f xml:space="preserve"> SUMIF( Time!$J341:$BQ341, Time!M$28, InpS!$J11:$BQ11)</f>
        <v>0</v>
      </c>
      <c r="N28" s="9">
        <f xml:space="preserve"> SUMIF( Time!$J341:$BQ341, Time!N$28, InpS!$J11:$BQ11)</f>
        <v>0</v>
      </c>
      <c r="O28" s="9">
        <f xml:space="preserve"> SUMIF( Time!$J341:$BQ341, Time!O$28, InpS!$J11:$BQ11)</f>
        <v>0</v>
      </c>
      <c r="P28" s="9">
        <f xml:space="preserve"> SUMIF( Time!$J341:$BQ341, Time!P$28, InpS!$J11:$BQ11)</f>
        <v>0</v>
      </c>
      <c r="Q28" s="9">
        <f xml:space="preserve"> SUMIF( Time!$J341:$BQ341, Time!Q$28, InpS!$J11:$BQ11)</f>
        <v>0</v>
      </c>
      <c r="R28" s="9">
        <f xml:space="preserve"> SUMIF( Time!$J341:$BQ341, Time!R$28, InpS!$J11:$BQ11)</f>
        <v>0</v>
      </c>
      <c r="S28" s="9">
        <f xml:space="preserve"> SUMIF( Time!$J341:$BQ341, Time!S$28, InpS!$J11:$BQ11)</f>
        <v>0</v>
      </c>
    </row>
    <row r="29" spans="5:19">
      <c r="E29" s="12" t="s">
        <v>114</v>
      </c>
      <c r="F29" s="32"/>
      <c r="G29" s="12" t="s">
        <v>252</v>
      </c>
      <c r="H29" s="54">
        <f ca="1" xml:space="preserve"> SUM( J29:BQ29 )</f>
        <v>34145444.452532314</v>
      </c>
      <c r="I29" s="32"/>
      <c r="J29" s="12">
        <f ca="1" xml:space="preserve"> SUMIF( Time!$J341:$BQ341, Time!J$28, Cashflow!$J29:$BQ29)</f>
        <v>-210483.1648393847</v>
      </c>
      <c r="K29" s="12">
        <f ca="1" xml:space="preserve"> SUMIF( Time!$J341:$BQ341, Time!K$28, Cashflow!$J29:$BQ29)</f>
        <v>296170.47195944499</v>
      </c>
      <c r="L29" s="12">
        <f ca="1" xml:space="preserve"> SUMIF( Time!$J341:$BQ341, Time!L$28, Cashflow!$J29:$BQ29)</f>
        <v>373084.61221093766</v>
      </c>
      <c r="M29" s="12">
        <f ca="1" xml:space="preserve"> SUMIF( Time!$J341:$BQ341, Time!M$28, Cashflow!$J29:$BQ29)</f>
        <v>811287.22432317294</v>
      </c>
      <c r="N29" s="12">
        <f ca="1" xml:space="preserve"> SUMIF( Time!$J341:$BQ341, Time!N$28, Cashflow!$J29:$BQ29)</f>
        <v>1637085.4520370271</v>
      </c>
      <c r="O29" s="12">
        <f ca="1" xml:space="preserve"> SUMIF( Time!$J341:$BQ341, Time!O$28, Cashflow!$J29:$BQ29)</f>
        <v>2510817.5148367132</v>
      </c>
      <c r="P29" s="12">
        <f ca="1" xml:space="preserve"> SUMIF( Time!$J341:$BQ341, Time!P$28, Cashflow!$J29:$BQ29)</f>
        <v>2946931.4430781552</v>
      </c>
      <c r="Q29" s="12">
        <f ca="1" xml:space="preserve"> SUMIF( Time!$J341:$BQ341, Time!Q$28, Cashflow!$J29:$BQ29)</f>
        <v>6619896.8461165549</v>
      </c>
      <c r="R29" s="12">
        <f ca="1" xml:space="preserve"> SUMIF( Time!$J341:$BQ341, Time!R$28, Cashflow!$J29:$BQ29)</f>
        <v>6363271.2948714457</v>
      </c>
      <c r="S29" s="12">
        <f ca="1" xml:space="preserve"> SUMIF( Time!$J341:$BQ341, Time!S$28, Cashflow!$J29:$BQ29)</f>
        <v>12797382.757938245</v>
      </c>
    </row>
  </sheetData>
  <conditionalFormatting sqref="F2:F3">
    <cfRule type="cellIs" dxfId="56" priority="1" stopIfTrue="1" operator="notEqual">
      <formula>0</formula>
    </cfRule>
    <cfRule type="cellIs" dxfId="55" priority="2" stopIfTrue="1" operator="equal">
      <formula>""</formula>
    </cfRule>
  </conditionalFormatting>
  <conditionalFormatting sqref="J3:S3">
    <cfRule type="cellIs" dxfId="54" priority="3" operator="equal">
      <formula>"PPA ext."</formula>
    </cfRule>
    <cfRule type="cellIs" dxfId="53" priority="4" operator="equal">
      <formula>"Delay"</formula>
    </cfRule>
    <cfRule type="cellIs" dxfId="52" priority="5" operator="equal">
      <formula>"Fin Close"</formula>
    </cfRule>
    <cfRule type="cellIs" dxfId="51" priority="6" stopIfTrue="1" operator="equal">
      <formula>"Construction"</formula>
    </cfRule>
    <cfRule type="cellIs" dxfId="50"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4F81BD"/>
    <outlinePr summaryBelow="0" summaryRight="0"/>
  </sheetPr>
  <dimension ref="A1:BQ1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8.6328125" bestFit="1" customWidth="1"/>
    <col min="6" max="6" width="20.54296875" bestFit="1" customWidth="1"/>
    <col min="7" max="7" width="13.1796875" bestFit="1" customWidth="1"/>
    <col min="8" max="8" width="10" style="43" bestFit="1" customWidth="1"/>
    <col min="9" max="9" width="3.453125" customWidth="1"/>
    <col min="10" max="10" width="12.36328125" bestFit="1" customWidth="1"/>
    <col min="11" max="11" width="12.08984375" bestFit="1" customWidth="1"/>
    <col min="12" max="12" width="11.1796875" bestFit="1" customWidth="1"/>
    <col min="13" max="13" width="12.36328125" bestFit="1" customWidth="1"/>
    <col min="14" max="14" width="12.1796875" bestFit="1" customWidth="1"/>
    <col min="15" max="15" width="11.81640625" bestFit="1" customWidth="1"/>
    <col min="16" max="16" width="12.36328125" bestFit="1" customWidth="1"/>
    <col min="17" max="17" width="12.1796875" bestFit="1" customWidth="1"/>
    <col min="18" max="18" width="11.90625" bestFit="1" customWidth="1"/>
    <col min="19" max="19" width="12.08984375" bestFit="1" customWidth="1"/>
    <col min="20" max="20" width="12" bestFit="1" customWidth="1"/>
    <col min="21" max="21" width="11.81640625" bestFit="1" customWidth="1"/>
    <col min="22" max="22" width="12.36328125" bestFit="1" customWidth="1"/>
    <col min="23" max="23" width="12.08984375" bestFit="1" customWidth="1"/>
    <col min="24" max="24" width="11.1796875" bestFit="1" customWidth="1"/>
    <col min="25" max="25" width="12.36328125" bestFit="1" customWidth="1"/>
    <col min="26" max="26" width="12.1796875" bestFit="1" customWidth="1"/>
    <col min="27" max="27" width="11.81640625" bestFit="1" customWidth="1"/>
    <col min="28" max="28" width="12.36328125" bestFit="1" customWidth="1"/>
    <col min="29" max="29" width="12.1796875" bestFit="1" customWidth="1"/>
    <col min="30" max="30" width="11.90625" bestFit="1" customWidth="1"/>
    <col min="31" max="31" width="12.08984375" bestFit="1" customWidth="1"/>
    <col min="32" max="32" width="12" bestFit="1" customWidth="1"/>
    <col min="33" max="33" width="11.81640625" bestFit="1" customWidth="1"/>
    <col min="34" max="34" width="12.36328125" bestFit="1" customWidth="1"/>
    <col min="35" max="35" width="12.08984375" bestFit="1" customWidth="1"/>
    <col min="36" max="36" width="11.1796875" bestFit="1" customWidth="1"/>
    <col min="37" max="37" width="12.36328125" bestFit="1" customWidth="1"/>
    <col min="38" max="38" width="12.1796875" bestFit="1" customWidth="1"/>
    <col min="39" max="39" width="11.81640625" bestFit="1" customWidth="1"/>
    <col min="40" max="40" width="12.36328125" bestFit="1" customWidth="1"/>
    <col min="41" max="41" width="12.1796875" bestFit="1" customWidth="1"/>
    <col min="42" max="42" width="11.90625" bestFit="1" customWidth="1"/>
    <col min="43" max="43" width="12.08984375" bestFit="1" customWidth="1"/>
    <col min="44" max="44" width="12" bestFit="1" customWidth="1"/>
    <col min="45" max="45" width="11.81640625" bestFit="1" customWidth="1"/>
    <col min="46" max="46" width="12.36328125" bestFit="1" customWidth="1"/>
    <col min="47" max="47" width="12.08984375" bestFit="1" customWidth="1"/>
    <col min="48" max="48" width="11.1796875" bestFit="1" customWidth="1"/>
    <col min="49" max="49" width="12.36328125" bestFit="1" customWidth="1"/>
    <col min="50" max="50" width="12.1796875" bestFit="1" customWidth="1"/>
    <col min="51" max="51" width="11.81640625" bestFit="1" customWidth="1"/>
    <col min="52" max="52" width="12.36328125" bestFit="1" customWidth="1"/>
    <col min="53" max="53" width="12.1796875" bestFit="1" customWidth="1"/>
    <col min="54" max="54" width="11.90625" bestFit="1" customWidth="1"/>
    <col min="55" max="55" width="12.08984375" bestFit="1" customWidth="1"/>
    <col min="56" max="56" width="12" bestFit="1" customWidth="1"/>
    <col min="57" max="57" width="11.81640625" bestFit="1" customWidth="1"/>
    <col min="58" max="58" width="12.36328125" bestFit="1" customWidth="1"/>
    <col min="59" max="59" width="12.08984375" bestFit="1" customWidth="1"/>
    <col min="60" max="60" width="11.1796875" bestFit="1" customWidth="1"/>
    <col min="61" max="61" width="12.36328125" bestFit="1" customWidth="1"/>
    <col min="62" max="62" width="12.1796875" bestFit="1" customWidth="1"/>
    <col min="63" max="63" width="11.81640625" bestFit="1" customWidth="1"/>
    <col min="64" max="64" width="12.36328125" bestFit="1" customWidth="1"/>
    <col min="65" max="65" width="12.1796875" bestFit="1" customWidth="1"/>
    <col min="66" max="66" width="11.90625" bestFit="1" customWidth="1"/>
    <col min="67" max="67" width="12.08984375" bestFit="1" customWidth="1"/>
    <col min="68" max="68" width="12" bestFit="1" customWidth="1"/>
    <col min="69" max="69" width="11.81640625" bestFit="1" customWidth="1"/>
    <col min="70" max="70" width="15.08984375" hidden="1" customWidth="1"/>
    <col min="71" max="16384" width="15.08984375" hidden="1"/>
  </cols>
  <sheetData>
    <row r="1" spans="1:69" s="75" customFormat="1" ht="25.15">
      <c r="A1" s="45" t="str">
        <f ca="1" xml:space="preserve"> RIGHT(CELL("filename", A1), LEN(CELL("filename", A1)) - SEARCH("]", CELL("filename", A1)))</f>
        <v>Inventory Report</v>
      </c>
      <c r="B1" s="69"/>
      <c r="C1" s="74"/>
      <c r="D1" s="71"/>
      <c r="F1" s="52" t="str">
        <f>HYPERLINK("#Contents!A1","Go to contents")</f>
        <v>Go to contents</v>
      </c>
      <c r="H1" s="47"/>
      <c r="J1" s="47"/>
    </row>
    <row r="2" spans="1:69" s="53" customFormat="1">
      <c r="A2" s="48"/>
      <c r="B2" s="48"/>
      <c r="C2" s="72"/>
      <c r="D2" s="73"/>
      <c r="E2" s="22" t="s">
        <v>324</v>
      </c>
      <c r="F2" s="51">
        <f ca="1" xml:space="preserve"> 'Model Checks and Alerts'!F11</f>
        <v>0</v>
      </c>
      <c r="G2" s="55"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48"/>
      <c r="B3" s="48"/>
      <c r="C3" s="72"/>
      <c r="D3" s="73"/>
      <c r="E3" s="39" t="s">
        <v>203</v>
      </c>
      <c r="F3" s="51"/>
      <c r="G3" s="55" t="s">
        <v>97</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48"/>
      <c r="B4" s="48"/>
      <c r="C4" s="72"/>
      <c r="D4" s="73"/>
      <c r="E4" s="22" t="s">
        <v>325</v>
      </c>
      <c r="F4"/>
      <c r="G4"/>
      <c r="H4" s="50"/>
      <c r="I4" s="50"/>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48"/>
      <c r="B5" s="48"/>
      <c r="C5" s="72"/>
      <c r="D5" s="73"/>
      <c r="E5" s="22" t="s">
        <v>305</v>
      </c>
      <c r="F5" s="24" t="s">
        <v>248</v>
      </c>
      <c r="G5" s="24" t="s">
        <v>224</v>
      </c>
      <c r="H5" s="24" t="s">
        <v>202</v>
      </c>
      <c r="I5" s="50"/>
      <c r="J5" s="15"/>
      <c r="K5" s="15"/>
      <c r="L5" s="15"/>
      <c r="M5" s="15"/>
      <c r="N5" s="15"/>
      <c r="O5" s="15"/>
      <c r="P5" s="15"/>
    </row>
    <row r="6" spans="1:69" s="43" customFormat="1">
      <c r="A6" s="24"/>
      <c r="B6" s="24"/>
      <c r="C6" s="49"/>
      <c r="D6" s="70"/>
      <c r="F6" s="24"/>
      <c r="G6" s="24"/>
      <c r="H6" s="24"/>
    </row>
    <row r="8" spans="1:69">
      <c r="E8" s="16" t="str">
        <f xml:space="preserve"> Customers!E$11</f>
        <v>New customers orders</v>
      </c>
      <c r="F8" s="16">
        <f xml:space="preserve"> Customers!F$11</f>
        <v>0</v>
      </c>
      <c r="G8" s="16" t="str">
        <f xml:space="preserve"> Customers!G$11</f>
        <v>Units</v>
      </c>
      <c r="H8" s="42">
        <f xml:space="preserve"> Customers!H$11</f>
        <v>261181.72293639058</v>
      </c>
      <c r="I8" s="16">
        <f xml:space="preserve"> Customers!I$11</f>
        <v>0</v>
      </c>
      <c r="J8" s="9">
        <f xml:space="preserve"> Customers!J$11</f>
        <v>500</v>
      </c>
      <c r="K8" s="9">
        <f xml:space="preserve"> Customers!K$11</f>
        <v>530.31869276406599</v>
      </c>
      <c r="L8" s="9">
        <f xml:space="preserve"> Customers!L$11</f>
        <v>561.40868500918316</v>
      </c>
      <c r="M8" s="9">
        <f xml:space="preserve"> Customers!M$11</f>
        <v>595.4510398809266</v>
      </c>
      <c r="N8" s="9">
        <f xml:space="preserve"> Customers!N$11</f>
        <v>631.55763414931334</v>
      </c>
      <c r="O8" s="9">
        <f xml:space="preserve"> Customers!O$11</f>
        <v>668.58277057380337</v>
      </c>
      <c r="P8" s="9">
        <f xml:space="preserve"> Customers!P$11</f>
        <v>709.12388179055358</v>
      </c>
      <c r="Q8" s="9">
        <f xml:space="preserve"> Customers!Q$11</f>
        <v>750.69634809527076</v>
      </c>
      <c r="R8" s="9">
        <f xml:space="preserve"> Customers!R$11</f>
        <v>796.21661196928437</v>
      </c>
      <c r="S8" s="9">
        <f xml:space="preserve"> Customers!S$11</f>
        <v>844.49710563316887</v>
      </c>
      <c r="T8" s="9">
        <f xml:space="preserve"> Customers!T$11</f>
        <v>890.89871814033927</v>
      </c>
      <c r="U8" s="9">
        <f xml:space="preserve"> Customers!U$11</f>
        <v>944.76851169192605</v>
      </c>
      <c r="V8" s="9">
        <f xml:space="preserve"> Customers!V$11</f>
        <v>1000</v>
      </c>
      <c r="W8" s="9">
        <f xml:space="preserve"> Customers!W$11</f>
        <v>1061.5580832031035</v>
      </c>
      <c r="X8" s="9">
        <f xml:space="preserve"> Customers!X$11</f>
        <v>1123.704463583204</v>
      </c>
      <c r="Y8" s="9">
        <f xml:space="preserve"> Customers!Y$11</f>
        <v>1191.7469848656265</v>
      </c>
      <c r="Z8" s="9">
        <f xml:space="preserve"> Customers!Z$11</f>
        <v>1263.9096149956249</v>
      </c>
      <c r="AA8" s="9">
        <f xml:space="preserve"> Customers!AA$11</f>
        <v>1337.9021820933933</v>
      </c>
      <c r="AB8" s="9">
        <f xml:space="preserve"> Customers!AB$11</f>
        <v>1418.9147976423296</v>
      </c>
      <c r="AC8" s="9">
        <f xml:space="preserve"> Customers!AC$11</f>
        <v>1501.9817726260831</v>
      </c>
      <c r="AD8" s="9">
        <f xml:space="preserve"> Customers!AD$11</f>
        <v>1593.7719986646332</v>
      </c>
      <c r="AE8" s="9">
        <f xml:space="preserve"> Customers!AE$11</f>
        <v>1690.3233701094071</v>
      </c>
      <c r="AF8" s="9">
        <f xml:space="preserve"> Customers!AF$11</f>
        <v>1782.5488403365116</v>
      </c>
      <c r="AG8" s="9">
        <f xml:space="preserve"> Customers!AG$11</f>
        <v>1890.5363914705406</v>
      </c>
      <c r="AH8" s="9">
        <f xml:space="preserve"> Customers!AH$11</f>
        <v>2001.2652671743485</v>
      </c>
      <c r="AI8" s="9">
        <f xml:space="preserve"> Customers!AI$11</f>
        <v>2122.5027505360667</v>
      </c>
      <c r="AJ8" s="9">
        <f xml:space="preserve"> Customers!AJ$11</f>
        <v>2246.81791543077</v>
      </c>
      <c r="AK8" s="9">
        <f xml:space="preserve"> Customers!AK$11</f>
        <v>2382.9310804903203</v>
      </c>
      <c r="AL8" s="9">
        <f xml:space="preserve"> Customers!AL$11</f>
        <v>2527.2900377768647</v>
      </c>
      <c r="AM8" s="9">
        <f xml:space="preserve"> Customers!AM$11</f>
        <v>2675.3136281838124</v>
      </c>
      <c r="AN8" s="9">
        <f xml:space="preserve"> Customers!AN$11</f>
        <v>2837.3852419795539</v>
      </c>
      <c r="AO8" s="9">
        <f xml:space="preserve"> Customers!AO$11</f>
        <v>3003.5711346185153</v>
      </c>
      <c r="AP8" s="9">
        <f xml:space="preserve"> Customers!AP$11</f>
        <v>3186.8748572718159</v>
      </c>
      <c r="AQ8" s="9">
        <f xml:space="preserve"> Customers!AQ$11</f>
        <v>3379.98241970861</v>
      </c>
      <c r="AR8" s="9">
        <f xml:space="preserve"> Customers!AR$11</f>
        <v>3564.4403170294318</v>
      </c>
      <c r="AS8" s="9">
        <f xml:space="preserve"> Customers!AS$11</f>
        <v>3780.4263258626238</v>
      </c>
      <c r="AT8" s="9">
        <f xml:space="preserve"> Customers!AT$11</f>
        <v>4001.8981837991764</v>
      </c>
      <c r="AU8" s="9">
        <f xml:space="preserve"> Customers!AU$11</f>
        <v>4244.3917983916417</v>
      </c>
      <c r="AV8" s="9">
        <f xml:space="preserve"> Customers!AV$11</f>
        <v>4493.0445312777838</v>
      </c>
      <c r="AW8" s="9">
        <f xml:space="preserve"> Customers!AW$11</f>
        <v>4765.298986257475</v>
      </c>
      <c r="AX8" s="9">
        <f xml:space="preserve"> Customers!AX$11</f>
        <v>5054.050604294488</v>
      </c>
      <c r="AY8" s="9">
        <f xml:space="preserve"> Customers!AY$11</f>
        <v>5350.1362520376797</v>
      </c>
      <c r="AZ8" s="9">
        <f xml:space="preserve"> Customers!AZ$11</f>
        <v>5674.3258787430632</v>
      </c>
      <c r="BA8" s="9">
        <f xml:space="preserve"> Customers!BA$11</f>
        <v>6006.7496284946019</v>
      </c>
      <c r="BB8" s="9">
        <f xml:space="preserve"> Customers!BB$11</f>
        <v>6372.946588234563</v>
      </c>
      <c r="BC8" s="9">
        <f xml:space="preserve"> Customers!BC$11</f>
        <v>6759.1674891435086</v>
      </c>
      <c r="BD8" s="9">
        <f xml:space="preserve"> Customers!BD$11</f>
        <v>7128.0916261082357</v>
      </c>
      <c r="BE8" s="9">
        <f xml:space="preserve"> Customers!BE$11</f>
        <v>7560.0767261684687</v>
      </c>
      <c r="BF8" s="9">
        <f xml:space="preserve"> Customers!BF$11</f>
        <v>8003.0373658535955</v>
      </c>
      <c r="BG8" s="9">
        <f xml:space="preserve"> Customers!BG$11</f>
        <v>8488.0469699124624</v>
      </c>
      <c r="BH8" s="9">
        <f xml:space="preserve"> Customers!BH$11</f>
        <v>8985.3793187304836</v>
      </c>
      <c r="BI8" s="9">
        <f xml:space="preserve"> Customers!BI$11</f>
        <v>9529.921980031846</v>
      </c>
      <c r="BJ8" s="9">
        <f xml:space="preserve"> Customers!BJ$11</f>
        <v>10107.465664379506</v>
      </c>
      <c r="BK8" s="9">
        <f xml:space="preserve"> Customers!BK$11</f>
        <v>10699.683127039856</v>
      </c>
      <c r="BL8" s="9">
        <f xml:space="preserve"> Customers!BL$11</f>
        <v>11348.118069895754</v>
      </c>
      <c r="BM8" s="9">
        <f xml:space="preserve"> Customers!BM$11</f>
        <v>12013.027940725995</v>
      </c>
      <c r="BN8" s="9">
        <f xml:space="preserve"> Customers!BN$11</f>
        <v>12726.008005999736</v>
      </c>
      <c r="BO8" s="9">
        <f xml:space="preserve"> Customers!BO$11</f>
        <v>13496.954871063208</v>
      </c>
      <c r="BP8" s="9">
        <f xml:space="preserve"> Customers!BP$11</f>
        <v>14260.390722692093</v>
      </c>
      <c r="BQ8" s="9">
        <f xml:space="preserve"> Customers!BQ$11</f>
        <v>15124.291131764327</v>
      </c>
    </row>
    <row r="9" spans="1:69">
      <c r="E9" s="16" t="str">
        <f xml:space="preserve"> Customers!E$32</f>
        <v>Renewing Customer Orders</v>
      </c>
      <c r="F9" s="16">
        <f xml:space="preserve"> Customers!F$32</f>
        <v>0</v>
      </c>
      <c r="G9" s="16" t="str">
        <f xml:space="preserve"> Customers!G$32</f>
        <v>Units</v>
      </c>
      <c r="H9" s="42">
        <f ca="1" xml:space="preserve"> Customers!H$32</f>
        <v>53090.297527815921</v>
      </c>
      <c r="I9" s="16">
        <f xml:space="preserve"> Customers!I$32</f>
        <v>0</v>
      </c>
      <c r="J9" s="9">
        <f ca="1" xml:space="preserve"> Customers!J$32</f>
        <v>0</v>
      </c>
      <c r="K9" s="9">
        <f ca="1" xml:space="preserve"> Customers!K$32</f>
        <v>0</v>
      </c>
      <c r="L9" s="9">
        <f ca="1" xml:space="preserve"> Customers!L$32</f>
        <v>0</v>
      </c>
      <c r="M9" s="9">
        <f ca="1" xml:space="preserve"> Customers!M$32</f>
        <v>0</v>
      </c>
      <c r="N9" s="9">
        <f ca="1" xml:space="preserve"> Customers!N$32</f>
        <v>0</v>
      </c>
      <c r="O9" s="9">
        <f ca="1" xml:space="preserve"> Customers!O$32</f>
        <v>0</v>
      </c>
      <c r="P9" s="9">
        <f ca="1" xml:space="preserve"> Customers!P$32</f>
        <v>0</v>
      </c>
      <c r="Q9" s="9">
        <f ca="1" xml:space="preserve"> Customers!Q$32</f>
        <v>0</v>
      </c>
      <c r="R9" s="9">
        <f ca="1" xml:space="preserve"> Customers!R$32</f>
        <v>0</v>
      </c>
      <c r="S9" s="9">
        <f ca="1" xml:space="preserve"> Customers!S$32</f>
        <v>0</v>
      </c>
      <c r="T9" s="9">
        <f ca="1" xml:space="preserve"> Customers!T$32</f>
        <v>0</v>
      </c>
      <c r="U9" s="9">
        <f ca="1" xml:space="preserve"> Customers!U$32</f>
        <v>0</v>
      </c>
      <c r="V9" s="9">
        <f ca="1" xml:space="preserve"> Customers!V$32</f>
        <v>0</v>
      </c>
      <c r="W9" s="9">
        <f ca="1" xml:space="preserve"> Customers!W$32</f>
        <v>0</v>
      </c>
      <c r="X9" s="9">
        <f ca="1" xml:space="preserve"> Customers!X$32</f>
        <v>0</v>
      </c>
      <c r="Y9" s="9">
        <f ca="1" xml:space="preserve"> Customers!Y$32</f>
        <v>0</v>
      </c>
      <c r="Z9" s="9">
        <f ca="1" xml:space="preserve"> Customers!Z$32</f>
        <v>0</v>
      </c>
      <c r="AA9" s="9">
        <f ca="1" xml:space="preserve"> Customers!AA$32</f>
        <v>0</v>
      </c>
      <c r="AB9" s="9">
        <f ca="1" xml:space="preserve"> Customers!AB$32</f>
        <v>0</v>
      </c>
      <c r="AC9" s="9">
        <f ca="1" xml:space="preserve"> Customers!AC$32</f>
        <v>0</v>
      </c>
      <c r="AD9" s="9">
        <f ca="1" xml:space="preserve"> Customers!AD$32</f>
        <v>0</v>
      </c>
      <c r="AE9" s="9">
        <f ca="1" xml:space="preserve"> Customers!AE$32</f>
        <v>0</v>
      </c>
      <c r="AF9" s="9">
        <f ca="1" xml:space="preserve"> Customers!AF$32</f>
        <v>0</v>
      </c>
      <c r="AG9" s="9">
        <f ca="1" xml:space="preserve"> Customers!AG$32</f>
        <v>0</v>
      </c>
      <c r="AH9" s="9">
        <f ca="1" xml:space="preserve"> Customers!AH$32</f>
        <v>450</v>
      </c>
      <c r="AI9" s="9">
        <f ca="1" xml:space="preserve"> Customers!AI$32</f>
        <v>477.28682348765938</v>
      </c>
      <c r="AJ9" s="9">
        <f ca="1" xml:space="preserve"> Customers!AJ$32</f>
        <v>505.26781650826484</v>
      </c>
      <c r="AK9" s="9">
        <f ca="1" xml:space="preserve"> Customers!AK$32</f>
        <v>535.90593589283401</v>
      </c>
      <c r="AL9" s="9">
        <f ca="1" xml:space="preserve"> Customers!AL$32</f>
        <v>568.40187073438199</v>
      </c>
      <c r="AM9" s="9">
        <f ca="1" xml:space="preserve"> Customers!AM$32</f>
        <v>601.72449351642308</v>
      </c>
      <c r="AN9" s="9">
        <f ca="1" xml:space="preserve"> Customers!AN$32</f>
        <v>638.21149361149821</v>
      </c>
      <c r="AO9" s="9">
        <f ca="1" xml:space="preserve"> Customers!AO$32</f>
        <v>675.62671328574368</v>
      </c>
      <c r="AP9" s="9">
        <f ca="1" xml:space="preserve"> Customers!AP$32</f>
        <v>716.5949507723559</v>
      </c>
      <c r="AQ9" s="9">
        <f ca="1" xml:space="preserve"> Customers!AQ$32</f>
        <v>760.04739506985197</v>
      </c>
      <c r="AR9" s="9">
        <f ca="1" xml:space="preserve"> Customers!AR$32</f>
        <v>801.80884632630534</v>
      </c>
      <c r="AS9" s="9">
        <f ca="1" xml:space="preserve"> Customers!AS$32</f>
        <v>850.29166052273342</v>
      </c>
      <c r="AT9" s="9">
        <f ca="1" xml:space="preserve"> Customers!AT$32</f>
        <v>900</v>
      </c>
      <c r="AU9" s="9">
        <f ca="1" xml:space="preserve"> Customers!AU$32</f>
        <v>955.40227488279311</v>
      </c>
      <c r="AV9" s="9">
        <f ca="1" xml:space="preserve"> Customers!AV$32</f>
        <v>1011.3340172248836</v>
      </c>
      <c r="AW9" s="9">
        <f ca="1" xml:space="preserve"> Customers!AW$32</f>
        <v>1072.5722863790638</v>
      </c>
      <c r="AX9" s="9">
        <f ca="1" xml:space="preserve"> Customers!AX$32</f>
        <v>1137.5186534960624</v>
      </c>
      <c r="AY9" s="9">
        <f ca="1" xml:space="preserve"> Customers!AY$32</f>
        <v>1204.1119638840539</v>
      </c>
      <c r="AZ9" s="9">
        <f ca="1" xml:space="preserve"> Customers!AZ$32</f>
        <v>1277.0233178780968</v>
      </c>
      <c r="BA9" s="9">
        <f ca="1" xml:space="preserve"> Customers!BA$32</f>
        <v>1351.7835953634749</v>
      </c>
      <c r="BB9" s="9">
        <f ca="1" xml:space="preserve"> Customers!BB$32</f>
        <v>1434.3947987981699</v>
      </c>
      <c r="BC9" s="9">
        <f ca="1" xml:space="preserve"> Customers!BC$32</f>
        <v>1521.2910330984664</v>
      </c>
      <c r="BD9" s="9">
        <f ca="1" xml:space="preserve"> Customers!BD$32</f>
        <v>1604.2939563028606</v>
      </c>
      <c r="BE9" s="9">
        <f ca="1" xml:space="preserve"> Customers!BE$32</f>
        <v>1701.4827523234865</v>
      </c>
      <c r="BF9" s="9">
        <f ca="1" xml:space="preserve"> Customers!BF$32</f>
        <v>1801.1387404569136</v>
      </c>
      <c r="BG9" s="9">
        <f ca="1" xml:space="preserve"> Customers!BG$32</f>
        <v>1910.2524754824601</v>
      </c>
      <c r="BH9" s="9">
        <f ca="1" xml:space="preserve"> Customers!BH$32</f>
        <v>2022.136123887693</v>
      </c>
      <c r="BI9" s="9">
        <f ca="1" xml:space="preserve"> Customers!BI$32</f>
        <v>2144.6379724412882</v>
      </c>
      <c r="BJ9" s="9">
        <f ca="1" xml:space="preserve"> Customers!BJ$32</f>
        <v>2274.5610339991781</v>
      </c>
      <c r="BK9" s="9">
        <f ca="1" xml:space="preserve"> Customers!BK$32</f>
        <v>2407.7822653654312</v>
      </c>
      <c r="BL9" s="9">
        <f ca="1" xml:space="preserve"> Customers!BL$32</f>
        <v>2553.6467177815985</v>
      </c>
      <c r="BM9" s="9">
        <f ca="1" xml:space="preserve"> Customers!BM$32</f>
        <v>2703.2140211566639</v>
      </c>
      <c r="BN9" s="9">
        <f ca="1" xml:space="preserve"> Customers!BN$32</f>
        <v>2868.1873715446345</v>
      </c>
      <c r="BO9" s="9">
        <f ca="1" xml:space="preserve"> Customers!BO$32</f>
        <v>3041.9841777377492</v>
      </c>
      <c r="BP9" s="9">
        <f ca="1" xml:space="preserve"> Customers!BP$32</f>
        <v>3207.9962853264888</v>
      </c>
      <c r="BQ9" s="9">
        <f ca="1" xml:space="preserve"> Customers!BQ$32</f>
        <v>3402.3836932763616</v>
      </c>
    </row>
    <row r="10" spans="1:69">
      <c r="E10" s="16" t="str">
        <f xml:space="preserve"> Customers!E$21</f>
        <v>Customer Orders Awaiting Fullfilment</v>
      </c>
      <c r="F10" s="16">
        <f xml:space="preserve"> Customers!F$21</f>
        <v>0</v>
      </c>
      <c r="G10" s="16" t="str">
        <f xml:space="preserve"> Customers!G$21</f>
        <v>Units</v>
      </c>
      <c r="H10" s="42">
        <f xml:space="preserve"> Customers!H$21</f>
        <v>0</v>
      </c>
      <c r="I10" s="16">
        <f xml:space="preserve"> Customers!I$21</f>
        <v>0</v>
      </c>
      <c r="J10" s="9">
        <f ca="1">Customers!J$21</f>
        <v>500</v>
      </c>
      <c r="K10" s="9">
        <f ca="1">Customers!K$21</f>
        <v>1030.3186927640659</v>
      </c>
      <c r="L10" s="9">
        <f ca="1">Customers!L$21</f>
        <v>1591.7273777732489</v>
      </c>
      <c r="M10" s="9">
        <f ca="1">Customers!M$21</f>
        <v>2187.1784176541755</v>
      </c>
      <c r="N10" s="9">
        <f ca="1">Customers!N$21</f>
        <v>2818.7360518034889</v>
      </c>
      <c r="O10" s="9">
        <f ca="1">Customers!O$21</f>
        <v>3487.3188223772922</v>
      </c>
      <c r="P10" s="9">
        <f ca="1">Customers!P$21</f>
        <v>4196.4427041678455</v>
      </c>
      <c r="Q10" s="9">
        <f ca="1">Customers!Q$21</f>
        <v>750.69634809527088</v>
      </c>
      <c r="R10" s="9">
        <f ca="1">Customers!R$21</f>
        <v>796.21661196928426</v>
      </c>
      <c r="S10" s="9">
        <f ca="1">Customers!S$21</f>
        <v>1587.8527698655694</v>
      </c>
      <c r="T10" s="9">
        <f ca="1">Customers!T$21</f>
        <v>2478.7514880059089</v>
      </c>
      <c r="U10" s="9">
        <f ca="1">Customers!U$21</f>
        <v>3423.5199996978349</v>
      </c>
      <c r="V10" s="9">
        <f ca="1">Customers!V$21</f>
        <v>4423.5199996978354</v>
      </c>
      <c r="W10" s="9">
        <f ca="1">Customers!W$21</f>
        <v>1061.5580832031037</v>
      </c>
      <c r="X10" s="9">
        <f ca="1">Customers!X$21</f>
        <v>1608.782546484143</v>
      </c>
      <c r="Y10" s="9">
        <f ca="1">Customers!Y$21</f>
        <v>2800.5295313497695</v>
      </c>
      <c r="Z10" s="9">
        <f ca="1">Customers!Z$21</f>
        <v>4064.4391463453944</v>
      </c>
      <c r="AA10" s="9">
        <f ca="1">Customers!AA$21</f>
        <v>5402.341328438788</v>
      </c>
      <c r="AB10" s="9">
        <f ca="1">Customers!AB$21</f>
        <v>6821.2561260811181</v>
      </c>
      <c r="AC10" s="9">
        <f ca="1">Customers!AC$21</f>
        <v>3323.2378987072007</v>
      </c>
      <c r="AD10" s="9">
        <f ca="1">Customers!AD$21</f>
        <v>4917.0098973718341</v>
      </c>
      <c r="AE10" s="9">
        <f ca="1">Customers!AE$21</f>
        <v>6607.3332674812409</v>
      </c>
      <c r="AF10" s="9">
        <f ca="1">Customers!AF$21</f>
        <v>8389.8821078177534</v>
      </c>
      <c r="AG10" s="9">
        <f ca="1">Customers!AG$21</f>
        <v>5280.4184992882947</v>
      </c>
      <c r="AH10" s="9">
        <f ca="1">Customers!AH$21</f>
        <v>7731.6837664626437</v>
      </c>
      <c r="AI10" s="9">
        <f ca="1">Customers!AI$21</f>
        <v>9331.4733404863691</v>
      </c>
      <c r="AJ10" s="9">
        <f ca="1">Customers!AJ$21</f>
        <v>11022.921686897271</v>
      </c>
      <c r="AK10" s="9">
        <f ca="1">Customers!AK$21</f>
        <v>7818.941333262057</v>
      </c>
      <c r="AL10" s="9">
        <f ca="1">Customers!AL$21</f>
        <v>9723.7311620114488</v>
      </c>
      <c r="AM10" s="9">
        <f ca="1">Customers!AM$21</f>
        <v>11737.654015413058</v>
      </c>
      <c r="AN10" s="9">
        <f ca="1">Customers!AN$21</f>
        <v>8876.0852098565028</v>
      </c>
      <c r="AO10" s="9">
        <f ca="1">Customers!AO$21</f>
        <v>11137.035294179654</v>
      </c>
      <c r="AP10" s="9">
        <f ca="1">Customers!AP$21</f>
        <v>8539.1124060332841</v>
      </c>
      <c r="AQ10" s="9">
        <f ca="1">Customers!AQ$21</f>
        <v>11086.708996873176</v>
      </c>
      <c r="AR10" s="9">
        <f ca="1">Customers!AR$21</f>
        <v>13763.963948962575</v>
      </c>
      <c r="AS10" s="9">
        <f ca="1">Customers!AS$21</f>
        <v>11612.884499067255</v>
      </c>
      <c r="AT10" s="9">
        <f ca="1">Customers!AT$21</f>
        <v>14625.245659482582</v>
      </c>
      <c r="AU10" s="9">
        <f ca="1">Customers!AU$21</f>
        <v>17825.039732757017</v>
      </c>
      <c r="AV10" s="9">
        <f ca="1">Customers!AV$21</f>
        <v>16206.302114853477</v>
      </c>
      <c r="AW10" s="9">
        <f ca="1">Customers!AW$21</f>
        <v>19796.764460323608</v>
      </c>
      <c r="AX10" s="9">
        <f ca="1">Customers!AX$21</f>
        <v>18604.839748382903</v>
      </c>
      <c r="AY10" s="9">
        <f ca="1">Customers!AY$21</f>
        <v>22631.268734313388</v>
      </c>
      <c r="AZ10" s="9">
        <f ca="1">Customers!AZ$21</f>
        <v>21906.813566747762</v>
      </c>
      <c r="BA10" s="9">
        <f ca="1">Customers!BA$21</f>
        <v>21427.517195321179</v>
      </c>
      <c r="BB10" s="9">
        <f ca="1">Customers!BB$21</f>
        <v>26230.895037101749</v>
      </c>
      <c r="BC10" s="9">
        <f ca="1">Customers!BC$21</f>
        <v>26323.80956201446</v>
      </c>
      <c r="BD10" s="9">
        <f ca="1">Customers!BD$21</f>
        <v>26675.548404206747</v>
      </c>
      <c r="BE10" s="9">
        <f ca="1">Customers!BE$21</f>
        <v>32372.010202025675</v>
      </c>
      <c r="BF10" s="9">
        <f ca="1">Customers!BF$21</f>
        <v>33395.1135253951</v>
      </c>
      <c r="BG10" s="9">
        <f ca="1">Customers!BG$21</f>
        <v>33890.882436441323</v>
      </c>
      <c r="BH10" s="9">
        <f ca="1">Customers!BH$21</f>
        <v>34698.818731012048</v>
      </c>
      <c r="BI10" s="9">
        <f ca="1">Customers!BI$21</f>
        <v>35869.207219607117</v>
      </c>
      <c r="BJ10" s="9">
        <f ca="1">Customers!BJ$21</f>
        <v>37413.559885219496</v>
      </c>
      <c r="BK10" s="9">
        <f ca="1">Customers!BK$21</f>
        <v>39329.641460602288</v>
      </c>
      <c r="BL10" s="9">
        <f ca="1">Customers!BL$21</f>
        <v>41677.330004879172</v>
      </c>
      <c r="BM10" s="9">
        <f ca="1">Customers!BM$21</f>
        <v>44442.378495579731</v>
      </c>
      <c r="BN10" s="9">
        <f ca="1">Customers!BN$21</f>
        <v>47678.178177315582</v>
      </c>
      <c r="BO10" s="9">
        <f ca="1">Customers!BO$21</f>
        <v>51410.1776100282</v>
      </c>
      <c r="BP10" s="9">
        <f ca="1">Customers!BP$21</f>
        <v>55598.504988489847</v>
      </c>
      <c r="BQ10" s="9">
        <f ca="1">Customers!BQ$21</f>
        <v>60392.68148681907</v>
      </c>
    </row>
    <row r="11" spans="1:69">
      <c r="E11" s="16" t="str">
        <f xml:space="preserve"> Inventory!E$26</f>
        <v>Units ordered</v>
      </c>
      <c r="F11" s="16">
        <f xml:space="preserve"> Inventory!F$26</f>
        <v>0</v>
      </c>
      <c r="G11" s="16" t="str">
        <f xml:space="preserve"> Inventory!G$26</f>
        <v>Units</v>
      </c>
      <c r="H11" s="42">
        <f ca="1" xml:space="preserve"> Inventory!H$26</f>
        <v>165000</v>
      </c>
      <c r="I11" s="16">
        <f xml:space="preserve"> Inventory!I$26</f>
        <v>0</v>
      </c>
      <c r="J11" s="9">
        <f ca="1" xml:space="preserve"> Inventory!J$26</f>
        <v>5000</v>
      </c>
      <c r="K11" s="9">
        <f ca="1" xml:space="preserve"> Inventory!K$26</f>
        <v>0</v>
      </c>
      <c r="L11" s="9">
        <f ca="1" xml:space="preserve"> Inventory!L$26</f>
        <v>0</v>
      </c>
      <c r="M11" s="9">
        <f ca="1" xml:space="preserve"> Inventory!M$26</f>
        <v>0</v>
      </c>
      <c r="N11" s="9">
        <f ca="1" xml:space="preserve"> Inventory!N$26</f>
        <v>0</v>
      </c>
      <c r="O11" s="9">
        <f ca="1" xml:space="preserve"> Inventory!O$26</f>
        <v>0</v>
      </c>
      <c r="P11" s="9">
        <f ca="1" xml:space="preserve"> Inventory!P$26</f>
        <v>5000</v>
      </c>
      <c r="Q11" s="9">
        <f ca="1" xml:space="preserve"> Inventory!Q$26</f>
        <v>0</v>
      </c>
      <c r="R11" s="9">
        <f ca="1" xml:space="preserve"> Inventory!R$26</f>
        <v>0</v>
      </c>
      <c r="S11" s="9">
        <f ca="1" xml:space="preserve"> Inventory!S$26</f>
        <v>0</v>
      </c>
      <c r="T11" s="9">
        <f ca="1" xml:space="preserve"> Inventory!T$26</f>
        <v>0</v>
      </c>
      <c r="U11" s="9">
        <f ca="1" xml:space="preserve"> Inventory!U$26</f>
        <v>0</v>
      </c>
      <c r="V11" s="9">
        <f ca="1" xml:space="preserve"> Inventory!V$26</f>
        <v>5000</v>
      </c>
      <c r="W11" s="9">
        <f ca="1" xml:space="preserve"> Inventory!W$26</f>
        <v>0</v>
      </c>
      <c r="X11" s="9">
        <f ca="1" xml:space="preserve"> Inventory!X$26</f>
        <v>0</v>
      </c>
      <c r="Y11" s="9">
        <f ca="1" xml:space="preserve"> Inventory!Y$26</f>
        <v>0</v>
      </c>
      <c r="Z11" s="9">
        <f ca="1" xml:space="preserve"> Inventory!Z$26</f>
        <v>5000</v>
      </c>
      <c r="AA11" s="9">
        <f ca="1" xml:space="preserve"> Inventory!AA$26</f>
        <v>0</v>
      </c>
      <c r="AB11" s="9">
        <f ca="1" xml:space="preserve"> Inventory!AB$26</f>
        <v>0</v>
      </c>
      <c r="AC11" s="9">
        <f ca="1" xml:space="preserve"> Inventory!AC$26</f>
        <v>0</v>
      </c>
      <c r="AD11" s="9">
        <f ca="1" xml:space="preserve"> Inventory!AD$26</f>
        <v>5000</v>
      </c>
      <c r="AE11" s="9">
        <f ca="1" xml:space="preserve"> Inventory!AE$26</f>
        <v>0</v>
      </c>
      <c r="AF11" s="9">
        <f ca="1" xml:space="preserve"> Inventory!AF$26</f>
        <v>0</v>
      </c>
      <c r="AG11" s="9">
        <f ca="1" xml:space="preserve"> Inventory!AG$26</f>
        <v>5000</v>
      </c>
      <c r="AH11" s="9">
        <f ca="1" xml:space="preserve"> Inventory!AH$26</f>
        <v>0</v>
      </c>
      <c r="AI11" s="9">
        <f ca="1" xml:space="preserve"> Inventory!AI$26</f>
        <v>5000</v>
      </c>
      <c r="AJ11" s="9">
        <f ca="1" xml:space="preserve"> Inventory!AJ$26</f>
        <v>0</v>
      </c>
      <c r="AK11" s="9">
        <f ca="1" xml:space="preserve"> Inventory!AK$26</f>
        <v>0</v>
      </c>
      <c r="AL11" s="9">
        <f ca="1" xml:space="preserve"> Inventory!AL$26</f>
        <v>5000</v>
      </c>
      <c r="AM11" s="9">
        <f ca="1" xml:space="preserve"> Inventory!AM$26</f>
        <v>0</v>
      </c>
      <c r="AN11" s="9">
        <f ca="1" xml:space="preserve"> Inventory!AN$26</f>
        <v>0</v>
      </c>
      <c r="AO11" s="9">
        <f ca="1" xml:space="preserve"> Inventory!AO$26</f>
        <v>5000</v>
      </c>
      <c r="AP11" s="9">
        <f ca="1" xml:space="preserve"> Inventory!AP$26</f>
        <v>0</v>
      </c>
      <c r="AQ11" s="9">
        <f ca="1" xml:space="preserve"> Inventory!AQ$26</f>
        <v>5000</v>
      </c>
      <c r="AR11" s="9">
        <f ca="1" xml:space="preserve"> Inventory!AR$26</f>
        <v>0</v>
      </c>
      <c r="AS11" s="9">
        <f ca="1" xml:space="preserve"> Inventory!AS$26</f>
        <v>5000</v>
      </c>
      <c r="AT11" s="9">
        <f ca="1" xml:space="preserve"> Inventory!AT$26</f>
        <v>5000</v>
      </c>
      <c r="AU11" s="9">
        <f ca="1" xml:space="preserve"> Inventory!AU$26</f>
        <v>0</v>
      </c>
      <c r="AV11" s="9">
        <f ca="1" xml:space="preserve"> Inventory!AV$26</f>
        <v>5000</v>
      </c>
      <c r="AW11" s="9">
        <f ca="1" xml:space="preserve"> Inventory!AW$26</f>
        <v>5000</v>
      </c>
      <c r="AX11" s="9">
        <f ca="1" xml:space="preserve"> Inventory!AX$26</f>
        <v>0</v>
      </c>
      <c r="AY11" s="9">
        <f ca="1" xml:space="preserve"> Inventory!AY$26</f>
        <v>5000</v>
      </c>
      <c r="AZ11" s="9">
        <f ca="1" xml:space="preserve"> Inventory!AZ$26</f>
        <v>5000</v>
      </c>
      <c r="BA11" s="9">
        <f ca="1" xml:space="preserve"> Inventory!BA$26</f>
        <v>5000</v>
      </c>
      <c r="BB11" s="9">
        <f ca="1" xml:space="preserve"> Inventory!BB$26</f>
        <v>5000</v>
      </c>
      <c r="BC11" s="9">
        <f ca="1" xml:space="preserve"> Inventory!BC$26</f>
        <v>5000</v>
      </c>
      <c r="BD11" s="9">
        <f ca="1" xml:space="preserve"> Inventory!BD$26</f>
        <v>5000</v>
      </c>
      <c r="BE11" s="9">
        <f ca="1" xml:space="preserve"> Inventory!BE$26</f>
        <v>5000</v>
      </c>
      <c r="BF11" s="9">
        <f ca="1" xml:space="preserve"> Inventory!BF$26</f>
        <v>5000</v>
      </c>
      <c r="BG11" s="9">
        <f ca="1" xml:space="preserve"> Inventory!BG$26</f>
        <v>5000</v>
      </c>
      <c r="BH11" s="9">
        <f ca="1" xml:space="preserve"> Inventory!BH$26</f>
        <v>5000</v>
      </c>
      <c r="BI11" s="9">
        <f ca="1" xml:space="preserve"> Inventory!BI$26</f>
        <v>5000</v>
      </c>
      <c r="BJ11" s="9">
        <f ca="1" xml:space="preserve"> Inventory!BJ$26</f>
        <v>5000</v>
      </c>
      <c r="BK11" s="9">
        <f ca="1" xml:space="preserve"> Inventory!BK$26</f>
        <v>5000</v>
      </c>
      <c r="BL11" s="9">
        <f ca="1" xml:space="preserve"> Inventory!BL$26</f>
        <v>5000</v>
      </c>
      <c r="BM11" s="9">
        <f ca="1" xml:space="preserve"> Inventory!BM$26</f>
        <v>5000</v>
      </c>
      <c r="BN11" s="9">
        <f ca="1" xml:space="preserve"> Inventory!BN$26</f>
        <v>5000</v>
      </c>
      <c r="BO11" s="9">
        <f ca="1" xml:space="preserve"> Inventory!BO$26</f>
        <v>5000</v>
      </c>
      <c r="BP11" s="9">
        <f ca="1" xml:space="preserve"> Inventory!BP$26</f>
        <v>5000</v>
      </c>
      <c r="BQ11" s="9">
        <f ca="1" xml:space="preserve"> Inventory!BQ$26</f>
        <v>5000</v>
      </c>
    </row>
    <row r="12" spans="1:69">
      <c r="E12" s="16" t="str">
        <f xml:space="preserve"> Inventory!E$41</f>
        <v>Units on order</v>
      </c>
      <c r="F12" s="16">
        <f xml:space="preserve"> Inventory!F$41</f>
        <v>0</v>
      </c>
      <c r="G12" s="16" t="str">
        <f xml:space="preserve"> Inventory!G$41</f>
        <v>Units</v>
      </c>
      <c r="H12" s="42">
        <f xml:space="preserve"> Inventory!H$41</f>
        <v>0</v>
      </c>
      <c r="I12" s="16">
        <f xml:space="preserve"> Inventory!I$41</f>
        <v>0</v>
      </c>
      <c r="J12" s="9">
        <f ca="1">Inventory!J$41</f>
        <v>5000</v>
      </c>
      <c r="K12" s="9">
        <f ca="1">Inventory!K$41</f>
        <v>5000</v>
      </c>
      <c r="L12" s="9">
        <f ca="1">Inventory!L$41</f>
        <v>5000</v>
      </c>
      <c r="M12" s="9">
        <f ca="1">Inventory!M$41</f>
        <v>5000</v>
      </c>
      <c r="N12" s="9">
        <f ca="1">Inventory!N$41</f>
        <v>5000</v>
      </c>
      <c r="O12" s="9">
        <f ca="1">Inventory!O$41</f>
        <v>5000</v>
      </c>
      <c r="P12" s="9">
        <f ca="1">Inventory!P$41</f>
        <v>5000</v>
      </c>
      <c r="Q12" s="9">
        <f ca="1">Inventory!Q$41</f>
        <v>5000</v>
      </c>
      <c r="R12" s="9">
        <f ca="1">Inventory!R$41</f>
        <v>5000</v>
      </c>
      <c r="S12" s="9">
        <f ca="1">Inventory!S$41</f>
        <v>5000</v>
      </c>
      <c r="T12" s="9">
        <f ca="1">Inventory!T$41</f>
        <v>5000</v>
      </c>
      <c r="U12" s="9">
        <f ca="1">Inventory!U$41</f>
        <v>5000</v>
      </c>
      <c r="V12" s="9">
        <f ca="1">Inventory!V$41</f>
        <v>5000</v>
      </c>
      <c r="W12" s="9">
        <f ca="1">Inventory!W$41</f>
        <v>5000</v>
      </c>
      <c r="X12" s="9">
        <f ca="1">Inventory!X$41</f>
        <v>5000</v>
      </c>
      <c r="Y12" s="9">
        <f ca="1">Inventory!Y$41</f>
        <v>5000</v>
      </c>
      <c r="Z12" s="9">
        <f ca="1">Inventory!Z$41</f>
        <v>10000</v>
      </c>
      <c r="AA12" s="9">
        <f ca="1">Inventory!AA$41</f>
        <v>10000</v>
      </c>
      <c r="AB12" s="9">
        <f ca="1">Inventory!AB$41</f>
        <v>5000</v>
      </c>
      <c r="AC12" s="9">
        <f ca="1">Inventory!AC$41</f>
        <v>5000</v>
      </c>
      <c r="AD12" s="9">
        <f ca="1">Inventory!AD$41</f>
        <v>10000</v>
      </c>
      <c r="AE12" s="9">
        <f ca="1">Inventory!AE$41</f>
        <v>10000</v>
      </c>
      <c r="AF12" s="9">
        <f ca="1">Inventory!AF$41</f>
        <v>5000</v>
      </c>
      <c r="AG12" s="9">
        <f ca="1">Inventory!AG$41</f>
        <v>10000</v>
      </c>
      <c r="AH12" s="9">
        <f ca="1">Inventory!AH$41</f>
        <v>10000</v>
      </c>
      <c r="AI12" s="9">
        <f ca="1">Inventory!AI$41</f>
        <v>15000</v>
      </c>
      <c r="AJ12" s="9">
        <f ca="1">Inventory!AJ$41</f>
        <v>10000</v>
      </c>
      <c r="AK12" s="9">
        <f ca="1">Inventory!AK$41</f>
        <v>10000</v>
      </c>
      <c r="AL12" s="9">
        <f ca="1">Inventory!AL$41</f>
        <v>15000</v>
      </c>
      <c r="AM12" s="9">
        <f ca="1">Inventory!AM$41</f>
        <v>10000</v>
      </c>
      <c r="AN12" s="9">
        <f ca="1">Inventory!AN$41</f>
        <v>10000</v>
      </c>
      <c r="AO12" s="9">
        <f ca="1">Inventory!AO$41</f>
        <v>10000</v>
      </c>
      <c r="AP12" s="9">
        <f ca="1">Inventory!AP$41</f>
        <v>10000</v>
      </c>
      <c r="AQ12" s="9">
        <f ca="1">Inventory!AQ$41</f>
        <v>15000</v>
      </c>
      <c r="AR12" s="9">
        <f ca="1">Inventory!AR$41</f>
        <v>10000</v>
      </c>
      <c r="AS12" s="9">
        <f ca="1">Inventory!AS$41</f>
        <v>15000</v>
      </c>
      <c r="AT12" s="9">
        <f ca="1">Inventory!AT$41</f>
        <v>20000</v>
      </c>
      <c r="AU12" s="9">
        <f ca="1">Inventory!AU$41</f>
        <v>15000</v>
      </c>
      <c r="AV12" s="9">
        <f ca="1">Inventory!AV$41</f>
        <v>20000</v>
      </c>
      <c r="AW12" s="9">
        <f ca="1">Inventory!AW$41</f>
        <v>20000</v>
      </c>
      <c r="AX12" s="9">
        <f ca="1">Inventory!AX$41</f>
        <v>20000</v>
      </c>
      <c r="AY12" s="9">
        <f ca="1">Inventory!AY$41</f>
        <v>20000</v>
      </c>
      <c r="AZ12" s="9">
        <f ca="1">Inventory!AZ$41</f>
        <v>20000</v>
      </c>
      <c r="BA12" s="9">
        <f ca="1">Inventory!BA$41</f>
        <v>25000</v>
      </c>
      <c r="BB12" s="9">
        <f ca="1">Inventory!BB$41</f>
        <v>25000</v>
      </c>
      <c r="BC12" s="9">
        <f ca="1">Inventory!BC$41</f>
        <v>25000</v>
      </c>
      <c r="BD12" s="9">
        <f ca="1">Inventory!BD$41</f>
        <v>30000</v>
      </c>
      <c r="BE12" s="9">
        <f ca="1">Inventory!BE$41</f>
        <v>30000</v>
      </c>
      <c r="BF12" s="9">
        <f ca="1">Inventory!BF$41</f>
        <v>30000</v>
      </c>
      <c r="BG12" s="9">
        <f ca="1">Inventory!BG$41</f>
        <v>30000</v>
      </c>
      <c r="BH12" s="9">
        <f ca="1">Inventory!BH$41</f>
        <v>30000</v>
      </c>
      <c r="BI12" s="9">
        <f ca="1">Inventory!BI$41</f>
        <v>30000</v>
      </c>
      <c r="BJ12" s="9">
        <f ca="1">Inventory!BJ$41</f>
        <v>30000</v>
      </c>
      <c r="BK12" s="9">
        <f ca="1">Inventory!BK$41</f>
        <v>30000</v>
      </c>
      <c r="BL12" s="9">
        <f ca="1">Inventory!BL$41</f>
        <v>30000</v>
      </c>
      <c r="BM12" s="9">
        <f ca="1">Inventory!BM$41</f>
        <v>30000</v>
      </c>
      <c r="BN12" s="9">
        <f ca="1">Inventory!BN$41</f>
        <v>30000</v>
      </c>
      <c r="BO12" s="9">
        <f ca="1">Inventory!BO$41</f>
        <v>30000</v>
      </c>
      <c r="BP12" s="9">
        <f ca="1">Inventory!BP$41</f>
        <v>30000</v>
      </c>
      <c r="BQ12" s="9">
        <f ca="1">Inventory!BQ$41</f>
        <v>30000</v>
      </c>
    </row>
    <row r="13" spans="1:69">
      <c r="E13" s="16" t="str">
        <f xml:space="preserve"> Inventory!E$32</f>
        <v>Units delivered</v>
      </c>
      <c r="F13" s="16">
        <f xml:space="preserve"> Inventory!F$32</f>
        <v>0</v>
      </c>
      <c r="G13" s="16" t="str">
        <f xml:space="preserve"> Inventory!G$32</f>
        <v>Units</v>
      </c>
      <c r="H13" s="42">
        <f ca="1" xml:space="preserve"> Inventory!H$32</f>
        <v>135000</v>
      </c>
      <c r="I13" s="16">
        <f xml:space="preserve"> Inventory!I$32</f>
        <v>0</v>
      </c>
      <c r="J13" s="9">
        <f ca="1" xml:space="preserve"> Inventory!J$32</f>
        <v>0</v>
      </c>
      <c r="K13" s="9">
        <f ca="1" xml:space="preserve"> Inventory!K$32</f>
        <v>0</v>
      </c>
      <c r="L13" s="9">
        <f ca="1" xml:space="preserve"> Inventory!L$32</f>
        <v>0</v>
      </c>
      <c r="M13" s="9">
        <f ca="1" xml:space="preserve"> Inventory!M$32</f>
        <v>0</v>
      </c>
      <c r="N13" s="9">
        <f ca="1" xml:space="preserve"> Inventory!N$32</f>
        <v>0</v>
      </c>
      <c r="O13" s="9">
        <f ca="1" xml:space="preserve"> Inventory!O$32</f>
        <v>0</v>
      </c>
      <c r="P13" s="9">
        <f ca="1" xml:space="preserve"> Inventory!P$32</f>
        <v>5000</v>
      </c>
      <c r="Q13" s="9">
        <f ca="1" xml:space="preserve"> Inventory!Q$32</f>
        <v>0</v>
      </c>
      <c r="R13" s="9">
        <f ca="1" xml:space="preserve"> Inventory!R$32</f>
        <v>0</v>
      </c>
      <c r="S13" s="9">
        <f ca="1" xml:space="preserve"> Inventory!S$32</f>
        <v>0</v>
      </c>
      <c r="T13" s="9">
        <f ca="1" xml:space="preserve"> Inventory!T$32</f>
        <v>0</v>
      </c>
      <c r="U13" s="9">
        <f ca="1" xml:space="preserve"> Inventory!U$32</f>
        <v>0</v>
      </c>
      <c r="V13" s="9">
        <f ca="1" xml:space="preserve"> Inventory!V$32</f>
        <v>5000</v>
      </c>
      <c r="W13" s="9">
        <f ca="1" xml:space="preserve"> Inventory!W$32</f>
        <v>0</v>
      </c>
      <c r="X13" s="9">
        <f ca="1" xml:space="preserve"> Inventory!X$32</f>
        <v>0</v>
      </c>
      <c r="Y13" s="9">
        <f ca="1" xml:space="preserve"> Inventory!Y$32</f>
        <v>0</v>
      </c>
      <c r="Z13" s="9">
        <f ca="1" xml:space="preserve"> Inventory!Z$32</f>
        <v>0</v>
      </c>
      <c r="AA13" s="9">
        <f ca="1" xml:space="preserve"> Inventory!AA$32</f>
        <v>0</v>
      </c>
      <c r="AB13" s="9">
        <f ca="1" xml:space="preserve"> Inventory!AB$32</f>
        <v>5000</v>
      </c>
      <c r="AC13" s="9">
        <f ca="1" xml:space="preserve"> Inventory!AC$32</f>
        <v>0</v>
      </c>
      <c r="AD13" s="9">
        <f ca="1" xml:space="preserve"> Inventory!AD$32</f>
        <v>0</v>
      </c>
      <c r="AE13" s="9">
        <f ca="1" xml:space="preserve"> Inventory!AE$32</f>
        <v>0</v>
      </c>
      <c r="AF13" s="9">
        <f ca="1" xml:space="preserve"> Inventory!AF$32</f>
        <v>5000</v>
      </c>
      <c r="AG13" s="9">
        <f ca="1" xml:space="preserve"> Inventory!AG$32</f>
        <v>0</v>
      </c>
      <c r="AH13" s="9">
        <f ca="1" xml:space="preserve"> Inventory!AH$32</f>
        <v>0</v>
      </c>
      <c r="AI13" s="9">
        <f ca="1" xml:space="preserve"> Inventory!AI$32</f>
        <v>0</v>
      </c>
      <c r="AJ13" s="9">
        <f ca="1" xml:space="preserve"> Inventory!AJ$32</f>
        <v>5000</v>
      </c>
      <c r="AK13" s="9">
        <f ca="1" xml:space="preserve"> Inventory!AK$32</f>
        <v>0</v>
      </c>
      <c r="AL13" s="9">
        <f ca="1" xml:space="preserve"> Inventory!AL$32</f>
        <v>0</v>
      </c>
      <c r="AM13" s="9">
        <f ca="1" xml:space="preserve"> Inventory!AM$32</f>
        <v>5000</v>
      </c>
      <c r="AN13" s="9">
        <f ca="1" xml:space="preserve"> Inventory!AN$32</f>
        <v>0</v>
      </c>
      <c r="AO13" s="9">
        <f ca="1" xml:space="preserve"> Inventory!AO$32</f>
        <v>5000</v>
      </c>
      <c r="AP13" s="9">
        <f ca="1" xml:space="preserve"> Inventory!AP$32</f>
        <v>0</v>
      </c>
      <c r="AQ13" s="9">
        <f ca="1" xml:space="preserve"> Inventory!AQ$32</f>
        <v>0</v>
      </c>
      <c r="AR13" s="9">
        <f ca="1" xml:space="preserve"> Inventory!AR$32</f>
        <v>5000</v>
      </c>
      <c r="AS13" s="9">
        <f ca="1" xml:space="preserve"> Inventory!AS$32</f>
        <v>0</v>
      </c>
      <c r="AT13" s="9">
        <f ca="1" xml:space="preserve"> Inventory!AT$32</f>
        <v>0</v>
      </c>
      <c r="AU13" s="9">
        <f ca="1" xml:space="preserve"> Inventory!AU$32</f>
        <v>5000</v>
      </c>
      <c r="AV13" s="9">
        <f ca="1" xml:space="preserve"> Inventory!AV$32</f>
        <v>0</v>
      </c>
      <c r="AW13" s="9">
        <f ca="1" xml:space="preserve"> Inventory!AW$32</f>
        <v>5000</v>
      </c>
      <c r="AX13" s="9">
        <f ca="1" xml:space="preserve"> Inventory!AX$32</f>
        <v>0</v>
      </c>
      <c r="AY13" s="9">
        <f ca="1" xml:space="preserve"> Inventory!AY$32</f>
        <v>5000</v>
      </c>
      <c r="AZ13" s="9">
        <f ca="1" xml:space="preserve"> Inventory!AZ$32</f>
        <v>5000</v>
      </c>
      <c r="BA13" s="9">
        <f ca="1" xml:space="preserve"> Inventory!BA$32</f>
        <v>0</v>
      </c>
      <c r="BB13" s="9">
        <f ca="1" xml:space="preserve"> Inventory!BB$32</f>
        <v>5000</v>
      </c>
      <c r="BC13" s="9">
        <f ca="1" xml:space="preserve"> Inventory!BC$32</f>
        <v>5000</v>
      </c>
      <c r="BD13" s="9">
        <f ca="1" xml:space="preserve"> Inventory!BD$32</f>
        <v>0</v>
      </c>
      <c r="BE13" s="9">
        <f ca="1" xml:space="preserve"> Inventory!BE$32</f>
        <v>5000</v>
      </c>
      <c r="BF13" s="9">
        <f ca="1" xml:space="preserve"> Inventory!BF$32</f>
        <v>5000</v>
      </c>
      <c r="BG13" s="9">
        <f ca="1" xml:space="preserve"> Inventory!BG$32</f>
        <v>5000</v>
      </c>
      <c r="BH13" s="9">
        <f ca="1" xml:space="preserve"> Inventory!BH$32</f>
        <v>5000</v>
      </c>
      <c r="BI13" s="9">
        <f ca="1" xml:space="preserve"> Inventory!BI$32</f>
        <v>5000</v>
      </c>
      <c r="BJ13" s="9">
        <f ca="1" xml:space="preserve"> Inventory!BJ$32</f>
        <v>5000</v>
      </c>
      <c r="BK13" s="9">
        <f ca="1" xml:space="preserve"> Inventory!BK$32</f>
        <v>5000</v>
      </c>
      <c r="BL13" s="9">
        <f ca="1" xml:space="preserve"> Inventory!BL$32</f>
        <v>5000</v>
      </c>
      <c r="BM13" s="9">
        <f ca="1" xml:space="preserve"> Inventory!BM$32</f>
        <v>5000</v>
      </c>
      <c r="BN13" s="9">
        <f ca="1" xml:space="preserve"> Inventory!BN$32</f>
        <v>5000</v>
      </c>
      <c r="BO13" s="9">
        <f ca="1" xml:space="preserve"> Inventory!BO$32</f>
        <v>5000</v>
      </c>
      <c r="BP13" s="9">
        <f ca="1" xml:space="preserve"> Inventory!BP$32</f>
        <v>5000</v>
      </c>
      <c r="BQ13" s="9">
        <f ca="1" xml:space="preserve"> Inventory!BQ$32</f>
        <v>5000</v>
      </c>
    </row>
    <row r="14" spans="1:69">
      <c r="E14" s="16" t="str">
        <f xml:space="preserve"> Inventory!E$18</f>
        <v>Deployed units returned</v>
      </c>
      <c r="F14" s="16">
        <f xml:space="preserve"> Inventory!F$18</f>
        <v>0</v>
      </c>
      <c r="G14" s="16" t="str">
        <f xml:space="preserve"> Inventory!G$18</f>
        <v>Units</v>
      </c>
      <c r="H14" s="42">
        <f ca="1" xml:space="preserve"> Inventory!H$18</f>
        <v>66570.387475079086</v>
      </c>
      <c r="I14" s="16">
        <f xml:space="preserve"> Inventory!I$18</f>
        <v>0</v>
      </c>
      <c r="J14" s="9">
        <f ca="1" xml:space="preserve"> Inventory!J$18</f>
        <v>0</v>
      </c>
      <c r="K14" s="9">
        <f ca="1" xml:space="preserve"> Inventory!K$18</f>
        <v>0</v>
      </c>
      <c r="L14" s="9">
        <f ca="1" xml:space="preserve"> Inventory!L$18</f>
        <v>0</v>
      </c>
      <c r="M14" s="9">
        <f ca="1" xml:space="preserve"> Inventory!M$18</f>
        <v>0</v>
      </c>
      <c r="N14" s="9">
        <f ca="1" xml:space="preserve"> Inventory!N$18</f>
        <v>0</v>
      </c>
      <c r="O14" s="9">
        <f ca="1" xml:space="preserve"> Inventory!O$18</f>
        <v>0</v>
      </c>
      <c r="P14" s="9">
        <f ca="1" xml:space="preserve"> Inventory!P$18</f>
        <v>0</v>
      </c>
      <c r="Q14" s="9">
        <f ca="1" xml:space="preserve"> Inventory!Q$18</f>
        <v>0</v>
      </c>
      <c r="R14" s="9">
        <f ca="1" xml:space="preserve"> Inventory!R$18</f>
        <v>0</v>
      </c>
      <c r="S14" s="9">
        <f ca="1" xml:space="preserve"> Inventory!S$18</f>
        <v>0</v>
      </c>
      <c r="T14" s="9">
        <f ca="1" xml:space="preserve"> Inventory!T$18</f>
        <v>0</v>
      </c>
      <c r="U14" s="9">
        <f ca="1" xml:space="preserve"> Inventory!U$18</f>
        <v>0</v>
      </c>
      <c r="V14" s="9">
        <f ca="1" xml:space="preserve"> Inventory!V$18</f>
        <v>0</v>
      </c>
      <c r="W14" s="9">
        <f ca="1" xml:space="preserve"> Inventory!W$18</f>
        <v>0</v>
      </c>
      <c r="X14" s="9">
        <f ca="1" xml:space="preserve"> Inventory!X$18</f>
        <v>0</v>
      </c>
      <c r="Y14" s="9">
        <f ca="1" xml:space="preserve"> Inventory!Y$18</f>
        <v>0</v>
      </c>
      <c r="Z14" s="9">
        <f ca="1" xml:space="preserve"> Inventory!Z$18</f>
        <v>0</v>
      </c>
      <c r="AA14" s="9">
        <f ca="1" xml:space="preserve"> Inventory!AA$18</f>
        <v>0</v>
      </c>
      <c r="AB14" s="9">
        <f ca="1" xml:space="preserve"> Inventory!AB$18</f>
        <v>0</v>
      </c>
      <c r="AC14" s="9">
        <f ca="1" xml:space="preserve"> Inventory!AC$18</f>
        <v>0</v>
      </c>
      <c r="AD14" s="9">
        <f ca="1" xml:space="preserve"> Inventory!AD$18</f>
        <v>0</v>
      </c>
      <c r="AE14" s="9">
        <f ca="1" xml:space="preserve"> Inventory!AE$18</f>
        <v>0</v>
      </c>
      <c r="AF14" s="9">
        <f ca="1" xml:space="preserve"> Inventory!AF$18</f>
        <v>0</v>
      </c>
      <c r="AG14" s="9">
        <f ca="1" xml:space="preserve"> Inventory!AG$18</f>
        <v>0</v>
      </c>
      <c r="AH14" s="9">
        <f ca="1" xml:space="preserve"> Inventory!AH$18</f>
        <v>500</v>
      </c>
      <c r="AI14" s="9">
        <f ca="1" xml:space="preserve"> Inventory!AI$18</f>
        <v>530.31869276406599</v>
      </c>
      <c r="AJ14" s="9">
        <f ca="1" xml:space="preserve"> Inventory!AJ$18</f>
        <v>561.40868500918316</v>
      </c>
      <c r="AK14" s="9">
        <f ca="1" xml:space="preserve"> Inventory!AK$18</f>
        <v>595.4510398809266</v>
      </c>
      <c r="AL14" s="9">
        <f ca="1" xml:space="preserve"> Inventory!AL$18</f>
        <v>631.55763414931334</v>
      </c>
      <c r="AM14" s="9">
        <f ca="1" xml:space="preserve"> Inventory!AM$18</f>
        <v>668.58277057380337</v>
      </c>
      <c r="AN14" s="9">
        <f ca="1" xml:space="preserve"> Inventory!AN$18</f>
        <v>709.12388179055358</v>
      </c>
      <c r="AO14" s="9">
        <f ca="1" xml:space="preserve"> Inventory!AO$18</f>
        <v>750.69634809527076</v>
      </c>
      <c r="AP14" s="9">
        <f ca="1" xml:space="preserve"> Inventory!AP$18</f>
        <v>796.21661196928437</v>
      </c>
      <c r="AQ14" s="9">
        <f ca="1" xml:space="preserve"> Inventory!AQ$18</f>
        <v>844.49710563316887</v>
      </c>
      <c r="AR14" s="9">
        <f ca="1" xml:space="preserve"> Inventory!AR$18</f>
        <v>890.89871814033927</v>
      </c>
      <c r="AS14" s="9">
        <f ca="1" xml:space="preserve"> Inventory!AS$18</f>
        <v>944.76851169192605</v>
      </c>
      <c r="AT14" s="9">
        <f ca="1" xml:space="preserve"> Inventory!AT$18</f>
        <v>1000</v>
      </c>
      <c r="AU14" s="9">
        <f ca="1" xml:space="preserve"> Inventory!AU$18</f>
        <v>1061.5580832031035</v>
      </c>
      <c r="AV14" s="9">
        <f ca="1" xml:space="preserve"> Inventory!AV$18</f>
        <v>1123.704463583204</v>
      </c>
      <c r="AW14" s="9">
        <f ca="1" xml:space="preserve"> Inventory!AW$18</f>
        <v>1191.7469848656265</v>
      </c>
      <c r="AX14" s="9">
        <f ca="1" xml:space="preserve"> Inventory!AX$18</f>
        <v>1263.9096149956249</v>
      </c>
      <c r="AY14" s="9">
        <f ca="1" xml:space="preserve"> Inventory!AY$18</f>
        <v>1337.9021820933933</v>
      </c>
      <c r="AZ14" s="9">
        <f ca="1" xml:space="preserve"> Inventory!AZ$18</f>
        <v>1418.9147976423296</v>
      </c>
      <c r="BA14" s="9">
        <f ca="1" xml:space="preserve"> Inventory!BA$18</f>
        <v>1501.9817726260831</v>
      </c>
      <c r="BB14" s="9">
        <f ca="1" xml:space="preserve"> Inventory!BB$18</f>
        <v>1593.7719986646332</v>
      </c>
      <c r="BC14" s="9">
        <f ca="1" xml:space="preserve"> Inventory!BC$18</f>
        <v>1690.3233701094071</v>
      </c>
      <c r="BD14" s="9">
        <f ca="1" xml:space="preserve"> Inventory!BD$18</f>
        <v>1782.5488403365116</v>
      </c>
      <c r="BE14" s="9">
        <f ca="1" xml:space="preserve"> Inventory!BE$18</f>
        <v>1890.5363914705406</v>
      </c>
      <c r="BF14" s="9">
        <f ca="1" xml:space="preserve"> Inventory!BF$18</f>
        <v>2451.2652671743485</v>
      </c>
      <c r="BG14" s="9">
        <f ca="1" xml:space="preserve"> Inventory!BG$18</f>
        <v>2599.7895740237263</v>
      </c>
      <c r="BH14" s="9">
        <f ca="1" xml:space="preserve"> Inventory!BH$18</f>
        <v>2752.0857319390348</v>
      </c>
      <c r="BI14" s="9">
        <f ca="1" xml:space="preserve"> Inventory!BI$18</f>
        <v>2918.8370163831542</v>
      </c>
      <c r="BJ14" s="9">
        <f ca="1" xml:space="preserve"> Inventory!BJ$18</f>
        <v>3095.6919085112468</v>
      </c>
      <c r="BK14" s="9">
        <f ca="1" xml:space="preserve"> Inventory!BK$18</f>
        <v>3277.0381217002355</v>
      </c>
      <c r="BL14" s="9">
        <f ca="1" xml:space="preserve"> Inventory!BL$18</f>
        <v>3475.596735591052</v>
      </c>
      <c r="BM14" s="9">
        <f ca="1" xml:space="preserve"> Inventory!BM$18</f>
        <v>3679.1978479042591</v>
      </c>
      <c r="BN14" s="9">
        <f ca="1" xml:space="preserve"> Inventory!BN$18</f>
        <v>3903.4698080441717</v>
      </c>
      <c r="BO14" s="9">
        <f ca="1" xml:space="preserve"> Inventory!BO$18</f>
        <v>4140.0298147784615</v>
      </c>
      <c r="BP14" s="9">
        <f ca="1" xml:space="preserve"> Inventory!BP$18</f>
        <v>4366.2491633557374</v>
      </c>
      <c r="BQ14" s="9">
        <f ca="1" xml:space="preserve"> Inventory!BQ$18</f>
        <v>4630.7179863853571</v>
      </c>
    </row>
    <row r="15" spans="1:69">
      <c r="E15" s="16" t="str">
        <f xml:space="preserve"> Inventory!E$56</f>
        <v>Units in stock</v>
      </c>
      <c r="F15" s="16">
        <f xml:space="preserve"> Inventory!F$56</f>
        <v>0</v>
      </c>
      <c r="G15" s="16" t="str">
        <f xml:space="preserve"> Inventory!G$56</f>
        <v>Units</v>
      </c>
      <c r="H15" s="42">
        <f xml:space="preserve"> Inventory!H$56</f>
        <v>0</v>
      </c>
      <c r="I15" s="16">
        <f xml:space="preserve"> Inventory!I$56</f>
        <v>0</v>
      </c>
      <c r="J15" s="9">
        <f ca="1">Inventory!J$56</f>
        <v>0</v>
      </c>
      <c r="K15" s="9">
        <f ca="1">Inventory!K$56</f>
        <v>0</v>
      </c>
      <c r="L15" s="9">
        <f ca="1">Inventory!L$56</f>
        <v>0</v>
      </c>
      <c r="M15" s="9">
        <f ca="1">Inventory!M$56</f>
        <v>0</v>
      </c>
      <c r="N15" s="9">
        <f ca="1">Inventory!N$56</f>
        <v>0</v>
      </c>
      <c r="O15" s="9">
        <f ca="1">Inventory!O$56</f>
        <v>0</v>
      </c>
      <c r="P15" s="9">
        <f ca="1">Inventory!P$56</f>
        <v>5000</v>
      </c>
      <c r="Q15" s="9">
        <f ca="1">Inventory!Q$56</f>
        <v>803.55729583215452</v>
      </c>
      <c r="R15" s="9">
        <f ca="1">Inventory!R$56</f>
        <v>52.860947736883645</v>
      </c>
      <c r="S15" s="9">
        <f ca="1">Inventory!S$56</f>
        <v>0</v>
      </c>
      <c r="T15" s="9">
        <f ca="1">Inventory!T$56</f>
        <v>0</v>
      </c>
      <c r="U15" s="9">
        <f ca="1">Inventory!U$56</f>
        <v>0</v>
      </c>
      <c r="V15" s="9">
        <f ca="1">Inventory!V$56</f>
        <v>5000</v>
      </c>
      <c r="W15" s="9">
        <f ca="1">Inventory!W$56</f>
        <v>576.48000030216463</v>
      </c>
      <c r="X15" s="9">
        <f ca="1">Inventory!X$56</f>
        <v>0</v>
      </c>
      <c r="Y15" s="9">
        <f ca="1">Inventory!Y$56</f>
        <v>0</v>
      </c>
      <c r="Z15" s="9">
        <f ca="1">Inventory!Z$56</f>
        <v>0</v>
      </c>
      <c r="AA15" s="9">
        <f ca="1">Inventory!AA$56</f>
        <v>0</v>
      </c>
      <c r="AB15" s="9">
        <f ca="1">Inventory!AB$56</f>
        <v>5000</v>
      </c>
      <c r="AC15" s="9">
        <f ca="1">Inventory!AC$56</f>
        <v>0</v>
      </c>
      <c r="AD15" s="9">
        <f ca="1">Inventory!AD$56</f>
        <v>0</v>
      </c>
      <c r="AE15" s="9">
        <f ca="1">Inventory!AE$56</f>
        <v>0</v>
      </c>
      <c r="AF15" s="9">
        <f ca="1">Inventory!AF$56</f>
        <v>5000</v>
      </c>
      <c r="AG15" s="9">
        <f ca="1">Inventory!AG$56</f>
        <v>0</v>
      </c>
      <c r="AH15" s="9">
        <f ca="1">Inventory!AH$56</f>
        <v>1000</v>
      </c>
      <c r="AI15" s="9">
        <f ca="1">Inventory!AI$56</f>
        <v>1060.637385528132</v>
      </c>
      <c r="AJ15" s="9">
        <f ca="1">Inventory!AJ$56</f>
        <v>6122.817370018367</v>
      </c>
      <c r="AK15" s="9">
        <f ca="1">Inventory!AK$56</f>
        <v>1190.9020797618532</v>
      </c>
      <c r="AL15" s="9">
        <f ca="1">Inventory!AL$56</f>
        <v>1263.1152682986267</v>
      </c>
      <c r="AM15" s="9">
        <f ca="1">Inventory!AM$56</f>
        <v>6337.1655411476058</v>
      </c>
      <c r="AN15" s="9">
        <f ca="1">Inventory!AN$56</f>
        <v>1418.2477635811072</v>
      </c>
      <c r="AO15" s="9">
        <f ca="1">Inventory!AO$56</f>
        <v>6501.3926961905418</v>
      </c>
      <c r="AP15" s="9">
        <f ca="1">Inventory!AP$56</f>
        <v>1592.4332239385687</v>
      </c>
      <c r="AQ15" s="9">
        <f ca="1">Inventory!AQ$56</f>
        <v>1688.9942112663377</v>
      </c>
      <c r="AR15" s="9">
        <f ca="1">Inventory!AR$56</f>
        <v>6781.7974362806781</v>
      </c>
      <c r="AS15" s="9">
        <f ca="1">Inventory!AS$56</f>
        <v>1889.5370233838521</v>
      </c>
      <c r="AT15" s="9">
        <f ca="1">Inventory!AT$56</f>
        <v>2000</v>
      </c>
      <c r="AU15" s="9">
        <f ca="1">Inventory!AU$56</f>
        <v>7123.1161664062074</v>
      </c>
      <c r="AV15" s="9">
        <f ca="1">Inventory!AV$56</f>
        <v>2247.4089271664079</v>
      </c>
      <c r="AW15" s="9">
        <f ca="1">Inventory!AW$56</f>
        <v>7383.4939697312529</v>
      </c>
      <c r="AX15" s="9">
        <f ca="1">Inventory!AX$56</f>
        <v>2527.8192299912498</v>
      </c>
      <c r="AY15" s="9">
        <f ca="1">Inventory!AY$56</f>
        <v>7675.8043641867862</v>
      </c>
      <c r="AZ15" s="9">
        <f ca="1">Inventory!AZ$56</f>
        <v>7837.8295952846602</v>
      </c>
      <c r="BA15" s="9">
        <f ca="1">Inventory!BA$56</f>
        <v>3003.9635452521661</v>
      </c>
      <c r="BB15" s="9">
        <f ca="1">Inventory!BB$56</f>
        <v>8187.5439973292669</v>
      </c>
      <c r="BC15" s="9">
        <f ca="1">Inventory!BC$56</f>
        <v>8380.6467402188136</v>
      </c>
      <c r="BD15" s="9">
        <f ca="1">Inventory!BD$56</f>
        <v>3565.0976806730232</v>
      </c>
      <c r="BE15" s="9">
        <f ca="1">Inventory!BE$56</f>
        <v>8781.0727829410807</v>
      </c>
      <c r="BF15" s="9">
        <f ca="1">Inventory!BF$56</f>
        <v>9902.530534348698</v>
      </c>
      <c r="BG15" s="9">
        <f ca="1">Inventory!BG$56</f>
        <v>10199.579148047453</v>
      </c>
      <c r="BH15" s="9">
        <f ca="1">Inventory!BH$56</f>
        <v>10504.171463878069</v>
      </c>
      <c r="BI15" s="9">
        <f ca="1">Inventory!BI$56</f>
        <v>10837.674032766308</v>
      </c>
      <c r="BJ15" s="9">
        <f ca="1">Inventory!BJ$56</f>
        <v>11191.383817022494</v>
      </c>
      <c r="BK15" s="9">
        <f ca="1">Inventory!BK$56</f>
        <v>11554.076243400472</v>
      </c>
      <c r="BL15" s="9">
        <f ca="1">Inventory!BL$56</f>
        <v>11951.193471182105</v>
      </c>
      <c r="BM15" s="9">
        <f ca="1">Inventory!BM$56</f>
        <v>12358.395695808518</v>
      </c>
      <c r="BN15" s="9">
        <f ca="1">Inventory!BN$56</f>
        <v>12806.939616088344</v>
      </c>
      <c r="BO15" s="9">
        <f ca="1">Inventory!BO$56</f>
        <v>13280.059629556923</v>
      </c>
      <c r="BP15" s="9">
        <f ca="1">Inventory!BP$56</f>
        <v>13732.498326711473</v>
      </c>
      <c r="BQ15" s="9">
        <f ca="1">Inventory!BQ$56</f>
        <v>14261.435972770712</v>
      </c>
    </row>
    <row r="16" spans="1:69">
      <c r="E16" s="16" t="str">
        <f xml:space="preserve"> Inventory!E$45</f>
        <v>Units deployed</v>
      </c>
      <c r="F16" s="16">
        <f xml:space="preserve"> Inventory!F$45</f>
        <v>0</v>
      </c>
      <c r="G16" s="16" t="str">
        <f xml:space="preserve"> Inventory!G$45</f>
        <v>Units</v>
      </c>
      <c r="H16" s="42">
        <f ca="1" xml:space="preserve"> Inventory!H$45</f>
        <v>253879.33897738747</v>
      </c>
      <c r="I16" s="16">
        <f xml:space="preserve"> Inventory!I$45</f>
        <v>0</v>
      </c>
      <c r="J16" s="9">
        <f xml:space="preserve"> Inventory!J$45</f>
        <v>0</v>
      </c>
      <c r="K16" s="9">
        <f ca="1" xml:space="preserve"> Inventory!K$45</f>
        <v>0</v>
      </c>
      <c r="L16" s="9">
        <f ca="1" xml:space="preserve"> Inventory!L$45</f>
        <v>0</v>
      </c>
      <c r="M16" s="9">
        <f ca="1" xml:space="preserve"> Inventory!M$45</f>
        <v>0</v>
      </c>
      <c r="N16" s="9">
        <f ca="1" xml:space="preserve"> Inventory!N$45</f>
        <v>0</v>
      </c>
      <c r="O16" s="9">
        <f ca="1" xml:space="preserve"> Inventory!O$45</f>
        <v>0</v>
      </c>
      <c r="P16" s="9">
        <f ca="1" xml:space="preserve"> Inventory!P$45</f>
        <v>0</v>
      </c>
      <c r="Q16" s="9">
        <f ca="1" xml:space="preserve"> Inventory!Q$45</f>
        <v>4196.4427041678455</v>
      </c>
      <c r="R16" s="9">
        <f ca="1" xml:space="preserve"> Inventory!R$45</f>
        <v>750.69634809527088</v>
      </c>
      <c r="S16" s="9">
        <f ca="1" xml:space="preserve"> Inventory!S$45</f>
        <v>52.860947736883645</v>
      </c>
      <c r="T16" s="9">
        <f ca="1" xml:space="preserve"> Inventory!T$45</f>
        <v>0</v>
      </c>
      <c r="U16" s="9">
        <f ca="1" xml:space="preserve"> Inventory!U$45</f>
        <v>0</v>
      </c>
      <c r="V16" s="9">
        <f ca="1" xml:space="preserve"> Inventory!V$45</f>
        <v>0</v>
      </c>
      <c r="W16" s="9">
        <f ca="1" xml:space="preserve"> Inventory!W$45</f>
        <v>4423.5199996978354</v>
      </c>
      <c r="X16" s="9">
        <f ca="1" xml:space="preserve"> Inventory!X$45</f>
        <v>576.48000030216463</v>
      </c>
      <c r="Y16" s="9">
        <f ca="1" xml:space="preserve"> Inventory!Y$45</f>
        <v>0</v>
      </c>
      <c r="Z16" s="9">
        <f ca="1" xml:space="preserve"> Inventory!Z$45</f>
        <v>0</v>
      </c>
      <c r="AA16" s="9">
        <f ca="1" xml:space="preserve"> Inventory!AA$45</f>
        <v>0</v>
      </c>
      <c r="AB16" s="9">
        <f ca="1" xml:space="preserve"> Inventory!AB$45</f>
        <v>0</v>
      </c>
      <c r="AC16" s="9">
        <f ca="1" xml:space="preserve"> Inventory!AC$45</f>
        <v>5000</v>
      </c>
      <c r="AD16" s="9">
        <f ca="1" xml:space="preserve"> Inventory!AD$45</f>
        <v>0</v>
      </c>
      <c r="AE16" s="9">
        <f ca="1" xml:space="preserve"> Inventory!AE$45</f>
        <v>0</v>
      </c>
      <c r="AF16" s="9">
        <f ca="1" xml:space="preserve"> Inventory!AF$45</f>
        <v>0</v>
      </c>
      <c r="AG16" s="9">
        <f ca="1" xml:space="preserve"> Inventory!AG$45</f>
        <v>5000</v>
      </c>
      <c r="AH16" s="9">
        <f ca="1" xml:space="preserve"> Inventory!AH$45</f>
        <v>0</v>
      </c>
      <c r="AI16" s="9">
        <f ca="1" xml:space="preserve"> Inventory!AI$45</f>
        <v>1000</v>
      </c>
      <c r="AJ16" s="9">
        <f ca="1" xml:space="preserve"> Inventory!AJ$45</f>
        <v>1060.637385528132</v>
      </c>
      <c r="AK16" s="9">
        <f ca="1" xml:space="preserve"> Inventory!AK$45</f>
        <v>6122.817370018367</v>
      </c>
      <c r="AL16" s="9">
        <f ca="1" xml:space="preserve"> Inventory!AL$45</f>
        <v>1190.9020797618532</v>
      </c>
      <c r="AM16" s="9">
        <f ca="1" xml:space="preserve"> Inventory!AM$45</f>
        <v>1263.1152682986267</v>
      </c>
      <c r="AN16" s="9">
        <f ca="1" xml:space="preserve"> Inventory!AN$45</f>
        <v>6337.1655411476058</v>
      </c>
      <c r="AO16" s="9">
        <f ca="1" xml:space="preserve"> Inventory!AO$45</f>
        <v>1418.2477635811072</v>
      </c>
      <c r="AP16" s="9">
        <f ca="1" xml:space="preserve"> Inventory!AP$45</f>
        <v>6501.3926961905418</v>
      </c>
      <c r="AQ16" s="9">
        <f ca="1" xml:space="preserve"> Inventory!AQ$45</f>
        <v>1592.4332239385687</v>
      </c>
      <c r="AR16" s="9">
        <f ca="1" xml:space="preserve"> Inventory!AR$45</f>
        <v>1688.9942112663377</v>
      </c>
      <c r="AS16" s="9">
        <f ca="1" xml:space="preserve"> Inventory!AS$45</f>
        <v>6781.7974362806781</v>
      </c>
      <c r="AT16" s="9">
        <f ca="1" xml:space="preserve"> Inventory!AT$45</f>
        <v>1889.5370233838521</v>
      </c>
      <c r="AU16" s="9">
        <f ca="1" xml:space="preserve"> Inventory!AU$45</f>
        <v>2000</v>
      </c>
      <c r="AV16" s="9">
        <f ca="1" xml:space="preserve"> Inventory!AV$45</f>
        <v>7123.1161664062074</v>
      </c>
      <c r="AW16" s="9">
        <f ca="1" xml:space="preserve"> Inventory!AW$45</f>
        <v>2247.4089271664079</v>
      </c>
      <c r="AX16" s="9">
        <f ca="1" xml:space="preserve"> Inventory!AX$45</f>
        <v>7383.4939697312529</v>
      </c>
      <c r="AY16" s="9">
        <f ca="1" xml:space="preserve"> Inventory!AY$45</f>
        <v>2527.8192299912498</v>
      </c>
      <c r="AZ16" s="9">
        <f ca="1" xml:space="preserve"> Inventory!AZ$45</f>
        <v>7675.8043641867862</v>
      </c>
      <c r="BA16" s="9">
        <f ca="1" xml:space="preserve"> Inventory!BA$45</f>
        <v>7837.8295952846602</v>
      </c>
      <c r="BB16" s="9">
        <f ca="1" xml:space="preserve"> Inventory!BB$45</f>
        <v>3003.9635452521661</v>
      </c>
      <c r="BC16" s="9">
        <f ca="1" xml:space="preserve"> Inventory!BC$45</f>
        <v>8187.5439973292669</v>
      </c>
      <c r="BD16" s="9">
        <f ca="1" xml:space="preserve"> Inventory!BD$45</f>
        <v>8380.6467402188136</v>
      </c>
      <c r="BE16" s="9">
        <f ca="1" xml:space="preserve"> Inventory!BE$45</f>
        <v>3565.0976806730232</v>
      </c>
      <c r="BF16" s="9">
        <f ca="1" xml:space="preserve"> Inventory!BF$45</f>
        <v>8781.0727829410807</v>
      </c>
      <c r="BG16" s="9">
        <f ca="1" xml:space="preserve"> Inventory!BG$45</f>
        <v>9902.530534348698</v>
      </c>
      <c r="BH16" s="9">
        <f ca="1" xml:space="preserve"> Inventory!BH$45</f>
        <v>10199.579148047453</v>
      </c>
      <c r="BI16" s="9">
        <f ca="1" xml:space="preserve"> Inventory!BI$45</f>
        <v>10504.171463878069</v>
      </c>
      <c r="BJ16" s="9">
        <f ca="1" xml:space="preserve"> Inventory!BJ$45</f>
        <v>10837.674032766308</v>
      </c>
      <c r="BK16" s="9">
        <f ca="1" xml:space="preserve"> Inventory!BK$45</f>
        <v>11191.383817022494</v>
      </c>
      <c r="BL16" s="9">
        <f ca="1" xml:space="preserve"> Inventory!BL$45</f>
        <v>11554.076243400472</v>
      </c>
      <c r="BM16" s="9">
        <f ca="1" xml:space="preserve"> Inventory!BM$45</f>
        <v>11951.193471182105</v>
      </c>
      <c r="BN16" s="9">
        <f ca="1" xml:space="preserve"> Inventory!BN$45</f>
        <v>12358.395695808518</v>
      </c>
      <c r="BO16" s="9">
        <f ca="1" xml:space="preserve"> Inventory!BO$45</f>
        <v>12806.939616088344</v>
      </c>
      <c r="BP16" s="9">
        <f ca="1" xml:space="preserve"> Inventory!BP$45</f>
        <v>13280.059629556923</v>
      </c>
      <c r="BQ16" s="9">
        <f ca="1" xml:space="preserve"> Inventory!BQ$45</f>
        <v>13732.498326711473</v>
      </c>
    </row>
    <row r="17" spans="5:69">
      <c r="E17" s="16" t="str">
        <f xml:space="preserve"> Inventory!E$64</f>
        <v>Units in use</v>
      </c>
      <c r="F17" s="16">
        <f xml:space="preserve"> Inventory!F$64</f>
        <v>0</v>
      </c>
      <c r="G17" s="16" t="str">
        <f xml:space="preserve"> Inventory!G$64</f>
        <v>Units</v>
      </c>
      <c r="H17" s="42">
        <f xml:space="preserve"> Inventory!H$64</f>
        <v>0</v>
      </c>
      <c r="I17" s="16">
        <f xml:space="preserve"> Inventory!I$64</f>
        <v>0</v>
      </c>
      <c r="J17" s="9">
        <f ca="1">Inventory!J$64</f>
        <v>0</v>
      </c>
      <c r="K17" s="9">
        <f ca="1">Inventory!K$64</f>
        <v>0</v>
      </c>
      <c r="L17" s="9">
        <f ca="1">Inventory!L$64</f>
        <v>0</v>
      </c>
      <c r="M17" s="9">
        <f ca="1">Inventory!M$64</f>
        <v>0</v>
      </c>
      <c r="N17" s="9">
        <f ca="1">Inventory!N$64</f>
        <v>0</v>
      </c>
      <c r="O17" s="9">
        <f ca="1">Inventory!O$64</f>
        <v>0</v>
      </c>
      <c r="P17" s="9">
        <f ca="1">Inventory!P$64</f>
        <v>0</v>
      </c>
      <c r="Q17" s="9">
        <f ca="1">Inventory!Q$64</f>
        <v>4196.4427041678455</v>
      </c>
      <c r="R17" s="9">
        <f ca="1">Inventory!R$64</f>
        <v>4947.1390522631164</v>
      </c>
      <c r="S17" s="9">
        <f ca="1">Inventory!S$64</f>
        <v>5000</v>
      </c>
      <c r="T17" s="9">
        <f ca="1">Inventory!T$64</f>
        <v>5000</v>
      </c>
      <c r="U17" s="9">
        <f ca="1">Inventory!U$64</f>
        <v>5000</v>
      </c>
      <c r="V17" s="9">
        <f ca="1">Inventory!V$64</f>
        <v>5000</v>
      </c>
      <c r="W17" s="9">
        <f ca="1">Inventory!W$64</f>
        <v>9423.5199996978354</v>
      </c>
      <c r="X17" s="9">
        <f ca="1">Inventory!X$64</f>
        <v>10000</v>
      </c>
      <c r="Y17" s="9">
        <f ca="1">Inventory!Y$64</f>
        <v>10000</v>
      </c>
      <c r="Z17" s="9">
        <f ca="1">Inventory!Z$64</f>
        <v>10000</v>
      </c>
      <c r="AA17" s="9">
        <f ca="1">Inventory!AA$64</f>
        <v>10000</v>
      </c>
      <c r="AB17" s="9">
        <f ca="1">Inventory!AB$64</f>
        <v>10000</v>
      </c>
      <c r="AC17" s="9">
        <f ca="1">Inventory!AC$64</f>
        <v>15000</v>
      </c>
      <c r="AD17" s="9">
        <f ca="1">Inventory!AD$64</f>
        <v>15000</v>
      </c>
      <c r="AE17" s="9">
        <f ca="1">Inventory!AE$64</f>
        <v>15000</v>
      </c>
      <c r="AF17" s="9">
        <f ca="1">Inventory!AF$64</f>
        <v>15000</v>
      </c>
      <c r="AG17" s="9">
        <f ca="1">Inventory!AG$64</f>
        <v>20000</v>
      </c>
      <c r="AH17" s="9">
        <f ca="1">Inventory!AH$64</f>
        <v>19500</v>
      </c>
      <c r="AI17" s="9">
        <f ca="1">Inventory!AI$64</f>
        <v>19969.681307235933</v>
      </c>
      <c r="AJ17" s="9">
        <f ca="1">Inventory!AJ$64</f>
        <v>20468.910007754879</v>
      </c>
      <c r="AK17" s="9">
        <f ca="1">Inventory!AK$64</f>
        <v>25996.276337892323</v>
      </c>
      <c r="AL17" s="9">
        <f ca="1">Inventory!AL$64</f>
        <v>26555.620783504863</v>
      </c>
      <c r="AM17" s="9">
        <f ca="1">Inventory!AM$64</f>
        <v>27150.153281229686</v>
      </c>
      <c r="AN17" s="9">
        <f ca="1">Inventory!AN$64</f>
        <v>32778.194940586734</v>
      </c>
      <c r="AO17" s="9">
        <f ca="1">Inventory!AO$64</f>
        <v>33445.746356072574</v>
      </c>
      <c r="AP17" s="9">
        <f ca="1">Inventory!AP$64</f>
        <v>39150.922440293827</v>
      </c>
      <c r="AQ17" s="9">
        <f ca="1">Inventory!AQ$64</f>
        <v>39898.858558599226</v>
      </c>
      <c r="AR17" s="9">
        <f ca="1">Inventory!AR$64</f>
        <v>40696.954051725224</v>
      </c>
      <c r="AS17" s="9">
        <f ca="1">Inventory!AS$64</f>
        <v>46533.982976313979</v>
      </c>
      <c r="AT17" s="9">
        <f ca="1">Inventory!AT$64</f>
        <v>47423.519999697834</v>
      </c>
      <c r="AU17" s="9">
        <f ca="1">Inventory!AU$64</f>
        <v>48361.961916494729</v>
      </c>
      <c r="AV17" s="9">
        <f ca="1">Inventory!AV$64</f>
        <v>54361.373619317732</v>
      </c>
      <c r="AW17" s="9">
        <f ca="1">Inventory!AW$64</f>
        <v>55417.035561618512</v>
      </c>
      <c r="AX17" s="9">
        <f ca="1">Inventory!AX$64</f>
        <v>61536.619916354139</v>
      </c>
      <c r="AY17" s="9">
        <f ca="1">Inventory!AY$64</f>
        <v>62726.536964251995</v>
      </c>
      <c r="AZ17" s="9">
        <f ca="1">Inventory!AZ$64</f>
        <v>68983.426530796452</v>
      </c>
      <c r="BA17" s="9">
        <f ca="1">Inventory!BA$64</f>
        <v>75319.274353455025</v>
      </c>
      <c r="BB17" s="9">
        <f ca="1">Inventory!BB$64</f>
        <v>76729.46590004256</v>
      </c>
      <c r="BC17" s="9">
        <f ca="1">Inventory!BC$64</f>
        <v>83226.686527262413</v>
      </c>
      <c r="BD17" s="9">
        <f ca="1">Inventory!BD$64</f>
        <v>89824.78442714471</v>
      </c>
      <c r="BE17" s="9">
        <f ca="1">Inventory!BE$64</f>
        <v>91499.34571634719</v>
      </c>
      <c r="BF17" s="9">
        <f ca="1">Inventory!BF$64</f>
        <v>97829.153232113924</v>
      </c>
      <c r="BG17" s="9">
        <f ca="1">Inventory!BG$64</f>
        <v>105131.89419243889</v>
      </c>
      <c r="BH17" s="9">
        <f ca="1">Inventory!BH$64</f>
        <v>112579.38760854732</v>
      </c>
      <c r="BI17" s="9">
        <f ca="1">Inventory!BI$64</f>
        <v>120164.72205604223</v>
      </c>
      <c r="BJ17" s="9">
        <f ca="1">Inventory!BJ$64</f>
        <v>127906.7041802973</v>
      </c>
      <c r="BK17" s="9">
        <f ca="1">Inventory!BK$64</f>
        <v>135821.04987561956</v>
      </c>
      <c r="BL17" s="9">
        <f ca="1">Inventory!BL$64</f>
        <v>143899.52938342901</v>
      </c>
      <c r="BM17" s="9">
        <f ca="1">Inventory!BM$64</f>
        <v>152171.52500670686</v>
      </c>
      <c r="BN17" s="9">
        <f ca="1">Inventory!BN$64</f>
        <v>160626.4508944712</v>
      </c>
      <c r="BO17" s="9">
        <f ca="1">Inventory!BO$64</f>
        <v>169293.3606957811</v>
      </c>
      <c r="BP17" s="9">
        <f ca="1">Inventory!BP$64</f>
        <v>178207.17116198229</v>
      </c>
      <c r="BQ17" s="9">
        <f ca="1">Inventory!BQ$64</f>
        <v>187308.95150230839</v>
      </c>
    </row>
    <row r="18" spans="5:69">
      <c r="E18" s="16" t="str">
        <f xml:space="preserve"> Inventory!E$68</f>
        <v>Units retired</v>
      </c>
      <c r="F18" s="16">
        <f xml:space="preserve"> Inventory!F$68</f>
        <v>0</v>
      </c>
      <c r="G18" s="16" t="str">
        <f xml:space="preserve"> Inventory!G$68</f>
        <v>Units</v>
      </c>
      <c r="H18" s="42">
        <f ca="1" xml:space="preserve"> Inventory!H$68</f>
        <v>66570.387475079086</v>
      </c>
      <c r="I18" s="16">
        <f xml:space="preserve"> Inventory!I$68</f>
        <v>0</v>
      </c>
      <c r="J18" s="9">
        <f ca="1" xml:space="preserve"> Inventory!J$68</f>
        <v>0</v>
      </c>
      <c r="K18" s="9">
        <f ca="1" xml:space="preserve"> Inventory!K$68</f>
        <v>0</v>
      </c>
      <c r="L18" s="9">
        <f ca="1" xml:space="preserve"> Inventory!L$68</f>
        <v>0</v>
      </c>
      <c r="M18" s="9">
        <f ca="1" xml:space="preserve"> Inventory!M$68</f>
        <v>0</v>
      </c>
      <c r="N18" s="9">
        <f ca="1" xml:space="preserve"> Inventory!N$68</f>
        <v>0</v>
      </c>
      <c r="O18" s="9">
        <f ca="1" xml:space="preserve"> Inventory!O$68</f>
        <v>0</v>
      </c>
      <c r="P18" s="9">
        <f ca="1" xml:space="preserve"> Inventory!P$68</f>
        <v>0</v>
      </c>
      <c r="Q18" s="9">
        <f ca="1" xml:space="preserve"> Inventory!Q$68</f>
        <v>0</v>
      </c>
      <c r="R18" s="9">
        <f ca="1" xml:space="preserve"> Inventory!R$68</f>
        <v>0</v>
      </c>
      <c r="S18" s="9">
        <f ca="1" xml:space="preserve"> Inventory!S$68</f>
        <v>0</v>
      </c>
      <c r="T18" s="9">
        <f ca="1" xml:space="preserve"> Inventory!T$68</f>
        <v>0</v>
      </c>
      <c r="U18" s="9">
        <f ca="1" xml:space="preserve"> Inventory!U$68</f>
        <v>0</v>
      </c>
      <c r="V18" s="9">
        <f ca="1" xml:space="preserve"> Inventory!V$68</f>
        <v>0</v>
      </c>
      <c r="W18" s="9">
        <f ca="1" xml:space="preserve"> Inventory!W$68</f>
        <v>0</v>
      </c>
      <c r="X18" s="9">
        <f ca="1" xml:space="preserve"> Inventory!X$68</f>
        <v>0</v>
      </c>
      <c r="Y18" s="9">
        <f ca="1" xml:space="preserve"> Inventory!Y$68</f>
        <v>0</v>
      </c>
      <c r="Z18" s="9">
        <f ca="1" xml:space="preserve"> Inventory!Z$68</f>
        <v>0</v>
      </c>
      <c r="AA18" s="9">
        <f ca="1" xml:space="preserve"> Inventory!AA$68</f>
        <v>0</v>
      </c>
      <c r="AB18" s="9">
        <f ca="1" xml:space="preserve"> Inventory!AB$68</f>
        <v>0</v>
      </c>
      <c r="AC18" s="9">
        <f ca="1" xml:space="preserve"> Inventory!AC$68</f>
        <v>0</v>
      </c>
      <c r="AD18" s="9">
        <f ca="1" xml:space="preserve"> Inventory!AD$68</f>
        <v>0</v>
      </c>
      <c r="AE18" s="9">
        <f ca="1" xml:space="preserve"> Inventory!AE$68</f>
        <v>0</v>
      </c>
      <c r="AF18" s="9">
        <f ca="1" xml:space="preserve"> Inventory!AF$68</f>
        <v>0</v>
      </c>
      <c r="AG18" s="9">
        <f ca="1" xml:space="preserve"> Inventory!AG$68</f>
        <v>0</v>
      </c>
      <c r="AH18" s="9">
        <f ca="1" xml:space="preserve"> Inventory!AH$68</f>
        <v>500</v>
      </c>
      <c r="AI18" s="9">
        <f ca="1" xml:space="preserve"> Inventory!AI$68</f>
        <v>530.31869276406599</v>
      </c>
      <c r="AJ18" s="9">
        <f ca="1" xml:space="preserve"> Inventory!AJ$68</f>
        <v>561.40868500918316</v>
      </c>
      <c r="AK18" s="9">
        <f ca="1" xml:space="preserve"> Inventory!AK$68</f>
        <v>595.4510398809266</v>
      </c>
      <c r="AL18" s="9">
        <f ca="1" xml:space="preserve"> Inventory!AL$68</f>
        <v>631.55763414931334</v>
      </c>
      <c r="AM18" s="9">
        <f ca="1" xml:space="preserve"> Inventory!AM$68</f>
        <v>668.58277057380337</v>
      </c>
      <c r="AN18" s="9">
        <f ca="1" xml:space="preserve"> Inventory!AN$68</f>
        <v>709.12388179055358</v>
      </c>
      <c r="AO18" s="9">
        <f ca="1" xml:space="preserve"> Inventory!AO$68</f>
        <v>750.69634809527076</v>
      </c>
      <c r="AP18" s="9">
        <f ca="1" xml:space="preserve"> Inventory!AP$68</f>
        <v>796.21661196928437</v>
      </c>
      <c r="AQ18" s="9">
        <f ca="1" xml:space="preserve"> Inventory!AQ$68</f>
        <v>844.49710563316887</v>
      </c>
      <c r="AR18" s="9">
        <f ca="1" xml:space="preserve"> Inventory!AR$68</f>
        <v>890.89871814033927</v>
      </c>
      <c r="AS18" s="9">
        <f ca="1" xml:space="preserve"> Inventory!AS$68</f>
        <v>944.76851169192605</v>
      </c>
      <c r="AT18" s="9">
        <f ca="1" xml:space="preserve"> Inventory!AT$68</f>
        <v>1000</v>
      </c>
      <c r="AU18" s="9">
        <f ca="1" xml:space="preserve"> Inventory!AU$68</f>
        <v>1061.5580832031035</v>
      </c>
      <c r="AV18" s="9">
        <f ca="1" xml:space="preserve"> Inventory!AV$68</f>
        <v>1123.704463583204</v>
      </c>
      <c r="AW18" s="9">
        <f ca="1" xml:space="preserve"> Inventory!AW$68</f>
        <v>1191.7469848656265</v>
      </c>
      <c r="AX18" s="9">
        <f ca="1" xml:space="preserve"> Inventory!AX$68</f>
        <v>1263.9096149956249</v>
      </c>
      <c r="AY18" s="9">
        <f ca="1" xml:space="preserve"> Inventory!AY$68</f>
        <v>1337.9021820933933</v>
      </c>
      <c r="AZ18" s="9">
        <f ca="1" xml:space="preserve"> Inventory!AZ$68</f>
        <v>1418.9147976423296</v>
      </c>
      <c r="BA18" s="9">
        <f ca="1" xml:space="preserve"> Inventory!BA$68</f>
        <v>1501.9817726260831</v>
      </c>
      <c r="BB18" s="9">
        <f ca="1" xml:space="preserve"> Inventory!BB$68</f>
        <v>1593.7719986646332</v>
      </c>
      <c r="BC18" s="9">
        <f ca="1" xml:space="preserve"> Inventory!BC$68</f>
        <v>1690.3233701094071</v>
      </c>
      <c r="BD18" s="9">
        <f ca="1" xml:space="preserve"> Inventory!BD$68</f>
        <v>1782.5488403365116</v>
      </c>
      <c r="BE18" s="9">
        <f ca="1" xml:space="preserve"> Inventory!BE$68</f>
        <v>1890.5363914705406</v>
      </c>
      <c r="BF18" s="9">
        <f ca="1" xml:space="preserve"> Inventory!BF$68</f>
        <v>2451.2652671743485</v>
      </c>
      <c r="BG18" s="9">
        <f ca="1" xml:space="preserve"> Inventory!BG$68</f>
        <v>2599.7895740237263</v>
      </c>
      <c r="BH18" s="9">
        <f ca="1" xml:space="preserve"> Inventory!BH$68</f>
        <v>2752.0857319390348</v>
      </c>
      <c r="BI18" s="9">
        <f ca="1" xml:space="preserve"> Inventory!BI$68</f>
        <v>2918.8370163831542</v>
      </c>
      <c r="BJ18" s="9">
        <f ca="1" xml:space="preserve"> Inventory!BJ$68</f>
        <v>3095.6919085112468</v>
      </c>
      <c r="BK18" s="9">
        <f ca="1" xml:space="preserve"> Inventory!BK$68</f>
        <v>3277.0381217002355</v>
      </c>
      <c r="BL18" s="9">
        <f ca="1" xml:space="preserve"> Inventory!BL$68</f>
        <v>3475.596735591052</v>
      </c>
      <c r="BM18" s="9">
        <f ca="1" xml:space="preserve"> Inventory!BM$68</f>
        <v>3679.1978479042591</v>
      </c>
      <c r="BN18" s="9">
        <f ca="1" xml:space="preserve"> Inventory!BN$68</f>
        <v>3903.4698080441717</v>
      </c>
      <c r="BO18" s="9">
        <f ca="1" xml:space="preserve"> Inventory!BO$68</f>
        <v>4140.0298147784615</v>
      </c>
      <c r="BP18" s="9">
        <f ca="1" xml:space="preserve"> Inventory!BP$68</f>
        <v>4366.2491633557374</v>
      </c>
      <c r="BQ18" s="9">
        <f ca="1" xml:space="preserve"> Inventory!BQ$68</f>
        <v>4630.7179863853571</v>
      </c>
    </row>
  </sheetData>
  <conditionalFormatting sqref="F2:F3">
    <cfRule type="cellIs" dxfId="49" priority="1" stopIfTrue="1" operator="notEqual">
      <formula>0</formula>
    </cfRule>
    <cfRule type="cellIs" dxfId="48" priority="2" stopIfTrue="1" operator="equal">
      <formula>""</formula>
    </cfRule>
  </conditionalFormatting>
  <conditionalFormatting sqref="J3:BQ3">
    <cfRule type="cellIs" dxfId="47" priority="3" operator="equal">
      <formula>"PPA ext."</formula>
    </cfRule>
    <cfRule type="cellIs" dxfId="46" priority="4" operator="equal">
      <formula>"Delay"</formula>
    </cfRule>
    <cfRule type="cellIs" dxfId="45" priority="5" operator="equal">
      <formula>"Fin Close"</formula>
    </cfRule>
    <cfRule type="cellIs" dxfId="44" priority="6" stopIfTrue="1" operator="equal">
      <formula>"Construction"</formula>
    </cfRule>
    <cfRule type="cellIs" dxfId="43"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4F81BD"/>
    <outlinePr summaryBelow="0" summaryRight="0"/>
  </sheetPr>
  <dimension ref="A1:AC1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8.6328125" bestFit="1" customWidth="1"/>
    <col min="6" max="6" width="20.54296875" bestFit="1" customWidth="1"/>
    <col min="7" max="7" width="13.1796875" bestFit="1" customWidth="1"/>
    <col min="8" max="8" width="10" style="43" bestFit="1" customWidth="1"/>
    <col min="9" max="9" width="3.453125" customWidth="1"/>
    <col min="10" max="10" width="11.1796875" bestFit="1" customWidth="1"/>
    <col min="11" max="11" width="11.81640625" bestFit="1" customWidth="1"/>
    <col min="12" max="12" width="11.90625" bestFit="1" customWidth="1"/>
    <col min="13" max="13" width="11.81640625" bestFit="1" customWidth="1"/>
    <col min="14" max="14" width="11.1796875" bestFit="1" customWidth="1"/>
    <col min="15" max="15" width="11.81640625" bestFit="1" customWidth="1"/>
    <col min="16" max="16" width="11.90625" bestFit="1" customWidth="1"/>
    <col min="17" max="17" width="11.81640625" bestFit="1" customWidth="1"/>
    <col min="18" max="18" width="11.1796875" bestFit="1" customWidth="1"/>
    <col min="19" max="19" width="11.81640625" bestFit="1" customWidth="1"/>
    <col min="20" max="20" width="11.90625" bestFit="1" customWidth="1"/>
    <col min="21" max="21" width="11.81640625" bestFit="1" customWidth="1"/>
    <col min="22" max="22" width="11.1796875" bestFit="1" customWidth="1"/>
    <col min="23" max="23" width="11.81640625" bestFit="1" customWidth="1"/>
    <col min="24" max="24" width="11.90625" bestFit="1" customWidth="1"/>
    <col min="25" max="25" width="11.81640625" bestFit="1" customWidth="1"/>
    <col min="26" max="26" width="11.1796875" bestFit="1" customWidth="1"/>
    <col min="27" max="27" width="11.81640625" bestFit="1" customWidth="1"/>
    <col min="28" max="28" width="11.90625" bestFit="1" customWidth="1"/>
    <col min="29" max="29" width="11.81640625" bestFit="1" customWidth="1"/>
    <col min="30" max="30" width="15.08984375" hidden="1" customWidth="1"/>
    <col min="31" max="16384" width="15.08984375" hidden="1"/>
  </cols>
  <sheetData>
    <row r="1" spans="1:29" s="75" customFormat="1" ht="25.15">
      <c r="A1" s="45" t="str">
        <f ca="1" xml:space="preserve"> RIGHT(CELL("filename", A1), LEN(CELL("filename", A1)) - SEARCH("]", CELL("filename", A1)))</f>
        <v>Inventory Report Qly</v>
      </c>
      <c r="B1" s="69"/>
      <c r="C1" s="74"/>
      <c r="D1" s="71"/>
      <c r="F1" s="52" t="str">
        <f>HYPERLINK("#Contents!A1","Go to contents")</f>
        <v>Go to contents</v>
      </c>
      <c r="H1" s="47"/>
      <c r="J1" s="47"/>
    </row>
    <row r="2" spans="1:29" s="53" customFormat="1">
      <c r="A2" s="48"/>
      <c r="B2" s="48"/>
      <c r="C2" s="72"/>
      <c r="D2" s="73"/>
      <c r="E2" s="22" t="s">
        <v>324</v>
      </c>
      <c r="F2" s="51">
        <f ca="1" xml:space="preserve"> 'Model Checks and Alerts'!F11</f>
        <v>0</v>
      </c>
      <c r="G2" s="55"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4" customFormat="1">
      <c r="A3" s="48"/>
      <c r="B3" s="48"/>
      <c r="C3" s="72"/>
      <c r="D3" s="73"/>
      <c r="E3" s="39" t="s">
        <v>203</v>
      </c>
      <c r="F3" s="51"/>
      <c r="G3" s="55" t="s">
        <v>97</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8" customFormat="1">
      <c r="A4" s="48"/>
      <c r="B4" s="48"/>
      <c r="C4" s="72"/>
      <c r="D4" s="73"/>
      <c r="E4" s="22" t="s">
        <v>325</v>
      </c>
      <c r="F4"/>
      <c r="G4"/>
      <c r="H4" s="50"/>
      <c r="I4" s="50"/>
      <c r="J4" s="28">
        <f xml:space="preserve"> Time!J$88</f>
        <v>3</v>
      </c>
      <c r="K4" s="28">
        <f xml:space="preserve"> Time!K$88</f>
        <v>6</v>
      </c>
      <c r="L4" s="28">
        <f xml:space="preserve"> Time!L$88</f>
        <v>9</v>
      </c>
      <c r="M4" s="28">
        <f xml:space="preserve"> Time!M$88</f>
        <v>12</v>
      </c>
      <c r="N4" s="28">
        <f xml:space="preserve"> Time!N$88</f>
        <v>15</v>
      </c>
      <c r="O4" s="28">
        <f xml:space="preserve"> Time!O$88</f>
        <v>18</v>
      </c>
      <c r="P4" s="28">
        <f xml:space="preserve"> Time!P$88</f>
        <v>21</v>
      </c>
      <c r="Q4" s="28">
        <f xml:space="preserve"> Time!Q$88</f>
        <v>24</v>
      </c>
      <c r="R4" s="28">
        <f xml:space="preserve"> Time!R$88</f>
        <v>27</v>
      </c>
      <c r="S4" s="28">
        <f xml:space="preserve"> Time!S$88</f>
        <v>30</v>
      </c>
      <c r="T4" s="28">
        <f xml:space="preserve"> Time!T$88</f>
        <v>33</v>
      </c>
      <c r="U4" s="28">
        <f xml:space="preserve"> Time!U$88</f>
        <v>36</v>
      </c>
      <c r="V4" s="28">
        <f xml:space="preserve"> Time!V$88</f>
        <v>39</v>
      </c>
      <c r="W4" s="28">
        <f xml:space="preserve"> Time!W$88</f>
        <v>42</v>
      </c>
      <c r="X4" s="28">
        <f xml:space="preserve"> Time!X$88</f>
        <v>45</v>
      </c>
      <c r="Y4" s="28">
        <f xml:space="preserve"> Time!Y$88</f>
        <v>48</v>
      </c>
      <c r="Z4" s="28">
        <f xml:space="preserve"> Time!Z$88</f>
        <v>51</v>
      </c>
      <c r="AA4" s="28">
        <f xml:space="preserve"> Time!AA$88</f>
        <v>54</v>
      </c>
      <c r="AB4" s="28">
        <f xml:space="preserve"> Time!AB$88</f>
        <v>57</v>
      </c>
      <c r="AC4" s="28">
        <f xml:space="preserve"> Time!AC$88</f>
        <v>60</v>
      </c>
    </row>
    <row r="5" spans="1:29" s="34" customFormat="1">
      <c r="A5" s="48"/>
      <c r="B5" s="48"/>
      <c r="C5" s="72"/>
      <c r="D5" s="73"/>
      <c r="E5" s="22" t="s">
        <v>305</v>
      </c>
      <c r="F5" s="24" t="s">
        <v>248</v>
      </c>
      <c r="G5" s="24" t="s">
        <v>224</v>
      </c>
      <c r="H5" s="24" t="s">
        <v>202</v>
      </c>
      <c r="I5" s="50"/>
      <c r="J5" s="15"/>
      <c r="K5" s="15"/>
      <c r="L5" s="15"/>
      <c r="M5" s="15"/>
      <c r="N5" s="15"/>
      <c r="O5" s="15"/>
      <c r="P5" s="15"/>
    </row>
    <row r="6" spans="1:29" s="43" customFormat="1">
      <c r="A6" s="24"/>
      <c r="B6" s="24"/>
      <c r="C6" s="49"/>
      <c r="D6" s="70"/>
      <c r="F6" s="24"/>
      <c r="G6" s="24"/>
      <c r="H6" s="24"/>
    </row>
    <row r="8" spans="1:29">
      <c r="E8" s="16" t="str">
        <f xml:space="preserve"> Customers!E$11</f>
        <v>New customers orders</v>
      </c>
      <c r="F8" s="16">
        <f xml:space="preserve"> Customers!F$11</f>
        <v>0</v>
      </c>
      <c r="G8" s="16" t="str">
        <f xml:space="preserve"> Customers!G$11</f>
        <v>Units</v>
      </c>
      <c r="H8" s="42">
        <f xml:space="preserve"> Customers!H$11</f>
        <v>261181.72293639058</v>
      </c>
      <c r="I8" s="16">
        <f xml:space="preserve"> Customers!I$11</f>
        <v>0</v>
      </c>
      <c r="J8" s="9">
        <f xml:space="preserve"> SUMIF( Time!$J326:$BQ326, Time!J$28, Customers!$J11:$BQ11)</f>
        <v>1591.7273777732489</v>
      </c>
      <c r="K8" s="9">
        <f xml:space="preserve"> SUMIF( Time!$J326:$BQ326, Time!K$28, Customers!$J11:$BQ11)</f>
        <v>1895.5914446040433</v>
      </c>
      <c r="L8" s="9">
        <f xml:space="preserve"> SUMIF( Time!$J326:$BQ326, Time!L$28, Customers!$J11:$BQ11)</f>
        <v>2256.0368418551088</v>
      </c>
      <c r="M8" s="9">
        <f xml:space="preserve"> SUMIF( Time!$J326:$BQ326, Time!M$28, Customers!$J11:$BQ11)</f>
        <v>2680.1643354654343</v>
      </c>
      <c r="N8" s="9">
        <f xml:space="preserve"> SUMIF( Time!$J326:$BQ326, Time!N$28, Customers!$J11:$BQ11)</f>
        <v>3185.2625467863077</v>
      </c>
      <c r="O8" s="9">
        <f xml:space="preserve"> SUMIF( Time!$J326:$BQ326, Time!O$28, Customers!$J11:$BQ11)</f>
        <v>3793.5587819546445</v>
      </c>
      <c r="P8" s="9">
        <f xml:space="preserve"> SUMIF( Time!$J326:$BQ326, Time!P$28, Customers!$J11:$BQ11)</f>
        <v>4514.6685689330461</v>
      </c>
      <c r="Q8" s="9">
        <f xml:space="preserve"> SUMIF( Time!$J326:$BQ326, Time!Q$28, Customers!$J11:$BQ11)</f>
        <v>5363.4086019164588</v>
      </c>
      <c r="R8" s="9">
        <f xml:space="preserve"> SUMIF( Time!$J326:$BQ326, Time!R$28, Customers!$J11:$BQ11)</f>
        <v>6370.5859331411857</v>
      </c>
      <c r="S8" s="9">
        <f xml:space="preserve"> SUMIF( Time!$J326:$BQ326, Time!S$28, Customers!$J11:$BQ11)</f>
        <v>7585.5347464509978</v>
      </c>
      <c r="T8" s="9">
        <f xml:space="preserve"> SUMIF( Time!$J326:$BQ326, Time!T$28, Customers!$J11:$BQ11)</f>
        <v>9027.8312338698852</v>
      </c>
      <c r="U8" s="9">
        <f xml:space="preserve"> SUMIF( Time!$J326:$BQ326, Time!U$28, Customers!$J11:$BQ11)</f>
        <v>10724.849062600666</v>
      </c>
      <c r="V8" s="9">
        <f xml:space="preserve"> SUMIF( Time!$J326:$BQ326, Time!V$28, Customers!$J11:$BQ11)</f>
        <v>12739.334513468602</v>
      </c>
      <c r="W8" s="9">
        <f xml:space="preserve"> SUMIF( Time!$J326:$BQ326, Time!W$28, Customers!$J11:$BQ11)</f>
        <v>15169.485842589642</v>
      </c>
      <c r="X8" s="9">
        <f xml:space="preserve"> SUMIF( Time!$J326:$BQ326, Time!X$28, Customers!$J11:$BQ11)</f>
        <v>18054.022095472228</v>
      </c>
      <c r="Y8" s="9">
        <f xml:space="preserve"> SUMIF( Time!$J326:$BQ326, Time!Y$28, Customers!$J11:$BQ11)</f>
        <v>21447.335841420216</v>
      </c>
      <c r="Z8" s="9">
        <f xml:space="preserve"> SUMIF( Time!$J326:$BQ326, Time!Z$28, Customers!$J11:$BQ11)</f>
        <v>25476.46365449654</v>
      </c>
      <c r="AA8" s="9">
        <f xml:space="preserve"> SUMIF( Time!$J326:$BQ326, Time!AA$28, Customers!$J11:$BQ11)</f>
        <v>30337.07077145121</v>
      </c>
      <c r="AB8" s="9">
        <f xml:space="preserve"> SUMIF( Time!$J326:$BQ326, Time!AB$28, Customers!$J11:$BQ11)</f>
        <v>36087.154016621484</v>
      </c>
      <c r="AC8" s="9">
        <f xml:space="preserve"> SUMIF( Time!$J326:$BQ326, Time!AC$28, Customers!$J11:$BQ11)</f>
        <v>42881.636725519624</v>
      </c>
    </row>
    <row r="9" spans="1:29">
      <c r="E9" s="16" t="str">
        <f xml:space="preserve"> Customers!E$32</f>
        <v>Renewing Customer Orders</v>
      </c>
      <c r="F9" s="16">
        <f xml:space="preserve"> Customers!F$32</f>
        <v>0</v>
      </c>
      <c r="G9" s="16" t="str">
        <f xml:space="preserve"> Customers!G$32</f>
        <v>Units</v>
      </c>
      <c r="H9" s="42">
        <f ca="1" xml:space="preserve"> Customers!H$32</f>
        <v>53090.297527815921</v>
      </c>
      <c r="I9" s="16">
        <f xml:space="preserve"> Customers!I$32</f>
        <v>0</v>
      </c>
      <c r="J9" s="9">
        <f ca="1" xml:space="preserve"> SUMIF( Time!$J326:$BQ326, Time!J$28, Customers!$J32:$BQ32)</f>
        <v>0</v>
      </c>
      <c r="K9" s="9">
        <f ca="1" xml:space="preserve"> SUMIF( Time!$J326:$BQ326, Time!K$28, Customers!$J32:$BQ32)</f>
        <v>0</v>
      </c>
      <c r="L9" s="9">
        <f ca="1" xml:space="preserve"> SUMIF( Time!$J326:$BQ326, Time!L$28, Customers!$J32:$BQ32)</f>
        <v>0</v>
      </c>
      <c r="M9" s="9">
        <f ca="1" xml:space="preserve"> SUMIF( Time!$J326:$BQ326, Time!M$28, Customers!$J32:$BQ32)</f>
        <v>0</v>
      </c>
      <c r="N9" s="9">
        <f ca="1" xml:space="preserve"> SUMIF( Time!$J326:$BQ326, Time!N$28, Customers!$J32:$BQ32)</f>
        <v>0</v>
      </c>
      <c r="O9" s="9">
        <f ca="1" xml:space="preserve"> SUMIF( Time!$J326:$BQ326, Time!O$28, Customers!$J32:$BQ32)</f>
        <v>0</v>
      </c>
      <c r="P9" s="9">
        <f ca="1" xml:space="preserve"> SUMIF( Time!$J326:$BQ326, Time!P$28, Customers!$J32:$BQ32)</f>
        <v>0</v>
      </c>
      <c r="Q9" s="9">
        <f ca="1" xml:space="preserve"> SUMIF( Time!$J326:$BQ326, Time!Q$28, Customers!$J32:$BQ32)</f>
        <v>0</v>
      </c>
      <c r="R9" s="9">
        <f ca="1" xml:space="preserve"> SUMIF( Time!$J326:$BQ326, Time!R$28, Customers!$J32:$BQ32)</f>
        <v>1432.5546399959242</v>
      </c>
      <c r="S9" s="9">
        <f ca="1" xml:space="preserve"> SUMIF( Time!$J326:$BQ326, Time!S$28, Customers!$J32:$BQ32)</f>
        <v>1706.0323001436391</v>
      </c>
      <c r="T9" s="9">
        <f ca="1" xml:space="preserve"> SUMIF( Time!$J326:$BQ326, Time!T$28, Customers!$J32:$BQ32)</f>
        <v>2030.4331576695977</v>
      </c>
      <c r="U9" s="9">
        <f ca="1" xml:space="preserve"> SUMIF( Time!$J326:$BQ326, Time!U$28, Customers!$J32:$BQ32)</f>
        <v>2412.1479019188905</v>
      </c>
      <c r="V9" s="9">
        <f ca="1" xml:space="preserve"> SUMIF( Time!$J326:$BQ326, Time!V$28, Customers!$J32:$BQ32)</f>
        <v>2866.7362921076765</v>
      </c>
      <c r="W9" s="9">
        <f ca="1" xml:space="preserve"> SUMIF( Time!$J326:$BQ326, Time!W$28, Customers!$J32:$BQ32)</f>
        <v>3414.2029037591801</v>
      </c>
      <c r="X9" s="9">
        <f ca="1" xml:space="preserve"> SUMIF( Time!$J326:$BQ326, Time!X$28, Customers!$J32:$BQ32)</f>
        <v>4063.2017120397413</v>
      </c>
      <c r="Y9" s="9">
        <f ca="1" xml:space="preserve"> SUMIF( Time!$J326:$BQ326, Time!Y$28, Customers!$J32:$BQ32)</f>
        <v>4827.0677417248135</v>
      </c>
      <c r="Z9" s="9">
        <f ca="1" xml:space="preserve"> SUMIF( Time!$J326:$BQ326, Time!Z$28, Customers!$J32:$BQ32)</f>
        <v>5733.5273398270674</v>
      </c>
      <c r="AA9" s="9">
        <f ca="1" xml:space="preserve"> SUMIF( Time!$J326:$BQ326, Time!AA$28, Customers!$J32:$BQ32)</f>
        <v>6826.9812718058974</v>
      </c>
      <c r="AB9" s="9">
        <f ca="1" xml:space="preserve"> SUMIF( Time!$J326:$BQ326, Time!AB$28, Customers!$J32:$BQ32)</f>
        <v>8125.0481104828968</v>
      </c>
      <c r="AC9" s="9">
        <f ca="1" xml:space="preserve"> SUMIF( Time!$J326:$BQ326, Time!AC$28, Customers!$J32:$BQ32)</f>
        <v>9652.3641563405981</v>
      </c>
    </row>
    <row r="10" spans="1:29">
      <c r="E10" s="16" t="str">
        <f xml:space="preserve"> Customers!E$21</f>
        <v>Customer Orders Awaiting Fullfilment</v>
      </c>
      <c r="F10" s="16">
        <f xml:space="preserve"> Customers!F$21</f>
        <v>0</v>
      </c>
      <c r="G10" s="16" t="str">
        <f xml:space="preserve"> Customers!G$21</f>
        <v>Units</v>
      </c>
      <c r="H10" s="42">
        <f xml:space="preserve"> Customers!H$21</f>
        <v>0</v>
      </c>
      <c r="I10" s="16">
        <f xml:space="preserve"> Customers!I$21</f>
        <v>0</v>
      </c>
      <c r="J10" s="9">
        <f ca="1" xml:space="preserve"> SUMIF( Time!$J331:$BQ331, Time!J$28, Customers!$J21:$BQ21)</f>
        <v>1591.7273777732489</v>
      </c>
      <c r="K10" s="9">
        <f ca="1" xml:space="preserve"> SUMIF( Time!$J331:$BQ331, Time!K$28, Customers!$J21:$BQ21)</f>
        <v>3487.3188223772922</v>
      </c>
      <c r="L10" s="9">
        <f ca="1" xml:space="preserve"> SUMIF( Time!$J331:$BQ331, Time!L$28, Customers!$J21:$BQ21)</f>
        <v>796.21661196928426</v>
      </c>
      <c r="M10" s="9">
        <f ca="1" xml:space="preserve"> SUMIF( Time!$J331:$BQ331, Time!M$28, Customers!$J21:$BQ21)</f>
        <v>3423.5199996978349</v>
      </c>
      <c r="N10" s="9">
        <f ca="1" xml:space="preserve"> SUMIF( Time!$J331:$BQ331, Time!N$28, Customers!$J21:$BQ21)</f>
        <v>1608.782546484143</v>
      </c>
      <c r="O10" s="9">
        <f ca="1" xml:space="preserve"> SUMIF( Time!$J331:$BQ331, Time!O$28, Customers!$J21:$BQ21)</f>
        <v>5402.341328438788</v>
      </c>
      <c r="P10" s="9">
        <f ca="1" xml:space="preserve"> SUMIF( Time!$J331:$BQ331, Time!P$28, Customers!$J21:$BQ21)</f>
        <v>4917.0098973718341</v>
      </c>
      <c r="Q10" s="9">
        <f ca="1" xml:space="preserve"> SUMIF( Time!$J331:$BQ331, Time!Q$28, Customers!$J21:$BQ21)</f>
        <v>5280.4184992882947</v>
      </c>
      <c r="R10" s="9">
        <f ca="1" xml:space="preserve"> SUMIF( Time!$J331:$BQ331, Time!R$28, Customers!$J21:$BQ21)</f>
        <v>11022.921686897271</v>
      </c>
      <c r="S10" s="9">
        <f ca="1" xml:space="preserve"> SUMIF( Time!$J331:$BQ331, Time!S$28, Customers!$J21:$BQ21)</f>
        <v>11737.654015413058</v>
      </c>
      <c r="T10" s="9">
        <f ca="1" xml:space="preserve"> SUMIF( Time!$J331:$BQ331, Time!T$28, Customers!$J21:$BQ21)</f>
        <v>8539.1124060332841</v>
      </c>
      <c r="U10" s="9">
        <f ca="1" xml:space="preserve"> SUMIF( Time!$J331:$BQ331, Time!U$28, Customers!$J21:$BQ21)</f>
        <v>11612.884499067255</v>
      </c>
      <c r="V10" s="9">
        <f ca="1" xml:space="preserve"> SUMIF( Time!$J331:$BQ331, Time!V$28, Customers!$J21:$BQ21)</f>
        <v>16206.302114853477</v>
      </c>
      <c r="W10" s="9">
        <f ca="1" xml:space="preserve"> SUMIF( Time!$J331:$BQ331, Time!W$28, Customers!$J21:$BQ21)</f>
        <v>22631.268734313388</v>
      </c>
      <c r="X10" s="9">
        <f ca="1" xml:space="preserve"> SUMIF( Time!$J331:$BQ331, Time!X$28, Customers!$J21:$BQ21)</f>
        <v>26230.895037101749</v>
      </c>
      <c r="Y10" s="9">
        <f ca="1" xml:space="preserve"> SUMIF( Time!$J331:$BQ331, Time!Y$28, Customers!$J21:$BQ21)</f>
        <v>32372.010202025675</v>
      </c>
      <c r="Z10" s="9">
        <f ca="1" xml:space="preserve"> SUMIF( Time!$J331:$BQ331, Time!Z$28, Customers!$J21:$BQ21)</f>
        <v>34698.818731012048</v>
      </c>
      <c r="AA10" s="9">
        <f ca="1" xml:space="preserve"> SUMIF( Time!$J331:$BQ331, Time!AA$28, Customers!$J21:$BQ21)</f>
        <v>39329.641460602288</v>
      </c>
      <c r="AB10" s="9">
        <f ca="1" xml:space="preserve"> SUMIF( Time!$J331:$BQ331, Time!AB$28, Customers!$J21:$BQ21)</f>
        <v>47678.178177315582</v>
      </c>
      <c r="AC10" s="9">
        <f ca="1" xml:space="preserve"> SUMIF( Time!$J331:$BQ331, Time!AC$28, Customers!$J21:$BQ21)</f>
        <v>60392.68148681907</v>
      </c>
    </row>
    <row r="11" spans="1:29">
      <c r="E11" s="16" t="str">
        <f xml:space="preserve"> Inventory!E$26</f>
        <v>Units ordered</v>
      </c>
      <c r="F11" s="16">
        <f xml:space="preserve"> Inventory!F$26</f>
        <v>0</v>
      </c>
      <c r="G11" s="16" t="str">
        <f xml:space="preserve"> Inventory!G$26</f>
        <v>Units</v>
      </c>
      <c r="H11" s="42">
        <f ca="1" xml:space="preserve"> Inventory!H$26</f>
        <v>165000</v>
      </c>
      <c r="I11" s="16">
        <f xml:space="preserve"> Inventory!I$26</f>
        <v>0</v>
      </c>
      <c r="J11" s="9">
        <f ca="1" xml:space="preserve"> SUMIF( Time!$J326:$BQ326, Time!J$28, Inventory!$J26:$BQ26)</f>
        <v>5000</v>
      </c>
      <c r="K11" s="9">
        <f ca="1" xml:space="preserve"> SUMIF( Time!$J326:$BQ326, Time!K$28, Inventory!$J26:$BQ26)</f>
        <v>0</v>
      </c>
      <c r="L11" s="9">
        <f ca="1" xml:space="preserve"> SUMIF( Time!$J326:$BQ326, Time!L$28, Inventory!$J26:$BQ26)</f>
        <v>5000</v>
      </c>
      <c r="M11" s="9">
        <f ca="1" xml:space="preserve"> SUMIF( Time!$J326:$BQ326, Time!M$28, Inventory!$J26:$BQ26)</f>
        <v>0</v>
      </c>
      <c r="N11" s="9">
        <f ca="1" xml:space="preserve"> SUMIF( Time!$J326:$BQ326, Time!N$28, Inventory!$J26:$BQ26)</f>
        <v>5000</v>
      </c>
      <c r="O11" s="9">
        <f ca="1" xml:space="preserve"> SUMIF( Time!$J326:$BQ326, Time!O$28, Inventory!$J26:$BQ26)</f>
        <v>5000</v>
      </c>
      <c r="P11" s="9">
        <f ca="1" xml:space="preserve"> SUMIF( Time!$J326:$BQ326, Time!P$28, Inventory!$J26:$BQ26)</f>
        <v>5000</v>
      </c>
      <c r="Q11" s="9">
        <f ca="1" xml:space="preserve"> SUMIF( Time!$J326:$BQ326, Time!Q$28, Inventory!$J26:$BQ26)</f>
        <v>5000</v>
      </c>
      <c r="R11" s="9">
        <f ca="1" xml:space="preserve"> SUMIF( Time!$J326:$BQ326, Time!R$28, Inventory!$J26:$BQ26)</f>
        <v>5000</v>
      </c>
      <c r="S11" s="9">
        <f ca="1" xml:space="preserve"> SUMIF( Time!$J326:$BQ326, Time!S$28, Inventory!$J26:$BQ26)</f>
        <v>5000</v>
      </c>
      <c r="T11" s="9">
        <f ca="1" xml:space="preserve"> SUMIF( Time!$J326:$BQ326, Time!T$28, Inventory!$J26:$BQ26)</f>
        <v>5000</v>
      </c>
      <c r="U11" s="9">
        <f ca="1" xml:space="preserve"> SUMIF( Time!$J326:$BQ326, Time!U$28, Inventory!$J26:$BQ26)</f>
        <v>10000</v>
      </c>
      <c r="V11" s="9">
        <f ca="1" xml:space="preserve"> SUMIF( Time!$J326:$BQ326, Time!V$28, Inventory!$J26:$BQ26)</f>
        <v>10000</v>
      </c>
      <c r="W11" s="9">
        <f ca="1" xml:space="preserve"> SUMIF( Time!$J326:$BQ326, Time!W$28, Inventory!$J26:$BQ26)</f>
        <v>10000</v>
      </c>
      <c r="X11" s="9">
        <f ca="1" xml:space="preserve"> SUMIF( Time!$J326:$BQ326, Time!X$28, Inventory!$J26:$BQ26)</f>
        <v>15000</v>
      </c>
      <c r="Y11" s="9">
        <f ca="1" xml:space="preserve"> SUMIF( Time!$J326:$BQ326, Time!Y$28, Inventory!$J26:$BQ26)</f>
        <v>15000</v>
      </c>
      <c r="Z11" s="9">
        <f ca="1" xml:space="preserve"> SUMIF( Time!$J326:$BQ326, Time!Z$28, Inventory!$J26:$BQ26)</f>
        <v>15000</v>
      </c>
      <c r="AA11" s="9">
        <f ca="1" xml:space="preserve"> SUMIF( Time!$J326:$BQ326, Time!AA$28, Inventory!$J26:$BQ26)</f>
        <v>15000</v>
      </c>
      <c r="AB11" s="9">
        <f ca="1" xml:space="preserve"> SUMIF( Time!$J326:$BQ326, Time!AB$28, Inventory!$J26:$BQ26)</f>
        <v>15000</v>
      </c>
      <c r="AC11" s="9">
        <f ca="1" xml:space="preserve"> SUMIF( Time!$J326:$BQ326, Time!AC$28, Inventory!$J26:$BQ26)</f>
        <v>15000</v>
      </c>
    </row>
    <row r="12" spans="1:29">
      <c r="E12" s="16" t="str">
        <f xml:space="preserve"> Inventory!E$41</f>
        <v>Units on order</v>
      </c>
      <c r="F12" s="16">
        <f xml:space="preserve"> Inventory!F$41</f>
        <v>0</v>
      </c>
      <c r="G12" s="16" t="str">
        <f xml:space="preserve"> Inventory!G$41</f>
        <v>Units</v>
      </c>
      <c r="H12" s="42">
        <f xml:space="preserve"> Inventory!H$41</f>
        <v>0</v>
      </c>
      <c r="I12" s="16">
        <f xml:space="preserve"> Inventory!I$41</f>
        <v>0</v>
      </c>
      <c r="J12" s="9">
        <f ca="1" xml:space="preserve"> SUMIF( Time!$J331:$BQ331, Time!J$28, Inventory!$J41:$BQ41)</f>
        <v>5000</v>
      </c>
      <c r="K12" s="9">
        <f ca="1" xml:space="preserve"> SUMIF( Time!$J331:$BQ331, Time!K$28, Inventory!$J41:$BQ41)</f>
        <v>5000</v>
      </c>
      <c r="L12" s="9">
        <f ca="1" xml:space="preserve"> SUMIF( Time!$J331:$BQ331, Time!L$28, Inventory!$J41:$BQ41)</f>
        <v>5000</v>
      </c>
      <c r="M12" s="9">
        <f ca="1" xml:space="preserve"> SUMIF( Time!$J331:$BQ331, Time!M$28, Inventory!$J41:$BQ41)</f>
        <v>5000</v>
      </c>
      <c r="N12" s="9">
        <f ca="1" xml:space="preserve"> SUMIF( Time!$J331:$BQ331, Time!N$28, Inventory!$J41:$BQ41)</f>
        <v>5000</v>
      </c>
      <c r="O12" s="9">
        <f ca="1" xml:space="preserve"> SUMIF( Time!$J331:$BQ331, Time!O$28, Inventory!$J41:$BQ41)</f>
        <v>10000</v>
      </c>
      <c r="P12" s="9">
        <f ca="1" xml:space="preserve"> SUMIF( Time!$J331:$BQ331, Time!P$28, Inventory!$J41:$BQ41)</f>
        <v>10000</v>
      </c>
      <c r="Q12" s="9">
        <f ca="1" xml:space="preserve"> SUMIF( Time!$J331:$BQ331, Time!Q$28, Inventory!$J41:$BQ41)</f>
        <v>10000</v>
      </c>
      <c r="R12" s="9">
        <f ca="1" xml:space="preserve"> SUMIF( Time!$J331:$BQ331, Time!R$28, Inventory!$J41:$BQ41)</f>
        <v>10000</v>
      </c>
      <c r="S12" s="9">
        <f ca="1" xml:space="preserve"> SUMIF( Time!$J331:$BQ331, Time!S$28, Inventory!$J41:$BQ41)</f>
        <v>10000</v>
      </c>
      <c r="T12" s="9">
        <f ca="1" xml:space="preserve"> SUMIF( Time!$J331:$BQ331, Time!T$28, Inventory!$J41:$BQ41)</f>
        <v>10000</v>
      </c>
      <c r="U12" s="9">
        <f ca="1" xml:space="preserve"> SUMIF( Time!$J331:$BQ331, Time!U$28, Inventory!$J41:$BQ41)</f>
        <v>15000</v>
      </c>
      <c r="V12" s="9">
        <f ca="1" xml:space="preserve"> SUMIF( Time!$J331:$BQ331, Time!V$28, Inventory!$J41:$BQ41)</f>
        <v>20000</v>
      </c>
      <c r="W12" s="9">
        <f ca="1" xml:space="preserve"> SUMIF( Time!$J331:$BQ331, Time!W$28, Inventory!$J41:$BQ41)</f>
        <v>20000</v>
      </c>
      <c r="X12" s="9">
        <f ca="1" xml:space="preserve"> SUMIF( Time!$J331:$BQ331, Time!X$28, Inventory!$J41:$BQ41)</f>
        <v>25000</v>
      </c>
      <c r="Y12" s="9">
        <f ca="1" xml:space="preserve"> SUMIF( Time!$J331:$BQ331, Time!Y$28, Inventory!$J41:$BQ41)</f>
        <v>30000</v>
      </c>
      <c r="Z12" s="9">
        <f ca="1" xml:space="preserve"> SUMIF( Time!$J331:$BQ331, Time!Z$28, Inventory!$J41:$BQ41)</f>
        <v>30000</v>
      </c>
      <c r="AA12" s="9">
        <f ca="1" xml:space="preserve"> SUMIF( Time!$J331:$BQ331, Time!AA$28, Inventory!$J41:$BQ41)</f>
        <v>30000</v>
      </c>
      <c r="AB12" s="9">
        <f ca="1" xml:space="preserve"> SUMIF( Time!$J331:$BQ331, Time!AB$28, Inventory!$J41:$BQ41)</f>
        <v>30000</v>
      </c>
      <c r="AC12" s="9">
        <f ca="1" xml:space="preserve"> SUMIF( Time!$J331:$BQ331, Time!AC$28, Inventory!$J41:$BQ41)</f>
        <v>30000</v>
      </c>
    </row>
    <row r="13" spans="1:29">
      <c r="E13" s="16" t="str">
        <f xml:space="preserve"> Inventory!E$32</f>
        <v>Units delivered</v>
      </c>
      <c r="F13" s="16">
        <f xml:space="preserve"> Inventory!F$32</f>
        <v>0</v>
      </c>
      <c r="G13" s="16" t="str">
        <f xml:space="preserve"> Inventory!G$32</f>
        <v>Units</v>
      </c>
      <c r="H13" s="42">
        <f ca="1" xml:space="preserve"> Inventory!H$32</f>
        <v>135000</v>
      </c>
      <c r="I13" s="16">
        <f xml:space="preserve"> Inventory!I$32</f>
        <v>0</v>
      </c>
      <c r="J13" s="9">
        <f ca="1" xml:space="preserve"> SUMIF( Time!$J326:$BQ326, Time!J$28, Inventory!$J32:$BQ32)</f>
        <v>0</v>
      </c>
      <c r="K13" s="9">
        <f ca="1" xml:space="preserve"> SUMIF( Time!$J326:$BQ326, Time!K$28, Inventory!$J32:$BQ32)</f>
        <v>0</v>
      </c>
      <c r="L13" s="9">
        <f ca="1" xml:space="preserve"> SUMIF( Time!$J326:$BQ326, Time!L$28, Inventory!$J32:$BQ32)</f>
        <v>5000</v>
      </c>
      <c r="M13" s="9">
        <f ca="1" xml:space="preserve"> SUMIF( Time!$J326:$BQ326, Time!M$28, Inventory!$J32:$BQ32)</f>
        <v>0</v>
      </c>
      <c r="N13" s="9">
        <f ca="1" xml:space="preserve"> SUMIF( Time!$J326:$BQ326, Time!N$28, Inventory!$J32:$BQ32)</f>
        <v>5000</v>
      </c>
      <c r="O13" s="9">
        <f ca="1" xml:space="preserve"> SUMIF( Time!$J326:$BQ326, Time!O$28, Inventory!$J32:$BQ32)</f>
        <v>0</v>
      </c>
      <c r="P13" s="9">
        <f ca="1" xml:space="preserve"> SUMIF( Time!$J326:$BQ326, Time!P$28, Inventory!$J32:$BQ32)</f>
        <v>5000</v>
      </c>
      <c r="Q13" s="9">
        <f ca="1" xml:space="preserve"> SUMIF( Time!$J326:$BQ326, Time!Q$28, Inventory!$J32:$BQ32)</f>
        <v>5000</v>
      </c>
      <c r="R13" s="9">
        <f ca="1" xml:space="preserve"> SUMIF( Time!$J326:$BQ326, Time!R$28, Inventory!$J32:$BQ32)</f>
        <v>5000</v>
      </c>
      <c r="S13" s="9">
        <f ca="1" xml:space="preserve"> SUMIF( Time!$J326:$BQ326, Time!S$28, Inventory!$J32:$BQ32)</f>
        <v>5000</v>
      </c>
      <c r="T13" s="9">
        <f ca="1" xml:space="preserve"> SUMIF( Time!$J326:$BQ326, Time!T$28, Inventory!$J32:$BQ32)</f>
        <v>5000</v>
      </c>
      <c r="U13" s="9">
        <f ca="1" xml:space="preserve"> SUMIF( Time!$J326:$BQ326, Time!U$28, Inventory!$J32:$BQ32)</f>
        <v>5000</v>
      </c>
      <c r="V13" s="9">
        <f ca="1" xml:space="preserve"> SUMIF( Time!$J326:$BQ326, Time!V$28, Inventory!$J32:$BQ32)</f>
        <v>5000</v>
      </c>
      <c r="W13" s="9">
        <f ca="1" xml:space="preserve"> SUMIF( Time!$J326:$BQ326, Time!W$28, Inventory!$J32:$BQ32)</f>
        <v>10000</v>
      </c>
      <c r="X13" s="9">
        <f ca="1" xml:space="preserve"> SUMIF( Time!$J326:$BQ326, Time!X$28, Inventory!$J32:$BQ32)</f>
        <v>10000</v>
      </c>
      <c r="Y13" s="9">
        <f ca="1" xml:space="preserve"> SUMIF( Time!$J326:$BQ326, Time!Y$28, Inventory!$J32:$BQ32)</f>
        <v>10000</v>
      </c>
      <c r="Z13" s="9">
        <f ca="1" xml:space="preserve"> SUMIF( Time!$J326:$BQ326, Time!Z$28, Inventory!$J32:$BQ32)</f>
        <v>15000</v>
      </c>
      <c r="AA13" s="9">
        <f ca="1" xml:space="preserve"> SUMIF( Time!$J326:$BQ326, Time!AA$28, Inventory!$J32:$BQ32)</f>
        <v>15000</v>
      </c>
      <c r="AB13" s="9">
        <f ca="1" xml:space="preserve"> SUMIF( Time!$J326:$BQ326, Time!AB$28, Inventory!$J32:$BQ32)</f>
        <v>15000</v>
      </c>
      <c r="AC13" s="9">
        <f ca="1" xml:space="preserve"> SUMIF( Time!$J326:$BQ326, Time!AC$28, Inventory!$J32:$BQ32)</f>
        <v>15000</v>
      </c>
    </row>
    <row r="14" spans="1:29">
      <c r="E14" s="16" t="str">
        <f xml:space="preserve"> Inventory!E$18</f>
        <v>Deployed units returned</v>
      </c>
      <c r="F14" s="16">
        <f xml:space="preserve"> Inventory!F$18</f>
        <v>0</v>
      </c>
      <c r="G14" s="16" t="str">
        <f xml:space="preserve"> Inventory!G$18</f>
        <v>Units</v>
      </c>
      <c r="H14" s="42">
        <f ca="1" xml:space="preserve"> Inventory!H$18</f>
        <v>66570.387475079086</v>
      </c>
      <c r="I14" s="16">
        <f xml:space="preserve"> Inventory!I$18</f>
        <v>0</v>
      </c>
      <c r="J14" s="9">
        <f ca="1" xml:space="preserve"> SUMIF( Time!$J326:$BQ326, Time!J$28, Inventory!$J18:$BQ18)</f>
        <v>0</v>
      </c>
      <c r="K14" s="9">
        <f ca="1" xml:space="preserve"> SUMIF( Time!$J326:$BQ326, Time!K$28, Inventory!$J18:$BQ18)</f>
        <v>0</v>
      </c>
      <c r="L14" s="9">
        <f ca="1" xml:space="preserve"> SUMIF( Time!$J326:$BQ326, Time!L$28, Inventory!$J18:$BQ18)</f>
        <v>0</v>
      </c>
      <c r="M14" s="9">
        <f ca="1" xml:space="preserve"> SUMIF( Time!$J326:$BQ326, Time!M$28, Inventory!$J18:$BQ18)</f>
        <v>0</v>
      </c>
      <c r="N14" s="9">
        <f ca="1" xml:space="preserve"> SUMIF( Time!$J326:$BQ326, Time!N$28, Inventory!$J18:$BQ18)</f>
        <v>0</v>
      </c>
      <c r="O14" s="9">
        <f ca="1" xml:space="preserve"> SUMIF( Time!$J326:$BQ326, Time!O$28, Inventory!$J18:$BQ18)</f>
        <v>0</v>
      </c>
      <c r="P14" s="9">
        <f ca="1" xml:space="preserve"> SUMIF( Time!$J326:$BQ326, Time!P$28, Inventory!$J18:$BQ18)</f>
        <v>0</v>
      </c>
      <c r="Q14" s="9">
        <f ca="1" xml:space="preserve"> SUMIF( Time!$J326:$BQ326, Time!Q$28, Inventory!$J18:$BQ18)</f>
        <v>0</v>
      </c>
      <c r="R14" s="9">
        <f ca="1" xml:space="preserve"> SUMIF( Time!$J326:$BQ326, Time!R$28, Inventory!$J18:$BQ18)</f>
        <v>1591.7273777732489</v>
      </c>
      <c r="S14" s="9">
        <f ca="1" xml:space="preserve"> SUMIF( Time!$J326:$BQ326, Time!S$28, Inventory!$J18:$BQ18)</f>
        <v>1895.5914446040433</v>
      </c>
      <c r="T14" s="9">
        <f ca="1" xml:space="preserve"> SUMIF( Time!$J326:$BQ326, Time!T$28, Inventory!$J18:$BQ18)</f>
        <v>2256.0368418551088</v>
      </c>
      <c r="U14" s="9">
        <f ca="1" xml:space="preserve"> SUMIF( Time!$J326:$BQ326, Time!U$28, Inventory!$J18:$BQ18)</f>
        <v>2680.1643354654343</v>
      </c>
      <c r="V14" s="9">
        <f ca="1" xml:space="preserve"> SUMIF( Time!$J326:$BQ326, Time!V$28, Inventory!$J18:$BQ18)</f>
        <v>3185.2625467863077</v>
      </c>
      <c r="W14" s="9">
        <f ca="1" xml:space="preserve"> SUMIF( Time!$J326:$BQ326, Time!W$28, Inventory!$J18:$BQ18)</f>
        <v>3793.5587819546445</v>
      </c>
      <c r="X14" s="9">
        <f ca="1" xml:space="preserve"> SUMIF( Time!$J326:$BQ326, Time!X$28, Inventory!$J18:$BQ18)</f>
        <v>4514.6685689330461</v>
      </c>
      <c r="Y14" s="9">
        <f ca="1" xml:space="preserve"> SUMIF( Time!$J326:$BQ326, Time!Y$28, Inventory!$J18:$BQ18)</f>
        <v>5363.4086019164588</v>
      </c>
      <c r="Z14" s="9">
        <f ca="1" xml:space="preserve"> SUMIF( Time!$J326:$BQ326, Time!Z$28, Inventory!$J18:$BQ18)</f>
        <v>7803.1405731371087</v>
      </c>
      <c r="AA14" s="9">
        <f ca="1" xml:space="preserve"> SUMIF( Time!$J326:$BQ326, Time!AA$28, Inventory!$J18:$BQ18)</f>
        <v>9291.5670465946368</v>
      </c>
      <c r="AB14" s="9">
        <f ca="1" xml:space="preserve"> SUMIF( Time!$J326:$BQ326, Time!AB$28, Inventory!$J18:$BQ18)</f>
        <v>11058.264391539484</v>
      </c>
      <c r="AC14" s="9">
        <f ca="1" xml:space="preserve"> SUMIF( Time!$J326:$BQ326, Time!AC$28, Inventory!$J18:$BQ18)</f>
        <v>13136.996964519556</v>
      </c>
    </row>
    <row r="15" spans="1:29">
      <c r="E15" s="16" t="str">
        <f xml:space="preserve"> Inventory!E$56</f>
        <v>Units in stock</v>
      </c>
      <c r="F15" s="16">
        <f xml:space="preserve"> Inventory!F$56</f>
        <v>0</v>
      </c>
      <c r="G15" s="16" t="str">
        <f xml:space="preserve"> Inventory!G$56</f>
        <v>Units</v>
      </c>
      <c r="H15" s="42">
        <f xml:space="preserve"> Inventory!H$56</f>
        <v>0</v>
      </c>
      <c r="I15" s="16">
        <f xml:space="preserve"> Inventory!I$56</f>
        <v>0</v>
      </c>
      <c r="J15" s="9">
        <f ca="1" xml:space="preserve"> SUMIF( Time!$J331:$BQ331, Time!J$28, Inventory!$J56:$BQ56)</f>
        <v>0</v>
      </c>
      <c r="K15" s="9">
        <f ca="1" xml:space="preserve"> SUMIF( Time!$J331:$BQ331, Time!K$28, Inventory!$J56:$BQ56)</f>
        <v>0</v>
      </c>
      <c r="L15" s="9">
        <f ca="1" xml:space="preserve"> SUMIF( Time!$J331:$BQ331, Time!L$28, Inventory!$J56:$BQ56)</f>
        <v>52.860947736883645</v>
      </c>
      <c r="M15" s="9">
        <f ca="1" xml:space="preserve"> SUMIF( Time!$J331:$BQ331, Time!M$28, Inventory!$J56:$BQ56)</f>
        <v>0</v>
      </c>
      <c r="N15" s="9">
        <f ca="1" xml:space="preserve"> SUMIF( Time!$J331:$BQ331, Time!N$28, Inventory!$J56:$BQ56)</f>
        <v>0</v>
      </c>
      <c r="O15" s="9">
        <f ca="1" xml:space="preserve"> SUMIF( Time!$J331:$BQ331, Time!O$28, Inventory!$J56:$BQ56)</f>
        <v>0</v>
      </c>
      <c r="P15" s="9">
        <f ca="1" xml:space="preserve"> SUMIF( Time!$J331:$BQ331, Time!P$28, Inventory!$J56:$BQ56)</f>
        <v>0</v>
      </c>
      <c r="Q15" s="9">
        <f ca="1" xml:space="preserve"> SUMIF( Time!$J331:$BQ331, Time!Q$28, Inventory!$J56:$BQ56)</f>
        <v>0</v>
      </c>
      <c r="R15" s="9">
        <f ca="1" xml:space="preserve"> SUMIF( Time!$J331:$BQ331, Time!R$28, Inventory!$J56:$BQ56)</f>
        <v>6122.817370018367</v>
      </c>
      <c r="S15" s="9">
        <f ca="1" xml:space="preserve"> SUMIF( Time!$J331:$BQ331, Time!S$28, Inventory!$J56:$BQ56)</f>
        <v>6337.1655411476058</v>
      </c>
      <c r="T15" s="9">
        <f ca="1" xml:space="preserve"> SUMIF( Time!$J331:$BQ331, Time!T$28, Inventory!$J56:$BQ56)</f>
        <v>1592.4332239385687</v>
      </c>
      <c r="U15" s="9">
        <f ca="1" xml:space="preserve"> SUMIF( Time!$J331:$BQ331, Time!U$28, Inventory!$J56:$BQ56)</f>
        <v>1889.5370233838521</v>
      </c>
      <c r="V15" s="9">
        <f ca="1" xml:space="preserve"> SUMIF( Time!$J331:$BQ331, Time!V$28, Inventory!$J56:$BQ56)</f>
        <v>2247.4089271664079</v>
      </c>
      <c r="W15" s="9">
        <f ca="1" xml:space="preserve"> SUMIF( Time!$J331:$BQ331, Time!W$28, Inventory!$J56:$BQ56)</f>
        <v>7675.8043641867862</v>
      </c>
      <c r="X15" s="9">
        <f ca="1" xml:space="preserve"> SUMIF( Time!$J331:$BQ331, Time!X$28, Inventory!$J56:$BQ56)</f>
        <v>8187.5439973292669</v>
      </c>
      <c r="Y15" s="9">
        <f ca="1" xml:space="preserve"> SUMIF( Time!$J331:$BQ331, Time!Y$28, Inventory!$J56:$BQ56)</f>
        <v>8781.0727829410807</v>
      </c>
      <c r="Z15" s="9">
        <f ca="1" xml:space="preserve"> SUMIF( Time!$J331:$BQ331, Time!Z$28, Inventory!$J56:$BQ56)</f>
        <v>10504.171463878069</v>
      </c>
      <c r="AA15" s="9">
        <f ca="1" xml:space="preserve"> SUMIF( Time!$J331:$BQ331, Time!AA$28, Inventory!$J56:$BQ56)</f>
        <v>11554.076243400472</v>
      </c>
      <c r="AB15" s="9">
        <f ca="1" xml:space="preserve"> SUMIF( Time!$J331:$BQ331, Time!AB$28, Inventory!$J56:$BQ56)</f>
        <v>12806.939616088344</v>
      </c>
      <c r="AC15" s="9">
        <f ca="1" xml:space="preserve"> SUMIF( Time!$J331:$BQ331, Time!AC$28, Inventory!$J56:$BQ56)</f>
        <v>14261.435972770712</v>
      </c>
    </row>
    <row r="16" spans="1:29">
      <c r="E16" s="16" t="str">
        <f xml:space="preserve"> Inventory!E$45</f>
        <v>Units deployed</v>
      </c>
      <c r="F16" s="16">
        <f xml:space="preserve"> Inventory!F$45</f>
        <v>0</v>
      </c>
      <c r="G16" s="16" t="str">
        <f xml:space="preserve"> Inventory!G$45</f>
        <v>Units</v>
      </c>
      <c r="H16" s="42">
        <f ca="1" xml:space="preserve"> Inventory!H$45</f>
        <v>253879.33897738747</v>
      </c>
      <c r="I16" s="16">
        <f xml:space="preserve"> Inventory!I$45</f>
        <v>0</v>
      </c>
      <c r="J16" s="9">
        <f ca="1" xml:space="preserve"> SUMIF( Time!$J326:$BQ326, Time!J$28, Inventory!$J45:$BQ45)</f>
        <v>0</v>
      </c>
      <c r="K16" s="9">
        <f ca="1" xml:space="preserve"> SUMIF( Time!$J326:$BQ326, Time!K$28, Inventory!$J45:$BQ45)</f>
        <v>0</v>
      </c>
      <c r="L16" s="9">
        <f ca="1" xml:space="preserve"> SUMIF( Time!$J326:$BQ326, Time!L$28, Inventory!$J45:$BQ45)</f>
        <v>4947.1390522631164</v>
      </c>
      <c r="M16" s="9">
        <f ca="1" xml:space="preserve"> SUMIF( Time!$J326:$BQ326, Time!M$28, Inventory!$J45:$BQ45)</f>
        <v>52.860947736883645</v>
      </c>
      <c r="N16" s="9">
        <f ca="1" xml:space="preserve"> SUMIF( Time!$J326:$BQ326, Time!N$28, Inventory!$J45:$BQ45)</f>
        <v>5000</v>
      </c>
      <c r="O16" s="9">
        <f ca="1" xml:space="preserve"> SUMIF( Time!$J326:$BQ326, Time!O$28, Inventory!$J45:$BQ45)</f>
        <v>0</v>
      </c>
      <c r="P16" s="9">
        <f ca="1" xml:space="preserve"> SUMIF( Time!$J326:$BQ326, Time!P$28, Inventory!$J45:$BQ45)</f>
        <v>5000</v>
      </c>
      <c r="Q16" s="9">
        <f ca="1" xml:space="preserve"> SUMIF( Time!$J326:$BQ326, Time!Q$28, Inventory!$J45:$BQ45)</f>
        <v>5000</v>
      </c>
      <c r="R16" s="9">
        <f ca="1" xml:space="preserve"> SUMIF( Time!$J326:$BQ326, Time!R$28, Inventory!$J45:$BQ45)</f>
        <v>2060.6373855281317</v>
      </c>
      <c r="S16" s="9">
        <f ca="1" xml:space="preserve"> SUMIF( Time!$J326:$BQ326, Time!S$28, Inventory!$J45:$BQ45)</f>
        <v>8576.8347180788478</v>
      </c>
      <c r="T16" s="9">
        <f ca="1" xml:space="preserve"> SUMIF( Time!$J326:$BQ326, Time!T$28, Inventory!$J45:$BQ45)</f>
        <v>14256.806000919256</v>
      </c>
      <c r="U16" s="9">
        <f ca="1" xml:space="preserve"> SUMIF( Time!$J326:$BQ326, Time!U$28, Inventory!$J45:$BQ45)</f>
        <v>10063.224871485585</v>
      </c>
      <c r="V16" s="9">
        <f ca="1" xml:space="preserve"> SUMIF( Time!$J326:$BQ326, Time!V$28, Inventory!$J45:$BQ45)</f>
        <v>11012.65318979006</v>
      </c>
      <c r="W16" s="9">
        <f ca="1" xml:space="preserve"> SUMIF( Time!$J326:$BQ326, Time!W$28, Inventory!$J45:$BQ45)</f>
        <v>12158.72212688891</v>
      </c>
      <c r="X16" s="9">
        <f ca="1" xml:space="preserve"> SUMIF( Time!$J326:$BQ326, Time!X$28, Inventory!$J45:$BQ45)</f>
        <v>18517.597504723613</v>
      </c>
      <c r="Y16" s="9">
        <f ca="1" xml:space="preserve"> SUMIF( Time!$J326:$BQ326, Time!Y$28, Inventory!$J45:$BQ45)</f>
        <v>20133.288418221106</v>
      </c>
      <c r="Z16" s="9">
        <f ca="1" xml:space="preserve"> SUMIF( Time!$J326:$BQ326, Time!Z$28, Inventory!$J45:$BQ45)</f>
        <v>28883.182465337231</v>
      </c>
      <c r="AA16" s="9">
        <f ca="1" xml:space="preserve"> SUMIF( Time!$J326:$BQ326, Time!AA$28, Inventory!$J45:$BQ45)</f>
        <v>32533.229313666867</v>
      </c>
      <c r="AB16" s="9">
        <f ca="1" xml:space="preserve"> SUMIF( Time!$J326:$BQ326, Time!AB$28, Inventory!$J45:$BQ45)</f>
        <v>35863.665410391099</v>
      </c>
      <c r="AC16" s="9">
        <f ca="1" xml:space="preserve"> SUMIF( Time!$J326:$BQ326, Time!AC$28, Inventory!$J45:$BQ45)</f>
        <v>39819.49757235674</v>
      </c>
    </row>
    <row r="17" spans="5:29">
      <c r="E17" s="16" t="str">
        <f xml:space="preserve"> Inventory!E$64</f>
        <v>Units in use</v>
      </c>
      <c r="F17" s="16">
        <f xml:space="preserve"> Inventory!F$64</f>
        <v>0</v>
      </c>
      <c r="G17" s="16" t="str">
        <f xml:space="preserve"> Inventory!G$64</f>
        <v>Units</v>
      </c>
      <c r="H17" s="42">
        <f xml:space="preserve"> Inventory!H$64</f>
        <v>0</v>
      </c>
      <c r="I17" s="16">
        <f xml:space="preserve"> Inventory!I$64</f>
        <v>0</v>
      </c>
      <c r="J17" s="9">
        <f ca="1" xml:space="preserve"> SUMIF( Time!$J331:$BQ331, Time!J$28, Inventory!$J64:$BQ64)</f>
        <v>0</v>
      </c>
      <c r="K17" s="9">
        <f ca="1" xml:space="preserve"> SUMIF( Time!$J331:$BQ331, Time!K$28, Inventory!$J64:$BQ64)</f>
        <v>0</v>
      </c>
      <c r="L17" s="9">
        <f ca="1" xml:space="preserve"> SUMIF( Time!$J331:$BQ331, Time!L$28, Inventory!$J64:$BQ64)</f>
        <v>4947.1390522631164</v>
      </c>
      <c r="M17" s="9">
        <f ca="1" xml:space="preserve"> SUMIF( Time!$J331:$BQ331, Time!M$28, Inventory!$J64:$BQ64)</f>
        <v>5000</v>
      </c>
      <c r="N17" s="9">
        <f ca="1" xml:space="preserve"> SUMIF( Time!$J331:$BQ331, Time!N$28, Inventory!$J64:$BQ64)</f>
        <v>10000</v>
      </c>
      <c r="O17" s="9">
        <f ca="1" xml:space="preserve"> SUMIF( Time!$J331:$BQ331, Time!O$28, Inventory!$J64:$BQ64)</f>
        <v>10000</v>
      </c>
      <c r="P17" s="9">
        <f ca="1" xml:space="preserve"> SUMIF( Time!$J331:$BQ331, Time!P$28, Inventory!$J64:$BQ64)</f>
        <v>15000</v>
      </c>
      <c r="Q17" s="9">
        <f ca="1" xml:space="preserve"> SUMIF( Time!$J331:$BQ331, Time!Q$28, Inventory!$J64:$BQ64)</f>
        <v>20000</v>
      </c>
      <c r="R17" s="9">
        <f ca="1" xml:space="preserve"> SUMIF( Time!$J331:$BQ331, Time!R$28, Inventory!$J64:$BQ64)</f>
        <v>20468.910007754879</v>
      </c>
      <c r="S17" s="9">
        <f ca="1" xml:space="preserve"> SUMIF( Time!$J331:$BQ331, Time!S$28, Inventory!$J64:$BQ64)</f>
        <v>27150.153281229686</v>
      </c>
      <c r="T17" s="9">
        <f ca="1" xml:space="preserve"> SUMIF( Time!$J331:$BQ331, Time!T$28, Inventory!$J64:$BQ64)</f>
        <v>39150.922440293827</v>
      </c>
      <c r="U17" s="9">
        <f ca="1" xml:space="preserve"> SUMIF( Time!$J331:$BQ331, Time!U$28, Inventory!$J64:$BQ64)</f>
        <v>46533.982976313979</v>
      </c>
      <c r="V17" s="9">
        <f ca="1" xml:space="preserve"> SUMIF( Time!$J331:$BQ331, Time!V$28, Inventory!$J64:$BQ64)</f>
        <v>54361.373619317732</v>
      </c>
      <c r="W17" s="9">
        <f ca="1" xml:space="preserve"> SUMIF( Time!$J331:$BQ331, Time!W$28, Inventory!$J64:$BQ64)</f>
        <v>62726.536964251995</v>
      </c>
      <c r="X17" s="9">
        <f ca="1" xml:space="preserve"> SUMIF( Time!$J331:$BQ331, Time!X$28, Inventory!$J64:$BQ64)</f>
        <v>76729.46590004256</v>
      </c>
      <c r="Y17" s="9">
        <f ca="1" xml:space="preserve"> SUMIF( Time!$J331:$BQ331, Time!Y$28, Inventory!$J64:$BQ64)</f>
        <v>91499.34571634719</v>
      </c>
      <c r="Z17" s="9">
        <f ca="1" xml:space="preserve"> SUMIF( Time!$J331:$BQ331, Time!Z$28, Inventory!$J64:$BQ64)</f>
        <v>112579.38760854732</v>
      </c>
      <c r="AA17" s="9">
        <f ca="1" xml:space="preserve"> SUMIF( Time!$J331:$BQ331, Time!AA$28, Inventory!$J64:$BQ64)</f>
        <v>135821.04987561956</v>
      </c>
      <c r="AB17" s="9">
        <f ca="1" xml:space="preserve"> SUMIF( Time!$J331:$BQ331, Time!AB$28, Inventory!$J64:$BQ64)</f>
        <v>160626.4508944712</v>
      </c>
      <c r="AC17" s="9">
        <f ca="1" xml:space="preserve"> SUMIF( Time!$J331:$BQ331, Time!AC$28, Inventory!$J64:$BQ64)</f>
        <v>187308.95150230839</v>
      </c>
    </row>
    <row r="18" spans="5:29">
      <c r="E18" s="16" t="str">
        <f xml:space="preserve"> Inventory!E$68</f>
        <v>Units retired</v>
      </c>
      <c r="F18" s="16">
        <f xml:space="preserve"> Inventory!F$68</f>
        <v>0</v>
      </c>
      <c r="G18" s="16" t="str">
        <f xml:space="preserve"> Inventory!G$68</f>
        <v>Units</v>
      </c>
      <c r="H18" s="42">
        <f ca="1" xml:space="preserve"> Inventory!H$68</f>
        <v>66570.387475079086</v>
      </c>
      <c r="I18" s="16">
        <f xml:space="preserve"> Inventory!I$68</f>
        <v>0</v>
      </c>
      <c r="J18" s="9">
        <f ca="1" xml:space="preserve"> SUMIF( Time!$J326:$BQ326, Time!J$28, Inventory!$J68:$BQ68)</f>
        <v>0</v>
      </c>
      <c r="K18" s="9">
        <f ca="1" xml:space="preserve"> SUMIF( Time!$J326:$BQ326, Time!K$28, Inventory!$J68:$BQ68)</f>
        <v>0</v>
      </c>
      <c r="L18" s="9">
        <f ca="1" xml:space="preserve"> SUMIF( Time!$J326:$BQ326, Time!L$28, Inventory!$J68:$BQ68)</f>
        <v>0</v>
      </c>
      <c r="M18" s="9">
        <f ca="1" xml:space="preserve"> SUMIF( Time!$J326:$BQ326, Time!M$28, Inventory!$J68:$BQ68)</f>
        <v>0</v>
      </c>
      <c r="N18" s="9">
        <f ca="1" xml:space="preserve"> SUMIF( Time!$J326:$BQ326, Time!N$28, Inventory!$J68:$BQ68)</f>
        <v>0</v>
      </c>
      <c r="O18" s="9">
        <f ca="1" xml:space="preserve"> SUMIF( Time!$J326:$BQ326, Time!O$28, Inventory!$J68:$BQ68)</f>
        <v>0</v>
      </c>
      <c r="P18" s="9">
        <f ca="1" xml:space="preserve"> SUMIF( Time!$J326:$BQ326, Time!P$28, Inventory!$J68:$BQ68)</f>
        <v>0</v>
      </c>
      <c r="Q18" s="9">
        <f ca="1" xml:space="preserve"> SUMIF( Time!$J326:$BQ326, Time!Q$28, Inventory!$J68:$BQ68)</f>
        <v>0</v>
      </c>
      <c r="R18" s="9">
        <f ca="1" xml:space="preserve"> SUMIF( Time!$J326:$BQ326, Time!R$28, Inventory!$J68:$BQ68)</f>
        <v>1591.7273777732489</v>
      </c>
      <c r="S18" s="9">
        <f ca="1" xml:space="preserve"> SUMIF( Time!$J326:$BQ326, Time!S$28, Inventory!$J68:$BQ68)</f>
        <v>1895.5914446040433</v>
      </c>
      <c r="T18" s="9">
        <f ca="1" xml:space="preserve"> SUMIF( Time!$J326:$BQ326, Time!T$28, Inventory!$J68:$BQ68)</f>
        <v>2256.0368418551088</v>
      </c>
      <c r="U18" s="9">
        <f ca="1" xml:space="preserve"> SUMIF( Time!$J326:$BQ326, Time!U$28, Inventory!$J68:$BQ68)</f>
        <v>2680.1643354654343</v>
      </c>
      <c r="V18" s="9">
        <f ca="1" xml:space="preserve"> SUMIF( Time!$J326:$BQ326, Time!V$28, Inventory!$J68:$BQ68)</f>
        <v>3185.2625467863077</v>
      </c>
      <c r="W18" s="9">
        <f ca="1" xml:space="preserve"> SUMIF( Time!$J326:$BQ326, Time!W$28, Inventory!$J68:$BQ68)</f>
        <v>3793.5587819546445</v>
      </c>
      <c r="X18" s="9">
        <f ca="1" xml:space="preserve"> SUMIF( Time!$J326:$BQ326, Time!X$28, Inventory!$J68:$BQ68)</f>
        <v>4514.6685689330461</v>
      </c>
      <c r="Y18" s="9">
        <f ca="1" xml:space="preserve"> SUMIF( Time!$J326:$BQ326, Time!Y$28, Inventory!$J68:$BQ68)</f>
        <v>5363.4086019164588</v>
      </c>
      <c r="Z18" s="9">
        <f ca="1" xml:space="preserve"> SUMIF( Time!$J326:$BQ326, Time!Z$28, Inventory!$J68:$BQ68)</f>
        <v>7803.1405731371087</v>
      </c>
      <c r="AA18" s="9">
        <f ca="1" xml:space="preserve"> SUMIF( Time!$J326:$BQ326, Time!AA$28, Inventory!$J68:$BQ68)</f>
        <v>9291.5670465946368</v>
      </c>
      <c r="AB18" s="9">
        <f ca="1" xml:space="preserve"> SUMIF( Time!$J326:$BQ326, Time!AB$28, Inventory!$J68:$BQ68)</f>
        <v>11058.264391539484</v>
      </c>
      <c r="AC18" s="9">
        <f ca="1" xml:space="preserve"> SUMIF( Time!$J326:$BQ326, Time!AC$28, Inventory!$J68:$BQ68)</f>
        <v>13136.996964519556</v>
      </c>
    </row>
  </sheetData>
  <conditionalFormatting sqref="F2:F3">
    <cfRule type="cellIs" dxfId="42" priority="1" stopIfTrue="1" operator="notEqual">
      <formula>0</formula>
    </cfRule>
    <cfRule type="cellIs" dxfId="41" priority="2" stopIfTrue="1" operator="equal">
      <formula>""</formula>
    </cfRule>
  </conditionalFormatting>
  <conditionalFormatting sqref="J3:AC3">
    <cfRule type="cellIs" dxfId="40" priority="3" operator="equal">
      <formula>"PPA ext."</formula>
    </cfRule>
    <cfRule type="cellIs" dxfId="39" priority="4" operator="equal">
      <formula>"Delay"</formula>
    </cfRule>
    <cfRule type="cellIs" dxfId="38" priority="5" operator="equal">
      <formula>"Fin Close"</formula>
    </cfRule>
    <cfRule type="cellIs" dxfId="37" priority="6" stopIfTrue="1" operator="equal">
      <formula>"Construction"</formula>
    </cfRule>
    <cfRule type="cellIs" dxfId="36"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4F81BD"/>
    <outlinePr summaryBelow="0" summaryRight="0"/>
  </sheetPr>
  <dimension ref="A1:S1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38.6328125" bestFit="1" customWidth="1"/>
    <col min="6" max="6" width="20.54296875" bestFit="1" customWidth="1"/>
    <col min="7" max="7" width="13.1796875" bestFit="1" customWidth="1"/>
    <col min="8" max="8" width="10" style="43" bestFit="1" customWidth="1"/>
    <col min="9" max="9" width="3.453125" customWidth="1"/>
    <col min="10" max="19" width="11.81640625" bestFit="1" customWidth="1"/>
    <col min="20" max="20" width="15.08984375" hidden="1" customWidth="1"/>
    <col min="21" max="16384" width="15.08984375" hidden="1"/>
  </cols>
  <sheetData>
    <row r="1" spans="1:19" s="75" customFormat="1" ht="25.15">
      <c r="A1" s="45" t="str">
        <f ca="1" xml:space="preserve"> RIGHT(CELL("filename", A1), LEN(CELL("filename", A1)) - SEARCH("]", CELL("filename", A1)))</f>
        <v>Inventory Report SemiAnnually</v>
      </c>
      <c r="B1" s="69"/>
      <c r="C1" s="74"/>
      <c r="D1" s="71"/>
      <c r="F1" s="52" t="str">
        <f>HYPERLINK("#Contents!A1","Go to contents")</f>
        <v>Go to contents</v>
      </c>
      <c r="H1" s="47"/>
      <c r="J1" s="47"/>
    </row>
    <row r="2" spans="1:19" s="53" customFormat="1">
      <c r="A2" s="48"/>
      <c r="B2" s="48"/>
      <c r="C2" s="72"/>
      <c r="D2" s="73"/>
      <c r="E2" s="22" t="s">
        <v>324</v>
      </c>
      <c r="F2" s="51">
        <f ca="1" xml:space="preserve"> 'Model Checks and Alerts'!F11</f>
        <v>0</v>
      </c>
      <c r="G2" s="55"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4" customFormat="1">
      <c r="A3" s="48"/>
      <c r="B3" s="48"/>
      <c r="C3" s="72"/>
      <c r="D3" s="73"/>
      <c r="E3" s="39" t="s">
        <v>203</v>
      </c>
      <c r="F3" s="51"/>
      <c r="G3" s="55" t="s">
        <v>97</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8" customFormat="1">
      <c r="A4" s="48"/>
      <c r="B4" s="48"/>
      <c r="C4" s="72"/>
      <c r="D4" s="73"/>
      <c r="E4" s="22" t="s">
        <v>325</v>
      </c>
      <c r="F4"/>
      <c r="G4"/>
      <c r="H4" s="50"/>
      <c r="I4" s="50"/>
      <c r="J4" s="28">
        <f xml:space="preserve"> Time!J$108</f>
        <v>6</v>
      </c>
      <c r="K4" s="28">
        <f xml:space="preserve"> Time!K$108</f>
        <v>12</v>
      </c>
      <c r="L4" s="28">
        <f xml:space="preserve"> Time!L$108</f>
        <v>18</v>
      </c>
      <c r="M4" s="28">
        <f xml:space="preserve"> Time!M$108</f>
        <v>24</v>
      </c>
      <c r="N4" s="28">
        <f xml:space="preserve"> Time!N$108</f>
        <v>30</v>
      </c>
      <c r="O4" s="28">
        <f xml:space="preserve"> Time!O$108</f>
        <v>36</v>
      </c>
      <c r="P4" s="28">
        <f xml:space="preserve"> Time!P$108</f>
        <v>42</v>
      </c>
      <c r="Q4" s="28">
        <f xml:space="preserve"> Time!Q$108</f>
        <v>48</v>
      </c>
      <c r="R4" s="28">
        <f xml:space="preserve"> Time!R$108</f>
        <v>54</v>
      </c>
      <c r="S4" s="28">
        <f xml:space="preserve"> Time!S$108</f>
        <v>60</v>
      </c>
    </row>
    <row r="5" spans="1:19" s="34" customFormat="1">
      <c r="A5" s="48"/>
      <c r="B5" s="48"/>
      <c r="C5" s="72"/>
      <c r="D5" s="73"/>
      <c r="E5" s="22" t="s">
        <v>305</v>
      </c>
      <c r="F5" s="24" t="s">
        <v>248</v>
      </c>
      <c r="G5" s="24" t="s">
        <v>224</v>
      </c>
      <c r="H5" s="24" t="s">
        <v>202</v>
      </c>
      <c r="I5" s="50"/>
      <c r="J5" s="15"/>
      <c r="K5" s="15"/>
      <c r="L5" s="15"/>
      <c r="M5" s="15"/>
      <c r="N5" s="15"/>
      <c r="O5" s="15"/>
      <c r="P5" s="15"/>
    </row>
    <row r="6" spans="1:19" s="43" customFormat="1">
      <c r="A6" s="24"/>
      <c r="B6" s="24"/>
      <c r="C6" s="49"/>
      <c r="D6" s="70"/>
      <c r="F6" s="24"/>
      <c r="G6" s="24"/>
      <c r="H6" s="24"/>
    </row>
    <row r="8" spans="1:19">
      <c r="E8" s="16" t="str">
        <f xml:space="preserve"> Customers!E$11</f>
        <v>New customers orders</v>
      </c>
      <c r="F8" s="16">
        <f xml:space="preserve"> Customers!F$11</f>
        <v>0</v>
      </c>
      <c r="G8" s="16" t="str">
        <f xml:space="preserve"> Customers!G$11</f>
        <v>Units</v>
      </c>
      <c r="H8" s="42">
        <f xml:space="preserve"> Customers!H$11</f>
        <v>261181.72293639058</v>
      </c>
      <c r="I8" s="16">
        <f xml:space="preserve"> Customers!I$11</f>
        <v>0</v>
      </c>
      <c r="J8" s="9">
        <f xml:space="preserve"> SUMIF( Time!$J341:$BQ341, Time!J$28, Customers!$J11:$BQ11)</f>
        <v>3487.3188223772922</v>
      </c>
      <c r="K8" s="9">
        <f xml:space="preserve"> SUMIF( Time!$J341:$BQ341, Time!K$28, Customers!$J11:$BQ11)</f>
        <v>4936.2011773205431</v>
      </c>
      <c r="L8" s="9">
        <f xml:space="preserve"> SUMIF( Time!$J341:$BQ341, Time!L$28, Customers!$J11:$BQ11)</f>
        <v>6978.8213287409526</v>
      </c>
      <c r="M8" s="9">
        <f xml:space="preserve"> SUMIF( Time!$J341:$BQ341, Time!M$28, Customers!$J11:$BQ11)</f>
        <v>9878.0771708495049</v>
      </c>
      <c r="N8" s="9">
        <f xml:space="preserve"> SUMIF( Time!$J341:$BQ341, Time!N$28, Customers!$J11:$BQ11)</f>
        <v>13956.120679592183</v>
      </c>
      <c r="O8" s="9">
        <f xml:space="preserve"> SUMIF( Time!$J341:$BQ341, Time!O$28, Customers!$J11:$BQ11)</f>
        <v>19752.680296470549</v>
      </c>
      <c r="P8" s="9">
        <f xml:space="preserve"> SUMIF( Time!$J341:$BQ341, Time!P$28, Customers!$J11:$BQ11)</f>
        <v>27908.820356058244</v>
      </c>
      <c r="Q8" s="9">
        <f xml:space="preserve"> SUMIF( Time!$J341:$BQ341, Time!Q$28, Customers!$J11:$BQ11)</f>
        <v>39501.35793689244</v>
      </c>
      <c r="R8" s="9">
        <f xml:space="preserve"> SUMIF( Time!$J341:$BQ341, Time!R$28, Customers!$J11:$BQ11)</f>
        <v>55813.534425947742</v>
      </c>
      <c r="S8" s="9">
        <f xml:space="preserve"> SUMIF( Time!$J341:$BQ341, Time!S$28, Customers!$J11:$BQ11)</f>
        <v>78968.790742141107</v>
      </c>
    </row>
    <row r="9" spans="1:19">
      <c r="E9" s="16" t="str">
        <f xml:space="preserve"> Customers!E$32</f>
        <v>Renewing Customer Orders</v>
      </c>
      <c r="F9" s="16">
        <f xml:space="preserve"> Customers!F$32</f>
        <v>0</v>
      </c>
      <c r="G9" s="16" t="str">
        <f xml:space="preserve"> Customers!G$32</f>
        <v>Units</v>
      </c>
      <c r="H9" s="42">
        <f ca="1" xml:space="preserve"> Customers!H$32</f>
        <v>53090.297527815921</v>
      </c>
      <c r="I9" s="16">
        <f xml:space="preserve"> Customers!I$32</f>
        <v>0</v>
      </c>
      <c r="J9" s="9">
        <f ca="1" xml:space="preserve"> SUMIF( Time!$J341:$BQ341, Time!J$28, Customers!$J32:$BQ32)</f>
        <v>0</v>
      </c>
      <c r="K9" s="9">
        <f ca="1" xml:space="preserve"> SUMIF( Time!$J341:$BQ341, Time!K$28, Customers!$J32:$BQ32)</f>
        <v>0</v>
      </c>
      <c r="L9" s="9">
        <f ca="1" xml:space="preserve"> SUMIF( Time!$J341:$BQ341, Time!L$28, Customers!$J32:$BQ32)</f>
        <v>0</v>
      </c>
      <c r="M9" s="9">
        <f ca="1" xml:space="preserve"> SUMIF( Time!$J341:$BQ341, Time!M$28, Customers!$J32:$BQ32)</f>
        <v>0</v>
      </c>
      <c r="N9" s="9">
        <f ca="1" xml:space="preserve"> SUMIF( Time!$J341:$BQ341, Time!N$28, Customers!$J32:$BQ32)</f>
        <v>3138.5869401395635</v>
      </c>
      <c r="O9" s="9">
        <f ca="1" xml:space="preserve"> SUMIF( Time!$J341:$BQ341, Time!O$28, Customers!$J32:$BQ32)</f>
        <v>4442.5810595884886</v>
      </c>
      <c r="P9" s="9">
        <f ca="1" xml:space="preserve"> SUMIF( Time!$J341:$BQ341, Time!P$28, Customers!$J32:$BQ32)</f>
        <v>6280.9391958668566</v>
      </c>
      <c r="Q9" s="9">
        <f ca="1" xml:space="preserve"> SUMIF( Time!$J341:$BQ341, Time!Q$28, Customers!$J32:$BQ32)</f>
        <v>8890.2694537645548</v>
      </c>
      <c r="R9" s="9">
        <f ca="1" xml:space="preserve"> SUMIF( Time!$J341:$BQ341, Time!R$28, Customers!$J32:$BQ32)</f>
        <v>12560.508611632964</v>
      </c>
      <c r="S9" s="9">
        <f ca="1" xml:space="preserve"> SUMIF( Time!$J341:$BQ341, Time!S$28, Customers!$J32:$BQ32)</f>
        <v>17777.412266823496</v>
      </c>
    </row>
    <row r="10" spans="1:19">
      <c r="E10" s="16" t="str">
        <f xml:space="preserve"> Customers!E$21</f>
        <v>Customer Orders Awaiting Fullfilment</v>
      </c>
      <c r="F10" s="16">
        <f xml:space="preserve"> Customers!F$21</f>
        <v>0</v>
      </c>
      <c r="G10" s="16" t="str">
        <f xml:space="preserve"> Customers!G$21</f>
        <v>Units</v>
      </c>
      <c r="H10" s="42">
        <f xml:space="preserve"> Customers!H$21</f>
        <v>0</v>
      </c>
      <c r="I10" s="16">
        <f xml:space="preserve"> Customers!I$21</f>
        <v>0</v>
      </c>
      <c r="J10" s="9">
        <f ca="1" xml:space="preserve"> SUMIF( Time!$J346:$BQ346, Time!J$28, Customers!$J21:$BQ21)</f>
        <v>3487.3188223772922</v>
      </c>
      <c r="K10" s="9">
        <f ca="1" xml:space="preserve"> SUMIF( Time!$J346:$BQ346, Time!K$28, Customers!$J21:$BQ21)</f>
        <v>3423.5199996978349</v>
      </c>
      <c r="L10" s="9">
        <f ca="1" xml:space="preserve"> SUMIF( Time!$J346:$BQ346, Time!L$28, Customers!$J21:$BQ21)</f>
        <v>5402.341328438788</v>
      </c>
      <c r="M10" s="9">
        <f ca="1" xml:space="preserve"> SUMIF( Time!$J346:$BQ346, Time!M$28, Customers!$J21:$BQ21)</f>
        <v>5280.4184992882947</v>
      </c>
      <c r="N10" s="9">
        <f ca="1" xml:space="preserve"> SUMIF( Time!$J346:$BQ346, Time!N$28, Customers!$J21:$BQ21)</f>
        <v>11737.654015413058</v>
      </c>
      <c r="O10" s="9">
        <f ca="1" xml:space="preserve"> SUMIF( Time!$J346:$BQ346, Time!O$28, Customers!$J21:$BQ21)</f>
        <v>11612.884499067255</v>
      </c>
      <c r="P10" s="9">
        <f ca="1" xml:space="preserve"> SUMIF( Time!$J346:$BQ346, Time!P$28, Customers!$J21:$BQ21)</f>
        <v>22631.268734313388</v>
      </c>
      <c r="Q10" s="9">
        <f ca="1" xml:space="preserve"> SUMIF( Time!$J346:$BQ346, Time!Q$28, Customers!$J21:$BQ21)</f>
        <v>32372.010202025675</v>
      </c>
      <c r="R10" s="9">
        <f ca="1" xml:space="preserve"> SUMIF( Time!$J346:$BQ346, Time!R$28, Customers!$J21:$BQ21)</f>
        <v>39329.641460602288</v>
      </c>
      <c r="S10" s="9">
        <f ca="1" xml:space="preserve"> SUMIF( Time!$J346:$BQ346, Time!S$28, Customers!$J21:$BQ21)</f>
        <v>60392.68148681907</v>
      </c>
    </row>
    <row r="11" spans="1:19">
      <c r="E11" s="16" t="str">
        <f xml:space="preserve"> Inventory!E$26</f>
        <v>Units ordered</v>
      </c>
      <c r="F11" s="16">
        <f xml:space="preserve"> Inventory!F$26</f>
        <v>0</v>
      </c>
      <c r="G11" s="16" t="str">
        <f xml:space="preserve"> Inventory!G$26</f>
        <v>Units</v>
      </c>
      <c r="H11" s="42">
        <f ca="1" xml:space="preserve"> Inventory!H$26</f>
        <v>165000</v>
      </c>
      <c r="I11" s="16">
        <f xml:space="preserve"> Inventory!I$26</f>
        <v>0</v>
      </c>
      <c r="J11" s="9">
        <f ca="1" xml:space="preserve"> SUMIF( Time!$J341:$BQ341, Time!J$28, Inventory!$J26:$BQ26)</f>
        <v>5000</v>
      </c>
      <c r="K11" s="9">
        <f ca="1" xml:space="preserve"> SUMIF( Time!$J341:$BQ341, Time!K$28, Inventory!$J26:$BQ26)</f>
        <v>5000</v>
      </c>
      <c r="L11" s="9">
        <f ca="1" xml:space="preserve"> SUMIF( Time!$J341:$BQ341, Time!L$28, Inventory!$J26:$BQ26)</f>
        <v>10000</v>
      </c>
      <c r="M11" s="9">
        <f ca="1" xml:space="preserve"> SUMIF( Time!$J341:$BQ341, Time!M$28, Inventory!$J26:$BQ26)</f>
        <v>10000</v>
      </c>
      <c r="N11" s="9">
        <f ca="1" xml:space="preserve"> SUMIF( Time!$J341:$BQ341, Time!N$28, Inventory!$J26:$BQ26)</f>
        <v>10000</v>
      </c>
      <c r="O11" s="9">
        <f ca="1" xml:space="preserve"> SUMIF( Time!$J341:$BQ341, Time!O$28, Inventory!$J26:$BQ26)</f>
        <v>15000</v>
      </c>
      <c r="P11" s="9">
        <f ca="1" xml:space="preserve"> SUMIF( Time!$J341:$BQ341, Time!P$28, Inventory!$J26:$BQ26)</f>
        <v>20000</v>
      </c>
      <c r="Q11" s="9">
        <f ca="1" xml:space="preserve"> SUMIF( Time!$J341:$BQ341, Time!Q$28, Inventory!$J26:$BQ26)</f>
        <v>30000</v>
      </c>
      <c r="R11" s="9">
        <f ca="1" xml:space="preserve"> SUMIF( Time!$J341:$BQ341, Time!R$28, Inventory!$J26:$BQ26)</f>
        <v>30000</v>
      </c>
      <c r="S11" s="9">
        <f ca="1" xml:space="preserve"> SUMIF( Time!$J341:$BQ341, Time!S$28, Inventory!$J26:$BQ26)</f>
        <v>30000</v>
      </c>
    </row>
    <row r="12" spans="1:19">
      <c r="E12" s="16" t="str">
        <f xml:space="preserve"> Inventory!E$41</f>
        <v>Units on order</v>
      </c>
      <c r="F12" s="16">
        <f xml:space="preserve"> Inventory!F$41</f>
        <v>0</v>
      </c>
      <c r="G12" s="16" t="str">
        <f xml:space="preserve"> Inventory!G$41</f>
        <v>Units</v>
      </c>
      <c r="H12" s="42">
        <f xml:space="preserve"> Inventory!H$41</f>
        <v>0</v>
      </c>
      <c r="I12" s="16">
        <f xml:space="preserve"> Inventory!I$41</f>
        <v>0</v>
      </c>
      <c r="J12" s="9">
        <f ca="1" xml:space="preserve"> SUMIF( Time!$J346:$BQ346, Time!J$28, Inventory!$J41:$BQ41)</f>
        <v>5000</v>
      </c>
      <c r="K12" s="9">
        <f ca="1" xml:space="preserve"> SUMIF( Time!$J346:$BQ346, Time!K$28, Inventory!$J41:$BQ41)</f>
        <v>5000</v>
      </c>
      <c r="L12" s="9">
        <f ca="1" xml:space="preserve"> SUMIF( Time!$J346:$BQ346, Time!L$28, Inventory!$J41:$BQ41)</f>
        <v>10000</v>
      </c>
      <c r="M12" s="9">
        <f ca="1" xml:space="preserve"> SUMIF( Time!$J346:$BQ346, Time!M$28, Inventory!$J41:$BQ41)</f>
        <v>10000</v>
      </c>
      <c r="N12" s="9">
        <f ca="1" xml:space="preserve"> SUMIF( Time!$J346:$BQ346, Time!N$28, Inventory!$J41:$BQ41)</f>
        <v>10000</v>
      </c>
      <c r="O12" s="9">
        <f ca="1" xml:space="preserve"> SUMIF( Time!$J346:$BQ346, Time!O$28, Inventory!$J41:$BQ41)</f>
        <v>15000</v>
      </c>
      <c r="P12" s="9">
        <f ca="1" xml:space="preserve"> SUMIF( Time!$J346:$BQ346, Time!P$28, Inventory!$J41:$BQ41)</f>
        <v>20000</v>
      </c>
      <c r="Q12" s="9">
        <f ca="1" xml:space="preserve"> SUMIF( Time!$J346:$BQ346, Time!Q$28, Inventory!$J41:$BQ41)</f>
        <v>30000</v>
      </c>
      <c r="R12" s="9">
        <f ca="1" xml:space="preserve"> SUMIF( Time!$J346:$BQ346, Time!R$28, Inventory!$J41:$BQ41)</f>
        <v>30000</v>
      </c>
      <c r="S12" s="9">
        <f ca="1" xml:space="preserve"> SUMIF( Time!$J346:$BQ346, Time!S$28, Inventory!$J41:$BQ41)</f>
        <v>30000</v>
      </c>
    </row>
    <row r="13" spans="1:19">
      <c r="E13" s="16" t="str">
        <f xml:space="preserve"> Inventory!E$32</f>
        <v>Units delivered</v>
      </c>
      <c r="F13" s="16">
        <f xml:space="preserve"> Inventory!F$32</f>
        <v>0</v>
      </c>
      <c r="G13" s="16" t="str">
        <f xml:space="preserve"> Inventory!G$32</f>
        <v>Units</v>
      </c>
      <c r="H13" s="42">
        <f ca="1" xml:space="preserve"> Inventory!H$32</f>
        <v>135000</v>
      </c>
      <c r="I13" s="16">
        <f xml:space="preserve"> Inventory!I$32</f>
        <v>0</v>
      </c>
      <c r="J13" s="9">
        <f ca="1" xml:space="preserve"> SUMIF( Time!$J341:$BQ341, Time!J$28, Inventory!$J32:$BQ32)</f>
        <v>0</v>
      </c>
      <c r="K13" s="9">
        <f ca="1" xml:space="preserve"> SUMIF( Time!$J341:$BQ341, Time!K$28, Inventory!$J32:$BQ32)</f>
        <v>5000</v>
      </c>
      <c r="L13" s="9">
        <f ca="1" xml:space="preserve"> SUMIF( Time!$J341:$BQ341, Time!L$28, Inventory!$J32:$BQ32)</f>
        <v>5000</v>
      </c>
      <c r="M13" s="9">
        <f ca="1" xml:space="preserve"> SUMIF( Time!$J341:$BQ341, Time!M$28, Inventory!$J32:$BQ32)</f>
        <v>10000</v>
      </c>
      <c r="N13" s="9">
        <f ca="1" xml:space="preserve"> SUMIF( Time!$J341:$BQ341, Time!N$28, Inventory!$J32:$BQ32)</f>
        <v>10000</v>
      </c>
      <c r="O13" s="9">
        <f ca="1" xml:space="preserve"> SUMIF( Time!$J341:$BQ341, Time!O$28, Inventory!$J32:$BQ32)</f>
        <v>10000</v>
      </c>
      <c r="P13" s="9">
        <f ca="1" xml:space="preserve"> SUMIF( Time!$J341:$BQ341, Time!P$28, Inventory!$J32:$BQ32)</f>
        <v>15000</v>
      </c>
      <c r="Q13" s="9">
        <f ca="1" xml:space="preserve"> SUMIF( Time!$J341:$BQ341, Time!Q$28, Inventory!$J32:$BQ32)</f>
        <v>20000</v>
      </c>
      <c r="R13" s="9">
        <f ca="1" xml:space="preserve"> SUMIF( Time!$J341:$BQ341, Time!R$28, Inventory!$J32:$BQ32)</f>
        <v>30000</v>
      </c>
      <c r="S13" s="9">
        <f ca="1" xml:space="preserve"> SUMIF( Time!$J341:$BQ341, Time!S$28, Inventory!$J32:$BQ32)</f>
        <v>30000</v>
      </c>
    </row>
    <row r="14" spans="1:19">
      <c r="E14" s="16" t="str">
        <f xml:space="preserve"> Inventory!E$18</f>
        <v>Deployed units returned</v>
      </c>
      <c r="F14" s="16">
        <f xml:space="preserve"> Inventory!F$18</f>
        <v>0</v>
      </c>
      <c r="G14" s="16" t="str">
        <f xml:space="preserve"> Inventory!G$18</f>
        <v>Units</v>
      </c>
      <c r="H14" s="42">
        <f ca="1" xml:space="preserve"> Inventory!H$18</f>
        <v>66570.387475079086</v>
      </c>
      <c r="I14" s="16">
        <f xml:space="preserve"> Inventory!I$18</f>
        <v>0</v>
      </c>
      <c r="J14" s="9">
        <f ca="1" xml:space="preserve"> SUMIF( Time!$J341:$BQ341, Time!J$28, Inventory!$J18:$BQ18)</f>
        <v>0</v>
      </c>
      <c r="K14" s="9">
        <f ca="1" xml:space="preserve"> SUMIF( Time!$J341:$BQ341, Time!K$28, Inventory!$J18:$BQ18)</f>
        <v>0</v>
      </c>
      <c r="L14" s="9">
        <f ca="1" xml:space="preserve"> SUMIF( Time!$J341:$BQ341, Time!L$28, Inventory!$J18:$BQ18)</f>
        <v>0</v>
      </c>
      <c r="M14" s="9">
        <f ca="1" xml:space="preserve"> SUMIF( Time!$J341:$BQ341, Time!M$28, Inventory!$J18:$BQ18)</f>
        <v>0</v>
      </c>
      <c r="N14" s="9">
        <f ca="1" xml:space="preserve"> SUMIF( Time!$J341:$BQ341, Time!N$28, Inventory!$J18:$BQ18)</f>
        <v>3487.3188223772922</v>
      </c>
      <c r="O14" s="9">
        <f ca="1" xml:space="preserve"> SUMIF( Time!$J341:$BQ341, Time!O$28, Inventory!$J18:$BQ18)</f>
        <v>4936.2011773205431</v>
      </c>
      <c r="P14" s="9">
        <f ca="1" xml:space="preserve"> SUMIF( Time!$J341:$BQ341, Time!P$28, Inventory!$J18:$BQ18)</f>
        <v>6978.8213287409526</v>
      </c>
      <c r="Q14" s="9">
        <f ca="1" xml:space="preserve"> SUMIF( Time!$J341:$BQ341, Time!Q$28, Inventory!$J18:$BQ18)</f>
        <v>9878.0771708495049</v>
      </c>
      <c r="R14" s="9">
        <f ca="1" xml:space="preserve"> SUMIF( Time!$J341:$BQ341, Time!R$28, Inventory!$J18:$BQ18)</f>
        <v>17094.707619731744</v>
      </c>
      <c r="S14" s="9">
        <f ca="1" xml:space="preserve"> SUMIF( Time!$J341:$BQ341, Time!S$28, Inventory!$J18:$BQ18)</f>
        <v>24195.26135605904</v>
      </c>
    </row>
    <row r="15" spans="1:19">
      <c r="E15" s="16" t="str">
        <f xml:space="preserve"> Inventory!E$56</f>
        <v>Units in stock</v>
      </c>
      <c r="F15" s="16">
        <f xml:space="preserve"> Inventory!F$56</f>
        <v>0</v>
      </c>
      <c r="G15" s="16" t="str">
        <f xml:space="preserve"> Inventory!G$56</f>
        <v>Units</v>
      </c>
      <c r="H15" s="42">
        <f xml:space="preserve"> Inventory!H$56</f>
        <v>0</v>
      </c>
      <c r="I15" s="16">
        <f xml:space="preserve"> Inventory!I$56</f>
        <v>0</v>
      </c>
      <c r="J15" s="9">
        <f ca="1" xml:space="preserve"> SUMIF( Time!$J346:$BQ346, Time!J$28, Inventory!$J56:$BQ56)</f>
        <v>0</v>
      </c>
      <c r="K15" s="9">
        <f ca="1" xml:space="preserve"> SUMIF( Time!$J346:$BQ346, Time!K$28, Inventory!$J56:$BQ56)</f>
        <v>0</v>
      </c>
      <c r="L15" s="9">
        <f ca="1" xml:space="preserve"> SUMIF( Time!$J346:$BQ346, Time!L$28, Inventory!$J56:$BQ56)</f>
        <v>0</v>
      </c>
      <c r="M15" s="9">
        <f ca="1" xml:space="preserve"> SUMIF( Time!$J346:$BQ346, Time!M$28, Inventory!$J56:$BQ56)</f>
        <v>0</v>
      </c>
      <c r="N15" s="9">
        <f ca="1" xml:space="preserve"> SUMIF( Time!$J346:$BQ346, Time!N$28, Inventory!$J56:$BQ56)</f>
        <v>6337.1655411476058</v>
      </c>
      <c r="O15" s="9">
        <f ca="1" xml:space="preserve"> SUMIF( Time!$J346:$BQ346, Time!O$28, Inventory!$J56:$BQ56)</f>
        <v>1889.5370233838521</v>
      </c>
      <c r="P15" s="9">
        <f ca="1" xml:space="preserve"> SUMIF( Time!$J346:$BQ346, Time!P$28, Inventory!$J56:$BQ56)</f>
        <v>7675.8043641867862</v>
      </c>
      <c r="Q15" s="9">
        <f ca="1" xml:space="preserve"> SUMIF( Time!$J346:$BQ346, Time!Q$28, Inventory!$J56:$BQ56)</f>
        <v>8781.0727829410807</v>
      </c>
      <c r="R15" s="9">
        <f ca="1" xml:space="preserve"> SUMIF( Time!$J346:$BQ346, Time!R$28, Inventory!$J56:$BQ56)</f>
        <v>11554.076243400472</v>
      </c>
      <c r="S15" s="9">
        <f ca="1" xml:space="preserve"> SUMIF( Time!$J346:$BQ346, Time!S$28, Inventory!$J56:$BQ56)</f>
        <v>14261.435972770712</v>
      </c>
    </row>
    <row r="16" spans="1:19">
      <c r="E16" s="16" t="str">
        <f xml:space="preserve"> Inventory!E$45</f>
        <v>Units deployed</v>
      </c>
      <c r="F16" s="16">
        <f xml:space="preserve"> Inventory!F$45</f>
        <v>0</v>
      </c>
      <c r="G16" s="16" t="str">
        <f xml:space="preserve"> Inventory!G$45</f>
        <v>Units</v>
      </c>
      <c r="H16" s="42">
        <f ca="1" xml:space="preserve"> Inventory!H$45</f>
        <v>253879.33897738747</v>
      </c>
      <c r="I16" s="16">
        <f xml:space="preserve"> Inventory!I$45</f>
        <v>0</v>
      </c>
      <c r="J16" s="9">
        <f ca="1" xml:space="preserve"> SUMIF( Time!$J341:$BQ341, Time!J$28, Inventory!$J45:$BQ45)</f>
        <v>0</v>
      </c>
      <c r="K16" s="9">
        <f ca="1" xml:space="preserve"> SUMIF( Time!$J341:$BQ341, Time!K$28, Inventory!$J45:$BQ45)</f>
        <v>5000</v>
      </c>
      <c r="L16" s="9">
        <f ca="1" xml:space="preserve"> SUMIF( Time!$J341:$BQ341, Time!L$28, Inventory!$J45:$BQ45)</f>
        <v>5000</v>
      </c>
      <c r="M16" s="9">
        <f ca="1" xml:space="preserve"> SUMIF( Time!$J341:$BQ341, Time!M$28, Inventory!$J45:$BQ45)</f>
        <v>10000</v>
      </c>
      <c r="N16" s="9">
        <f ca="1" xml:space="preserve"> SUMIF( Time!$J341:$BQ341, Time!N$28, Inventory!$J45:$BQ45)</f>
        <v>10637.472103606979</v>
      </c>
      <c r="O16" s="9">
        <f ca="1" xml:space="preserve"> SUMIF( Time!$J341:$BQ341, Time!O$28, Inventory!$J45:$BQ45)</f>
        <v>24320.030872404841</v>
      </c>
      <c r="P16" s="9">
        <f ca="1" xml:space="preserve"> SUMIF( Time!$J341:$BQ341, Time!P$28, Inventory!$J45:$BQ45)</f>
        <v>23171.375316678968</v>
      </c>
      <c r="Q16" s="9">
        <f ca="1" xml:space="preserve"> SUMIF( Time!$J341:$BQ341, Time!Q$28, Inventory!$J45:$BQ45)</f>
        <v>38650.885922944719</v>
      </c>
      <c r="R16" s="9">
        <f ca="1" xml:space="preserve"> SUMIF( Time!$J341:$BQ341, Time!R$28, Inventory!$J45:$BQ45)</f>
        <v>61416.411779004098</v>
      </c>
      <c r="S16" s="9">
        <f ca="1" xml:space="preserve"> SUMIF( Time!$J341:$BQ341, Time!S$28, Inventory!$J45:$BQ45)</f>
        <v>75683.162982747846</v>
      </c>
    </row>
    <row r="17" spans="5:19">
      <c r="E17" s="16" t="str">
        <f xml:space="preserve"> Inventory!E$64</f>
        <v>Units in use</v>
      </c>
      <c r="F17" s="16">
        <f xml:space="preserve"> Inventory!F$64</f>
        <v>0</v>
      </c>
      <c r="G17" s="16" t="str">
        <f xml:space="preserve"> Inventory!G$64</f>
        <v>Units</v>
      </c>
      <c r="H17" s="42">
        <f xml:space="preserve"> Inventory!H$64</f>
        <v>0</v>
      </c>
      <c r="I17" s="16">
        <f xml:space="preserve"> Inventory!I$64</f>
        <v>0</v>
      </c>
      <c r="J17" s="9">
        <f ca="1" xml:space="preserve"> SUMIF( Time!$J346:$BQ346, Time!J$28, Inventory!$J64:$BQ64)</f>
        <v>0</v>
      </c>
      <c r="K17" s="9">
        <f ca="1" xml:space="preserve"> SUMIF( Time!$J346:$BQ346, Time!K$28, Inventory!$J64:$BQ64)</f>
        <v>5000</v>
      </c>
      <c r="L17" s="9">
        <f ca="1" xml:space="preserve"> SUMIF( Time!$J346:$BQ346, Time!L$28, Inventory!$J64:$BQ64)</f>
        <v>10000</v>
      </c>
      <c r="M17" s="9">
        <f ca="1" xml:space="preserve"> SUMIF( Time!$J346:$BQ346, Time!M$28, Inventory!$J64:$BQ64)</f>
        <v>20000</v>
      </c>
      <c r="N17" s="9">
        <f ca="1" xml:space="preserve"> SUMIF( Time!$J346:$BQ346, Time!N$28, Inventory!$J64:$BQ64)</f>
        <v>27150.153281229686</v>
      </c>
      <c r="O17" s="9">
        <f ca="1" xml:space="preserve"> SUMIF( Time!$J346:$BQ346, Time!O$28, Inventory!$J64:$BQ64)</f>
        <v>46533.982976313979</v>
      </c>
      <c r="P17" s="9">
        <f ca="1" xml:space="preserve"> SUMIF( Time!$J346:$BQ346, Time!P$28, Inventory!$J64:$BQ64)</f>
        <v>62726.536964251995</v>
      </c>
      <c r="Q17" s="9">
        <f ca="1" xml:space="preserve"> SUMIF( Time!$J346:$BQ346, Time!Q$28, Inventory!$J64:$BQ64)</f>
        <v>91499.34571634719</v>
      </c>
      <c r="R17" s="9">
        <f ca="1" xml:space="preserve"> SUMIF( Time!$J346:$BQ346, Time!R$28, Inventory!$J64:$BQ64)</f>
        <v>135821.04987561956</v>
      </c>
      <c r="S17" s="9">
        <f ca="1" xml:space="preserve"> SUMIF( Time!$J346:$BQ346, Time!S$28, Inventory!$J64:$BQ64)</f>
        <v>187308.95150230839</v>
      </c>
    </row>
    <row r="18" spans="5:19">
      <c r="E18" s="16" t="str">
        <f xml:space="preserve"> Inventory!E$68</f>
        <v>Units retired</v>
      </c>
      <c r="F18" s="16">
        <f xml:space="preserve"> Inventory!F$68</f>
        <v>0</v>
      </c>
      <c r="G18" s="16" t="str">
        <f xml:space="preserve"> Inventory!G$68</f>
        <v>Units</v>
      </c>
      <c r="H18" s="42">
        <f ca="1" xml:space="preserve"> Inventory!H$68</f>
        <v>66570.387475079086</v>
      </c>
      <c r="I18" s="16">
        <f xml:space="preserve"> Inventory!I$68</f>
        <v>0</v>
      </c>
      <c r="J18" s="9">
        <f ca="1" xml:space="preserve"> SUMIF( Time!$J341:$BQ341, Time!J$28, Inventory!$J68:$BQ68)</f>
        <v>0</v>
      </c>
      <c r="K18" s="9">
        <f ca="1" xml:space="preserve"> SUMIF( Time!$J341:$BQ341, Time!K$28, Inventory!$J68:$BQ68)</f>
        <v>0</v>
      </c>
      <c r="L18" s="9">
        <f ca="1" xml:space="preserve"> SUMIF( Time!$J341:$BQ341, Time!L$28, Inventory!$J68:$BQ68)</f>
        <v>0</v>
      </c>
      <c r="M18" s="9">
        <f ca="1" xml:space="preserve"> SUMIF( Time!$J341:$BQ341, Time!M$28, Inventory!$J68:$BQ68)</f>
        <v>0</v>
      </c>
      <c r="N18" s="9">
        <f ca="1" xml:space="preserve"> SUMIF( Time!$J341:$BQ341, Time!N$28, Inventory!$J68:$BQ68)</f>
        <v>3487.3188223772922</v>
      </c>
      <c r="O18" s="9">
        <f ca="1" xml:space="preserve"> SUMIF( Time!$J341:$BQ341, Time!O$28, Inventory!$J68:$BQ68)</f>
        <v>4936.2011773205431</v>
      </c>
      <c r="P18" s="9">
        <f ca="1" xml:space="preserve"> SUMIF( Time!$J341:$BQ341, Time!P$28, Inventory!$J68:$BQ68)</f>
        <v>6978.8213287409526</v>
      </c>
      <c r="Q18" s="9">
        <f ca="1" xml:space="preserve"> SUMIF( Time!$J341:$BQ341, Time!Q$28, Inventory!$J68:$BQ68)</f>
        <v>9878.0771708495049</v>
      </c>
      <c r="R18" s="9">
        <f ca="1" xml:space="preserve"> SUMIF( Time!$J341:$BQ341, Time!R$28, Inventory!$J68:$BQ68)</f>
        <v>17094.707619731744</v>
      </c>
      <c r="S18" s="9">
        <f ca="1" xml:space="preserve"> SUMIF( Time!$J341:$BQ341, Time!S$28, Inventory!$J68:$BQ68)</f>
        <v>24195.26135605904</v>
      </c>
    </row>
  </sheetData>
  <conditionalFormatting sqref="F2:F3">
    <cfRule type="cellIs" dxfId="35" priority="1" stopIfTrue="1" operator="notEqual">
      <formula>0</formula>
    </cfRule>
    <cfRule type="cellIs" dxfId="34" priority="2" stopIfTrue="1" operator="equal">
      <formula>""</formula>
    </cfRule>
  </conditionalFormatting>
  <conditionalFormatting sqref="J3:S3">
    <cfRule type="cellIs" dxfId="33" priority="3" operator="equal">
      <formula>"PPA ext."</formula>
    </cfRule>
    <cfRule type="cellIs" dxfId="32" priority="4" operator="equal">
      <formula>"Delay"</formula>
    </cfRule>
    <cfRule type="cellIs" dxfId="31" priority="5" operator="equal">
      <formula>"Fin Close"</formula>
    </cfRule>
    <cfRule type="cellIs" dxfId="30" priority="6" stopIfTrue="1" operator="equal">
      <formula>"Construction"</formula>
    </cfRule>
    <cfRule type="cellIs" dxfId="29"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4F81BD"/>
    <outlinePr summaryBelow="0" summaryRight="0"/>
  </sheetPr>
  <dimension ref="A1:BQ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23.36328125" bestFit="1" customWidth="1"/>
    <col min="6" max="6" width="20.54296875" bestFit="1" customWidth="1"/>
    <col min="7" max="7" width="13.1796875" bestFit="1" customWidth="1"/>
    <col min="8" max="8" width="7.6328125" style="43" bestFit="1" customWidth="1"/>
    <col min="9" max="9" width="3.453125" customWidth="1"/>
    <col min="10" max="10" width="12.36328125" bestFit="1" customWidth="1"/>
    <col min="11" max="11" width="12.08984375" bestFit="1" customWidth="1"/>
    <col min="12" max="12" width="11.1796875" bestFit="1" customWidth="1"/>
    <col min="13" max="13" width="12.36328125" bestFit="1" customWidth="1"/>
    <col min="14" max="14" width="12.1796875" bestFit="1" customWidth="1"/>
    <col min="15" max="15" width="11.81640625" bestFit="1" customWidth="1"/>
    <col min="16" max="16" width="12.36328125" bestFit="1" customWidth="1"/>
    <col min="17" max="17" width="12.1796875" bestFit="1" customWidth="1"/>
    <col min="18" max="18" width="11.90625" bestFit="1" customWidth="1"/>
    <col min="19" max="19" width="12.08984375" bestFit="1" customWidth="1"/>
    <col min="20" max="20" width="12" bestFit="1" customWidth="1"/>
    <col min="21" max="21" width="11.81640625" bestFit="1" customWidth="1"/>
    <col min="22" max="22" width="12.36328125" bestFit="1" customWidth="1"/>
    <col min="23" max="23" width="12.08984375" bestFit="1" customWidth="1"/>
    <col min="24" max="24" width="11.1796875" bestFit="1" customWidth="1"/>
    <col min="25" max="25" width="12.36328125" bestFit="1" customWidth="1"/>
    <col min="26" max="26" width="12.1796875" bestFit="1" customWidth="1"/>
    <col min="27" max="27" width="11.81640625" bestFit="1" customWidth="1"/>
    <col min="28" max="28" width="12.36328125" bestFit="1" customWidth="1"/>
    <col min="29" max="29" width="12.1796875" bestFit="1" customWidth="1"/>
    <col min="30" max="30" width="11.90625" bestFit="1" customWidth="1"/>
    <col min="31" max="31" width="12.08984375" bestFit="1" customWidth="1"/>
    <col min="32" max="32" width="12" bestFit="1" customWidth="1"/>
    <col min="33" max="33" width="11.81640625" bestFit="1" customWidth="1"/>
    <col min="34" max="34" width="12.36328125" bestFit="1" customWidth="1"/>
    <col min="35" max="35" width="12.08984375" bestFit="1" customWidth="1"/>
    <col min="36" max="36" width="11.1796875" bestFit="1" customWidth="1"/>
    <col min="37" max="37" width="12.36328125" bestFit="1" customWidth="1"/>
    <col min="38" max="38" width="12.1796875" bestFit="1" customWidth="1"/>
    <col min="39" max="39" width="11.81640625" bestFit="1" customWidth="1"/>
    <col min="40" max="40" width="12.36328125" bestFit="1" customWidth="1"/>
    <col min="41" max="41" width="12.1796875" bestFit="1" customWidth="1"/>
    <col min="42" max="42" width="11.90625" bestFit="1" customWidth="1"/>
    <col min="43" max="43" width="12.08984375" bestFit="1" customWidth="1"/>
    <col min="44" max="44" width="12" bestFit="1" customWidth="1"/>
    <col min="45" max="45" width="11.81640625" bestFit="1" customWidth="1"/>
    <col min="46" max="46" width="12.36328125" bestFit="1" customWidth="1"/>
    <col min="47" max="47" width="12.08984375" bestFit="1" customWidth="1"/>
    <col min="48" max="48" width="11.1796875" bestFit="1" customWidth="1"/>
    <col min="49" max="49" width="12.36328125" bestFit="1" customWidth="1"/>
    <col min="50" max="50" width="12.1796875" bestFit="1" customWidth="1"/>
    <col min="51" max="51" width="11.81640625" bestFit="1" customWidth="1"/>
    <col min="52" max="52" width="12.36328125" bestFit="1" customWidth="1"/>
    <col min="53" max="53" width="12.1796875" bestFit="1" customWidth="1"/>
    <col min="54" max="54" width="11.90625" bestFit="1" customWidth="1"/>
    <col min="55" max="55" width="12.08984375" bestFit="1" customWidth="1"/>
    <col min="56" max="56" width="12" bestFit="1" customWidth="1"/>
    <col min="57" max="57" width="11.81640625" bestFit="1" customWidth="1"/>
    <col min="58" max="58" width="12.36328125" bestFit="1" customWidth="1"/>
    <col min="59" max="59" width="12.08984375" bestFit="1" customWidth="1"/>
    <col min="60" max="60" width="11.1796875" bestFit="1" customWidth="1"/>
    <col min="61" max="61" width="12.36328125" bestFit="1" customWidth="1"/>
    <col min="62" max="62" width="12.1796875" bestFit="1" customWidth="1"/>
    <col min="63" max="63" width="11.81640625" bestFit="1" customWidth="1"/>
    <col min="64" max="64" width="12.36328125" bestFit="1" customWidth="1"/>
    <col min="65" max="65" width="12.1796875" bestFit="1" customWidth="1"/>
    <col min="66" max="66" width="11.90625" bestFit="1" customWidth="1"/>
    <col min="67" max="67" width="12.08984375" bestFit="1" customWidth="1"/>
    <col min="68" max="68" width="12" bestFit="1" customWidth="1"/>
    <col min="69" max="69" width="11.81640625" bestFit="1" customWidth="1"/>
    <col min="70" max="70" width="15.08984375" hidden="1" customWidth="1"/>
    <col min="71" max="16384" width="15.08984375" hidden="1"/>
  </cols>
  <sheetData>
    <row r="1" spans="1:69" s="75" customFormat="1" ht="25.15">
      <c r="A1" s="45" t="str">
        <f ca="1" xml:space="preserve"> RIGHT(CELL("filename", A1), LEN(CELL("filename", A1)) - SEARCH("]", CELL("filename", A1)))</f>
        <v>Metrics Report</v>
      </c>
      <c r="B1" s="69"/>
      <c r="C1" s="74"/>
      <c r="D1" s="71"/>
      <c r="F1" s="52" t="str">
        <f>HYPERLINK("#Contents!A1","Go to contents")</f>
        <v>Go to contents</v>
      </c>
      <c r="H1" s="47"/>
      <c r="J1" s="47"/>
    </row>
    <row r="2" spans="1:69" s="53" customFormat="1">
      <c r="A2" s="48"/>
      <c r="B2" s="48"/>
      <c r="C2" s="72"/>
      <c r="D2" s="73"/>
      <c r="E2" s="22" t="s">
        <v>324</v>
      </c>
      <c r="F2" s="51">
        <f ca="1" xml:space="preserve"> 'Model Checks and Alerts'!F11</f>
        <v>0</v>
      </c>
      <c r="G2" s="55" t="s">
        <v>143</v>
      </c>
      <c r="H2" s="50"/>
      <c r="I2" s="50"/>
      <c r="J2" s="6">
        <f xml:space="preserve"> Time!J$19</f>
        <v>45077</v>
      </c>
      <c r="K2" s="6">
        <f xml:space="preserve"> Time!K$19</f>
        <v>45107</v>
      </c>
      <c r="L2" s="6">
        <f xml:space="preserve"> Time!L$19</f>
        <v>45138</v>
      </c>
      <c r="M2" s="6">
        <f xml:space="preserve"> Time!M$19</f>
        <v>45169</v>
      </c>
      <c r="N2" s="6">
        <f xml:space="preserve"> Time!N$19</f>
        <v>45199</v>
      </c>
      <c r="O2" s="6">
        <f xml:space="preserve"> Time!O$19</f>
        <v>45230</v>
      </c>
      <c r="P2" s="6">
        <f xml:space="preserve"> Time!P$19</f>
        <v>45260</v>
      </c>
      <c r="Q2" s="6">
        <f xml:space="preserve"> Time!Q$19</f>
        <v>45291</v>
      </c>
      <c r="R2" s="6">
        <f xml:space="preserve"> Time!R$19</f>
        <v>45322</v>
      </c>
      <c r="S2" s="6">
        <f xml:space="preserve"> Time!S$19</f>
        <v>45351</v>
      </c>
      <c r="T2" s="6">
        <f xml:space="preserve"> Time!T$19</f>
        <v>45382</v>
      </c>
      <c r="U2" s="6">
        <f xml:space="preserve"> Time!U$19</f>
        <v>45412</v>
      </c>
      <c r="V2" s="6">
        <f xml:space="preserve"> Time!V$19</f>
        <v>45443</v>
      </c>
      <c r="W2" s="6">
        <f xml:space="preserve"> Time!W$19</f>
        <v>45473</v>
      </c>
      <c r="X2" s="6">
        <f xml:space="preserve"> Time!X$19</f>
        <v>45504</v>
      </c>
      <c r="Y2" s="6">
        <f xml:space="preserve"> Time!Y$19</f>
        <v>45535</v>
      </c>
      <c r="Z2" s="6">
        <f xml:space="preserve"> Time!Z$19</f>
        <v>45565</v>
      </c>
      <c r="AA2" s="6">
        <f xml:space="preserve"> Time!AA$19</f>
        <v>45596</v>
      </c>
      <c r="AB2" s="6">
        <f xml:space="preserve"> Time!AB$19</f>
        <v>45626</v>
      </c>
      <c r="AC2" s="6">
        <f xml:space="preserve"> Time!AC$19</f>
        <v>45657</v>
      </c>
      <c r="AD2" s="6">
        <f xml:space="preserve"> Time!AD$19</f>
        <v>45688</v>
      </c>
      <c r="AE2" s="6">
        <f xml:space="preserve"> Time!AE$19</f>
        <v>45716</v>
      </c>
      <c r="AF2" s="6">
        <f xml:space="preserve"> Time!AF$19</f>
        <v>45747</v>
      </c>
      <c r="AG2" s="6">
        <f xml:space="preserve"> Time!AG$19</f>
        <v>45777</v>
      </c>
      <c r="AH2" s="6">
        <f xml:space="preserve"> Time!AH$19</f>
        <v>45808</v>
      </c>
      <c r="AI2" s="6">
        <f xml:space="preserve"> Time!AI$19</f>
        <v>45838</v>
      </c>
      <c r="AJ2" s="6">
        <f xml:space="preserve"> Time!AJ$19</f>
        <v>45869</v>
      </c>
      <c r="AK2" s="6">
        <f xml:space="preserve"> Time!AK$19</f>
        <v>45900</v>
      </c>
      <c r="AL2" s="6">
        <f xml:space="preserve"> Time!AL$19</f>
        <v>45930</v>
      </c>
      <c r="AM2" s="6">
        <f xml:space="preserve"> Time!AM$19</f>
        <v>45961</v>
      </c>
      <c r="AN2" s="6">
        <f xml:space="preserve"> Time!AN$19</f>
        <v>45991</v>
      </c>
      <c r="AO2" s="6">
        <f xml:space="preserve"> Time!AO$19</f>
        <v>46022</v>
      </c>
      <c r="AP2" s="6">
        <f xml:space="preserve"> Time!AP$19</f>
        <v>46053</v>
      </c>
      <c r="AQ2" s="6">
        <f xml:space="preserve"> Time!AQ$19</f>
        <v>46081</v>
      </c>
      <c r="AR2" s="6">
        <f xml:space="preserve"> Time!AR$19</f>
        <v>46112</v>
      </c>
      <c r="AS2" s="6">
        <f xml:space="preserve"> Time!AS$19</f>
        <v>46142</v>
      </c>
      <c r="AT2" s="6">
        <f xml:space="preserve"> Time!AT$19</f>
        <v>46173</v>
      </c>
      <c r="AU2" s="6">
        <f xml:space="preserve"> Time!AU$19</f>
        <v>46203</v>
      </c>
      <c r="AV2" s="6">
        <f xml:space="preserve"> Time!AV$19</f>
        <v>46234</v>
      </c>
      <c r="AW2" s="6">
        <f xml:space="preserve"> Time!AW$19</f>
        <v>46265</v>
      </c>
      <c r="AX2" s="6">
        <f xml:space="preserve"> Time!AX$19</f>
        <v>46295</v>
      </c>
      <c r="AY2" s="6">
        <f xml:space="preserve"> Time!AY$19</f>
        <v>46326</v>
      </c>
      <c r="AZ2" s="6">
        <f xml:space="preserve"> Time!AZ$19</f>
        <v>46356</v>
      </c>
      <c r="BA2" s="6">
        <f xml:space="preserve"> Time!BA$19</f>
        <v>46387</v>
      </c>
      <c r="BB2" s="6">
        <f xml:space="preserve"> Time!BB$19</f>
        <v>46418</v>
      </c>
      <c r="BC2" s="6">
        <f xml:space="preserve"> Time!BC$19</f>
        <v>46446</v>
      </c>
      <c r="BD2" s="6">
        <f xml:space="preserve"> Time!BD$19</f>
        <v>46477</v>
      </c>
      <c r="BE2" s="6">
        <f xml:space="preserve"> Time!BE$19</f>
        <v>46507</v>
      </c>
      <c r="BF2" s="6">
        <f xml:space="preserve"> Time!BF$19</f>
        <v>46538</v>
      </c>
      <c r="BG2" s="6">
        <f xml:space="preserve"> Time!BG$19</f>
        <v>46568</v>
      </c>
      <c r="BH2" s="6">
        <f xml:space="preserve"> Time!BH$19</f>
        <v>46599</v>
      </c>
      <c r="BI2" s="6">
        <f xml:space="preserve"> Time!BI$19</f>
        <v>46630</v>
      </c>
      <c r="BJ2" s="6">
        <f xml:space="preserve"> Time!BJ$19</f>
        <v>46660</v>
      </c>
      <c r="BK2" s="6">
        <f xml:space="preserve"> Time!BK$19</f>
        <v>46691</v>
      </c>
      <c r="BL2" s="6">
        <f xml:space="preserve"> Time!BL$19</f>
        <v>46721</v>
      </c>
      <c r="BM2" s="6">
        <f xml:space="preserve"> Time!BM$19</f>
        <v>46752</v>
      </c>
      <c r="BN2" s="6">
        <f xml:space="preserve"> Time!BN$19</f>
        <v>46783</v>
      </c>
      <c r="BO2" s="6">
        <f xml:space="preserve"> Time!BO$19</f>
        <v>46812</v>
      </c>
      <c r="BP2" s="6">
        <f xml:space="preserve"> Time!BP$19</f>
        <v>46843</v>
      </c>
      <c r="BQ2" s="6">
        <f xml:space="preserve"> Time!BQ$19</f>
        <v>46873</v>
      </c>
    </row>
    <row r="3" spans="1:69" s="34" customFormat="1">
      <c r="A3" s="48"/>
      <c r="B3" s="48"/>
      <c r="C3" s="72"/>
      <c r="D3" s="73"/>
      <c r="E3" s="39" t="s">
        <v>203</v>
      </c>
      <c r="F3" s="51"/>
      <c r="G3" s="55" t="s">
        <v>97</v>
      </c>
      <c r="H3" s="50"/>
      <c r="I3" s="50"/>
      <c r="J3" s="7" t="str">
        <f xml:space="preserve"> Time!J$24</f>
        <v>Month1</v>
      </c>
      <c r="K3" s="7" t="str">
        <f xml:space="preserve"> Time!K$24</f>
        <v>Month2</v>
      </c>
      <c r="L3" s="7" t="str">
        <f xml:space="preserve"> Time!L$24</f>
        <v>Month3</v>
      </c>
      <c r="M3" s="7" t="str">
        <f xml:space="preserve"> Time!M$24</f>
        <v>Month4</v>
      </c>
      <c r="N3" s="7" t="str">
        <f xml:space="preserve"> Time!N$24</f>
        <v>Month5</v>
      </c>
      <c r="O3" s="7" t="str">
        <f xml:space="preserve"> Time!O$24</f>
        <v>Month6</v>
      </c>
      <c r="P3" s="7" t="str">
        <f xml:space="preserve"> Time!P$24</f>
        <v>Month7</v>
      </c>
      <c r="Q3" s="7" t="str">
        <f xml:space="preserve"> Time!Q$24</f>
        <v>Month8</v>
      </c>
      <c r="R3" s="7" t="str">
        <f xml:space="preserve"> Time!R$24</f>
        <v>Month9</v>
      </c>
      <c r="S3" s="7" t="str">
        <f xml:space="preserve"> Time!S$24</f>
        <v>Month10</v>
      </c>
      <c r="T3" s="7" t="str">
        <f xml:space="preserve"> Time!T$24</f>
        <v>Month11</v>
      </c>
      <c r="U3" s="7" t="str">
        <f xml:space="preserve"> Time!U$24</f>
        <v>Month12</v>
      </c>
      <c r="V3" s="7" t="str">
        <f xml:space="preserve"> Time!V$24</f>
        <v>Month13</v>
      </c>
      <c r="W3" s="7" t="str">
        <f xml:space="preserve"> Time!W$24</f>
        <v>Month14</v>
      </c>
      <c r="X3" s="7" t="str">
        <f xml:space="preserve"> Time!X$24</f>
        <v>Month15</v>
      </c>
      <c r="Y3" s="7" t="str">
        <f xml:space="preserve"> Time!Y$24</f>
        <v>Month16</v>
      </c>
      <c r="Z3" s="7" t="str">
        <f xml:space="preserve"> Time!Z$24</f>
        <v>Month17</v>
      </c>
      <c r="AA3" s="7" t="str">
        <f xml:space="preserve"> Time!AA$24</f>
        <v>Month18</v>
      </c>
      <c r="AB3" s="7" t="str">
        <f xml:space="preserve"> Time!AB$24</f>
        <v>Month19</v>
      </c>
      <c r="AC3" s="7" t="str">
        <f xml:space="preserve"> Time!AC$24</f>
        <v>Month20</v>
      </c>
      <c r="AD3" s="7" t="str">
        <f xml:space="preserve"> Time!AD$24</f>
        <v>Month21</v>
      </c>
      <c r="AE3" s="7" t="str">
        <f xml:space="preserve"> Time!AE$24</f>
        <v>Month22</v>
      </c>
      <c r="AF3" s="7" t="str">
        <f xml:space="preserve"> Time!AF$24</f>
        <v>Month23</v>
      </c>
      <c r="AG3" s="7" t="str">
        <f xml:space="preserve"> Time!AG$24</f>
        <v>Month24</v>
      </c>
      <c r="AH3" s="7" t="str">
        <f xml:space="preserve"> Time!AH$24</f>
        <v>Month25</v>
      </c>
      <c r="AI3" s="7" t="str">
        <f xml:space="preserve"> Time!AI$24</f>
        <v>Month26</v>
      </c>
      <c r="AJ3" s="7" t="str">
        <f xml:space="preserve"> Time!AJ$24</f>
        <v>Month27</v>
      </c>
      <c r="AK3" s="7" t="str">
        <f xml:space="preserve"> Time!AK$24</f>
        <v>Month28</v>
      </c>
      <c r="AL3" s="7" t="str">
        <f xml:space="preserve"> Time!AL$24</f>
        <v>Month29</v>
      </c>
      <c r="AM3" s="7" t="str">
        <f xml:space="preserve"> Time!AM$24</f>
        <v>Month30</v>
      </c>
      <c r="AN3" s="7" t="str">
        <f xml:space="preserve"> Time!AN$24</f>
        <v>Month31</v>
      </c>
      <c r="AO3" s="7" t="str">
        <f xml:space="preserve"> Time!AO$24</f>
        <v>Month32</v>
      </c>
      <c r="AP3" s="7" t="str">
        <f xml:space="preserve"> Time!AP$24</f>
        <v>Month33</v>
      </c>
      <c r="AQ3" s="7" t="str">
        <f xml:space="preserve"> Time!AQ$24</f>
        <v>Month34</v>
      </c>
      <c r="AR3" s="7" t="str">
        <f xml:space="preserve"> Time!AR$24</f>
        <v>Month35</v>
      </c>
      <c r="AS3" s="7" t="str">
        <f xml:space="preserve"> Time!AS$24</f>
        <v>Month36</v>
      </c>
      <c r="AT3" s="7" t="str">
        <f xml:space="preserve"> Time!AT$24</f>
        <v>Month37</v>
      </c>
      <c r="AU3" s="7" t="str">
        <f xml:space="preserve"> Time!AU$24</f>
        <v>Month38</v>
      </c>
      <c r="AV3" s="7" t="str">
        <f xml:space="preserve"> Time!AV$24</f>
        <v>Month39</v>
      </c>
      <c r="AW3" s="7" t="str">
        <f xml:space="preserve"> Time!AW$24</f>
        <v>Month40</v>
      </c>
      <c r="AX3" s="7" t="str">
        <f xml:space="preserve"> Time!AX$24</f>
        <v>Month41</v>
      </c>
      <c r="AY3" s="7" t="str">
        <f xml:space="preserve"> Time!AY$24</f>
        <v>Month42</v>
      </c>
      <c r="AZ3" s="7" t="str">
        <f xml:space="preserve"> Time!AZ$24</f>
        <v>Month43</v>
      </c>
      <c r="BA3" s="7" t="str">
        <f xml:space="preserve"> Time!BA$24</f>
        <v>Month44</v>
      </c>
      <c r="BB3" s="7" t="str">
        <f xml:space="preserve"> Time!BB$24</f>
        <v>Month45</v>
      </c>
      <c r="BC3" s="7" t="str">
        <f xml:space="preserve"> Time!BC$24</f>
        <v>Month46</v>
      </c>
      <c r="BD3" s="7" t="str">
        <f xml:space="preserve"> Time!BD$24</f>
        <v>Month47</v>
      </c>
      <c r="BE3" s="7" t="str">
        <f xml:space="preserve"> Time!BE$24</f>
        <v>Month48</v>
      </c>
      <c r="BF3" s="7" t="str">
        <f xml:space="preserve"> Time!BF$24</f>
        <v>Month49</v>
      </c>
      <c r="BG3" s="7" t="str">
        <f xml:space="preserve"> Time!BG$24</f>
        <v>Month50</v>
      </c>
      <c r="BH3" s="7" t="str">
        <f xml:space="preserve"> Time!BH$24</f>
        <v>Month51</v>
      </c>
      <c r="BI3" s="7" t="str">
        <f xml:space="preserve"> Time!BI$24</f>
        <v>Month52</v>
      </c>
      <c r="BJ3" s="7" t="str">
        <f xml:space="preserve"> Time!BJ$24</f>
        <v>Month53</v>
      </c>
      <c r="BK3" s="7" t="str">
        <f xml:space="preserve"> Time!BK$24</f>
        <v>Month54</v>
      </c>
      <c r="BL3" s="7" t="str">
        <f xml:space="preserve"> Time!BL$24</f>
        <v>Month55</v>
      </c>
      <c r="BM3" s="7" t="str">
        <f xml:space="preserve"> Time!BM$24</f>
        <v>Month56</v>
      </c>
      <c r="BN3" s="7" t="str">
        <f xml:space="preserve"> Time!BN$24</f>
        <v>Month57</v>
      </c>
      <c r="BO3" s="7" t="str">
        <f xml:space="preserve"> Time!BO$24</f>
        <v>Month58</v>
      </c>
      <c r="BP3" s="7" t="str">
        <f xml:space="preserve"> Time!BP$24</f>
        <v>Month59</v>
      </c>
      <c r="BQ3" s="7" t="str">
        <f xml:space="preserve"> Time!BQ$24</f>
        <v>Month60</v>
      </c>
    </row>
    <row r="4" spans="1:69" s="28" customFormat="1">
      <c r="A4" s="48"/>
      <c r="B4" s="48"/>
      <c r="C4" s="72"/>
      <c r="D4" s="73"/>
      <c r="E4" s="22" t="s">
        <v>325</v>
      </c>
      <c r="F4"/>
      <c r="G4"/>
      <c r="H4" s="50"/>
      <c r="I4" s="50"/>
      <c r="J4" s="28">
        <f xml:space="preserve"> Time!J$28</f>
        <v>1</v>
      </c>
      <c r="K4" s="28">
        <f xml:space="preserve"> Time!K$28</f>
        <v>2</v>
      </c>
      <c r="L4" s="28">
        <f xml:space="preserve"> Time!L$28</f>
        <v>3</v>
      </c>
      <c r="M4" s="28">
        <f xml:space="preserve"> Time!M$28</f>
        <v>4</v>
      </c>
      <c r="N4" s="28">
        <f xml:space="preserve"> Time!N$28</f>
        <v>5</v>
      </c>
      <c r="O4" s="28">
        <f xml:space="preserve"> Time!O$28</f>
        <v>6</v>
      </c>
      <c r="P4" s="28">
        <f xml:space="preserve"> Time!P$28</f>
        <v>7</v>
      </c>
      <c r="Q4" s="28">
        <f xml:space="preserve"> Time!Q$28</f>
        <v>8</v>
      </c>
      <c r="R4" s="28">
        <f xml:space="preserve"> Time!R$28</f>
        <v>9</v>
      </c>
      <c r="S4" s="28">
        <f xml:space="preserve"> Time!S$28</f>
        <v>10</v>
      </c>
      <c r="T4" s="28">
        <f xml:space="preserve"> Time!T$28</f>
        <v>11</v>
      </c>
      <c r="U4" s="28">
        <f xml:space="preserve"> Time!U$28</f>
        <v>12</v>
      </c>
      <c r="V4" s="28">
        <f xml:space="preserve"> Time!V$28</f>
        <v>13</v>
      </c>
      <c r="W4" s="28">
        <f xml:space="preserve"> Time!W$28</f>
        <v>14</v>
      </c>
      <c r="X4" s="28">
        <f xml:space="preserve"> Time!X$28</f>
        <v>15</v>
      </c>
      <c r="Y4" s="28">
        <f xml:space="preserve"> Time!Y$28</f>
        <v>16</v>
      </c>
      <c r="Z4" s="28">
        <f xml:space="preserve"> Time!Z$28</f>
        <v>17</v>
      </c>
      <c r="AA4" s="28">
        <f xml:space="preserve"> Time!AA$28</f>
        <v>18</v>
      </c>
      <c r="AB4" s="28">
        <f xml:space="preserve"> Time!AB$28</f>
        <v>19</v>
      </c>
      <c r="AC4" s="28">
        <f xml:space="preserve"> Time!AC$28</f>
        <v>20</v>
      </c>
      <c r="AD4" s="28">
        <f xml:space="preserve"> Time!AD$28</f>
        <v>21</v>
      </c>
      <c r="AE4" s="28">
        <f xml:space="preserve"> Time!AE$28</f>
        <v>22</v>
      </c>
      <c r="AF4" s="28">
        <f xml:space="preserve"> Time!AF$28</f>
        <v>23</v>
      </c>
      <c r="AG4" s="28">
        <f xml:space="preserve"> Time!AG$28</f>
        <v>24</v>
      </c>
      <c r="AH4" s="28">
        <f xml:space="preserve"> Time!AH$28</f>
        <v>25</v>
      </c>
      <c r="AI4" s="28">
        <f xml:space="preserve"> Time!AI$28</f>
        <v>26</v>
      </c>
      <c r="AJ4" s="28">
        <f xml:space="preserve"> Time!AJ$28</f>
        <v>27</v>
      </c>
      <c r="AK4" s="28">
        <f xml:space="preserve"> Time!AK$28</f>
        <v>28</v>
      </c>
      <c r="AL4" s="28">
        <f xml:space="preserve"> Time!AL$28</f>
        <v>29</v>
      </c>
      <c r="AM4" s="28">
        <f xml:space="preserve"> Time!AM$28</f>
        <v>30</v>
      </c>
      <c r="AN4" s="28">
        <f xml:space="preserve"> Time!AN$28</f>
        <v>31</v>
      </c>
      <c r="AO4" s="28">
        <f xml:space="preserve"> Time!AO$28</f>
        <v>32</v>
      </c>
      <c r="AP4" s="28">
        <f xml:space="preserve"> Time!AP$28</f>
        <v>33</v>
      </c>
      <c r="AQ4" s="28">
        <f xml:space="preserve"> Time!AQ$28</f>
        <v>34</v>
      </c>
      <c r="AR4" s="28">
        <f xml:space="preserve"> Time!AR$28</f>
        <v>35</v>
      </c>
      <c r="AS4" s="28">
        <f xml:space="preserve"> Time!AS$28</f>
        <v>36</v>
      </c>
      <c r="AT4" s="28">
        <f xml:space="preserve"> Time!AT$28</f>
        <v>37</v>
      </c>
      <c r="AU4" s="28">
        <f xml:space="preserve"> Time!AU$28</f>
        <v>38</v>
      </c>
      <c r="AV4" s="28">
        <f xml:space="preserve"> Time!AV$28</f>
        <v>39</v>
      </c>
      <c r="AW4" s="28">
        <f xml:space="preserve"> Time!AW$28</f>
        <v>40</v>
      </c>
      <c r="AX4" s="28">
        <f xml:space="preserve"> Time!AX$28</f>
        <v>41</v>
      </c>
      <c r="AY4" s="28">
        <f xml:space="preserve"> Time!AY$28</f>
        <v>42</v>
      </c>
      <c r="AZ4" s="28">
        <f xml:space="preserve"> Time!AZ$28</f>
        <v>43</v>
      </c>
      <c r="BA4" s="28">
        <f xml:space="preserve"> Time!BA$28</f>
        <v>44</v>
      </c>
      <c r="BB4" s="28">
        <f xml:space="preserve"> Time!BB$28</f>
        <v>45</v>
      </c>
      <c r="BC4" s="28">
        <f xml:space="preserve"> Time!BC$28</f>
        <v>46</v>
      </c>
      <c r="BD4" s="28">
        <f xml:space="preserve"> Time!BD$28</f>
        <v>47</v>
      </c>
      <c r="BE4" s="28">
        <f xml:space="preserve"> Time!BE$28</f>
        <v>48</v>
      </c>
      <c r="BF4" s="28">
        <f xml:space="preserve"> Time!BF$28</f>
        <v>49</v>
      </c>
      <c r="BG4" s="28">
        <f xml:space="preserve"> Time!BG$28</f>
        <v>50</v>
      </c>
      <c r="BH4" s="28">
        <f xml:space="preserve"> Time!BH$28</f>
        <v>51</v>
      </c>
      <c r="BI4" s="28">
        <f xml:space="preserve"> Time!BI$28</f>
        <v>52</v>
      </c>
      <c r="BJ4" s="28">
        <f xml:space="preserve"> Time!BJ$28</f>
        <v>53</v>
      </c>
      <c r="BK4" s="28">
        <f xml:space="preserve"> Time!BK$28</f>
        <v>54</v>
      </c>
      <c r="BL4" s="28">
        <f xml:space="preserve"> Time!BL$28</f>
        <v>55</v>
      </c>
      <c r="BM4" s="28">
        <f xml:space="preserve"> Time!BM$28</f>
        <v>56</v>
      </c>
      <c r="BN4" s="28">
        <f xml:space="preserve"> Time!BN$28</f>
        <v>57</v>
      </c>
      <c r="BO4" s="28">
        <f xml:space="preserve"> Time!BO$28</f>
        <v>58</v>
      </c>
      <c r="BP4" s="28">
        <f xml:space="preserve"> Time!BP$28</f>
        <v>59</v>
      </c>
      <c r="BQ4" s="28">
        <f xml:space="preserve"> Time!BQ$28</f>
        <v>60</v>
      </c>
    </row>
    <row r="5" spans="1:69" s="34" customFormat="1">
      <c r="A5" s="48"/>
      <c r="B5" s="48"/>
      <c r="C5" s="72"/>
      <c r="D5" s="73"/>
      <c r="E5" s="22" t="s">
        <v>305</v>
      </c>
      <c r="F5" s="24" t="s">
        <v>248</v>
      </c>
      <c r="G5" s="24" t="s">
        <v>224</v>
      </c>
      <c r="H5" s="24" t="s">
        <v>202</v>
      </c>
      <c r="I5" s="50"/>
      <c r="J5" s="15"/>
      <c r="K5" s="15"/>
      <c r="L5" s="15"/>
      <c r="M5" s="15"/>
      <c r="N5" s="15"/>
      <c r="O5" s="15"/>
      <c r="P5" s="15"/>
    </row>
    <row r="6" spans="1:69" s="43" customFormat="1">
      <c r="A6" s="24"/>
      <c r="B6" s="24"/>
      <c r="C6" s="49"/>
      <c r="D6" s="70"/>
      <c r="F6" s="24"/>
      <c r="G6" s="24"/>
      <c r="H6" s="24"/>
    </row>
    <row r="8" spans="1:69">
      <c r="E8" s="16" t="str">
        <f xml:space="preserve"> Metrics!E$10</f>
        <v>Cash Low</v>
      </c>
      <c r="F8" s="16">
        <f ca="1" xml:space="preserve"> Metrics!$F$10</f>
        <v>-531500.75634385983</v>
      </c>
      <c r="G8" s="16" t="str">
        <f xml:space="preserve"> Metrics!G$10</f>
        <v>GBP</v>
      </c>
      <c r="H8" s="42"/>
      <c r="I8" s="16"/>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row>
  </sheetData>
  <conditionalFormatting sqref="F2:F3">
    <cfRule type="cellIs" dxfId="28" priority="1" stopIfTrue="1" operator="notEqual">
      <formula>0</formula>
    </cfRule>
    <cfRule type="cellIs" dxfId="27" priority="2" stopIfTrue="1" operator="equal">
      <formula>""</formula>
    </cfRule>
  </conditionalFormatting>
  <conditionalFormatting sqref="J3:BQ3">
    <cfRule type="cellIs" dxfId="26" priority="3" operator="equal">
      <formula>"PPA ext."</formula>
    </cfRule>
    <cfRule type="cellIs" dxfId="25" priority="4" operator="equal">
      <formula>"Delay"</formula>
    </cfRule>
    <cfRule type="cellIs" dxfId="24" priority="5" operator="equal">
      <formula>"Fin Close"</formula>
    </cfRule>
    <cfRule type="cellIs" dxfId="23" priority="6" stopIfTrue="1" operator="equal">
      <formula>"Construction"</formula>
    </cfRule>
    <cfRule type="cellIs" dxfId="22"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4F81BD"/>
    <outlinePr summaryBelow="0" summaryRight="0"/>
  </sheetPr>
  <dimension ref="A1:AC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23.36328125" bestFit="1" customWidth="1"/>
    <col min="6" max="6" width="20.54296875" bestFit="1" customWidth="1"/>
    <col min="7" max="7" width="13.1796875" bestFit="1" customWidth="1"/>
    <col min="8" max="8" width="7.6328125" style="43" bestFit="1" customWidth="1"/>
    <col min="9" max="9" width="3.453125" customWidth="1"/>
    <col min="10" max="10" width="11.1796875" bestFit="1" customWidth="1"/>
    <col min="11" max="11" width="11.81640625" bestFit="1" customWidth="1"/>
    <col min="12" max="12" width="11.90625" bestFit="1" customWidth="1"/>
    <col min="13" max="13" width="11.81640625" bestFit="1" customWidth="1"/>
    <col min="14" max="14" width="11.1796875" bestFit="1" customWidth="1"/>
    <col min="15" max="15" width="11.81640625" bestFit="1" customWidth="1"/>
    <col min="16" max="16" width="11.90625" bestFit="1" customWidth="1"/>
    <col min="17" max="17" width="11.81640625" bestFit="1" customWidth="1"/>
    <col min="18" max="18" width="11.1796875" bestFit="1" customWidth="1"/>
    <col min="19" max="19" width="11.81640625" bestFit="1" customWidth="1"/>
    <col min="20" max="20" width="11.90625" bestFit="1" customWidth="1"/>
    <col min="21" max="21" width="11.81640625" bestFit="1" customWidth="1"/>
    <col min="22" max="22" width="11.1796875" bestFit="1" customWidth="1"/>
    <col min="23" max="23" width="11.81640625" bestFit="1" customWidth="1"/>
    <col min="24" max="24" width="11.90625" bestFit="1" customWidth="1"/>
    <col min="25" max="25" width="11.81640625" bestFit="1" customWidth="1"/>
    <col min="26" max="26" width="11.1796875" bestFit="1" customWidth="1"/>
    <col min="27" max="27" width="11.81640625" bestFit="1" customWidth="1"/>
    <col min="28" max="28" width="11.90625" bestFit="1" customWidth="1"/>
    <col min="29" max="29" width="11.81640625" bestFit="1" customWidth="1"/>
    <col min="30" max="30" width="15.08984375" hidden="1" customWidth="1"/>
    <col min="31" max="16384" width="15.08984375" hidden="1"/>
  </cols>
  <sheetData>
    <row r="1" spans="1:29" s="75" customFormat="1" ht="25.15">
      <c r="A1" s="45" t="str">
        <f ca="1" xml:space="preserve"> RIGHT(CELL("filename", A1), LEN(CELL("filename", A1)) - SEARCH("]", CELL("filename", A1)))</f>
        <v>Metrics Report Qly</v>
      </c>
      <c r="B1" s="69"/>
      <c r="C1" s="74"/>
      <c r="D1" s="71"/>
      <c r="F1" s="52" t="str">
        <f>HYPERLINK("#Contents!A1","Go to contents")</f>
        <v>Go to contents</v>
      </c>
      <c r="H1" s="47"/>
      <c r="J1" s="47"/>
    </row>
    <row r="2" spans="1:29" s="53" customFormat="1">
      <c r="A2" s="48"/>
      <c r="B2" s="48"/>
      <c r="C2" s="72"/>
      <c r="D2" s="73"/>
      <c r="E2" s="22" t="s">
        <v>324</v>
      </c>
      <c r="F2" s="51">
        <f ca="1" xml:space="preserve"> 'Model Checks and Alerts'!F11</f>
        <v>0</v>
      </c>
      <c r="G2" s="55" t="s">
        <v>143</v>
      </c>
      <c r="H2" s="50"/>
      <c r="I2" s="50"/>
      <c r="J2" s="6">
        <f xml:space="preserve"> Time!J$75</f>
        <v>45138</v>
      </c>
      <c r="K2" s="6">
        <f xml:space="preserve"> Time!K$75</f>
        <v>45230</v>
      </c>
      <c r="L2" s="6">
        <f xml:space="preserve"> Time!L$75</f>
        <v>45322</v>
      </c>
      <c r="M2" s="6">
        <f xml:space="preserve"> Time!M$75</f>
        <v>45412</v>
      </c>
      <c r="N2" s="6">
        <f xml:space="preserve"> Time!N$75</f>
        <v>45504</v>
      </c>
      <c r="O2" s="6">
        <f xml:space="preserve"> Time!O$75</f>
        <v>45596</v>
      </c>
      <c r="P2" s="6">
        <f xml:space="preserve"> Time!P$75</f>
        <v>45688</v>
      </c>
      <c r="Q2" s="6">
        <f xml:space="preserve"> Time!Q$75</f>
        <v>45777</v>
      </c>
      <c r="R2" s="6">
        <f xml:space="preserve"> Time!R$75</f>
        <v>45869</v>
      </c>
      <c r="S2" s="6">
        <f xml:space="preserve"> Time!S$75</f>
        <v>45961</v>
      </c>
      <c r="T2" s="6">
        <f xml:space="preserve"> Time!T$75</f>
        <v>46053</v>
      </c>
      <c r="U2" s="6">
        <f xml:space="preserve"> Time!U$75</f>
        <v>46142</v>
      </c>
      <c r="V2" s="6">
        <f xml:space="preserve"> Time!V$75</f>
        <v>46234</v>
      </c>
      <c r="W2" s="6">
        <f xml:space="preserve"> Time!W$75</f>
        <v>46326</v>
      </c>
      <c r="X2" s="6">
        <f xml:space="preserve"> Time!X$75</f>
        <v>46418</v>
      </c>
      <c r="Y2" s="6">
        <f xml:space="preserve"> Time!Y$75</f>
        <v>46507</v>
      </c>
      <c r="Z2" s="6">
        <f xml:space="preserve"> Time!Z$75</f>
        <v>46599</v>
      </c>
      <c r="AA2" s="6">
        <f xml:space="preserve"> Time!AA$75</f>
        <v>46691</v>
      </c>
      <c r="AB2" s="6">
        <f xml:space="preserve"> Time!AB$75</f>
        <v>46783</v>
      </c>
      <c r="AC2" s="6">
        <f xml:space="preserve"> Time!AC$75</f>
        <v>46873</v>
      </c>
    </row>
    <row r="3" spans="1:29" s="34" customFormat="1">
      <c r="A3" s="48"/>
      <c r="B3" s="48"/>
      <c r="C3" s="72"/>
      <c r="D3" s="73"/>
      <c r="E3" s="39" t="s">
        <v>203</v>
      </c>
      <c r="F3" s="51"/>
      <c r="G3" s="55" t="s">
        <v>97</v>
      </c>
      <c r="H3" s="50"/>
      <c r="I3" s="50"/>
      <c r="J3" s="7" t="str">
        <f xml:space="preserve"> Time!J$82</f>
        <v>Month3</v>
      </c>
      <c r="K3" s="7" t="str">
        <f xml:space="preserve"> Time!K$82</f>
        <v>Month6</v>
      </c>
      <c r="L3" s="7" t="str">
        <f xml:space="preserve"> Time!L$82</f>
        <v>Month9</v>
      </c>
      <c r="M3" s="7" t="str">
        <f xml:space="preserve"> Time!M$82</f>
        <v>Month12</v>
      </c>
      <c r="N3" s="7" t="str">
        <f xml:space="preserve"> Time!N$82</f>
        <v>Month15</v>
      </c>
      <c r="O3" s="7" t="str">
        <f xml:space="preserve"> Time!O$82</f>
        <v>Month18</v>
      </c>
      <c r="P3" s="7" t="str">
        <f xml:space="preserve"> Time!P$82</f>
        <v>Month21</v>
      </c>
      <c r="Q3" s="7" t="str">
        <f xml:space="preserve"> Time!Q$82</f>
        <v>Month24</v>
      </c>
      <c r="R3" s="7" t="str">
        <f xml:space="preserve"> Time!R$82</f>
        <v>Month27</v>
      </c>
      <c r="S3" s="7" t="str">
        <f xml:space="preserve"> Time!S$82</f>
        <v>Month30</v>
      </c>
      <c r="T3" s="7" t="str">
        <f xml:space="preserve"> Time!T$82</f>
        <v>Month33</v>
      </c>
      <c r="U3" s="7" t="str">
        <f xml:space="preserve"> Time!U$82</f>
        <v>Month36</v>
      </c>
      <c r="V3" s="7" t="str">
        <f xml:space="preserve"> Time!V$82</f>
        <v>Month39</v>
      </c>
      <c r="W3" s="7" t="str">
        <f xml:space="preserve"> Time!W$82</f>
        <v>Month42</v>
      </c>
      <c r="X3" s="7" t="str">
        <f xml:space="preserve"> Time!X$82</f>
        <v>Month45</v>
      </c>
      <c r="Y3" s="7" t="str">
        <f xml:space="preserve"> Time!Y$82</f>
        <v>Month48</v>
      </c>
      <c r="Z3" s="7" t="str">
        <f xml:space="preserve"> Time!Z$82</f>
        <v>Month51</v>
      </c>
      <c r="AA3" s="7" t="str">
        <f xml:space="preserve"> Time!AA$82</f>
        <v>Month54</v>
      </c>
      <c r="AB3" s="7" t="str">
        <f xml:space="preserve"> Time!AB$82</f>
        <v>Month57</v>
      </c>
      <c r="AC3" s="7" t="str">
        <f xml:space="preserve"> Time!AC$82</f>
        <v>Month60</v>
      </c>
    </row>
    <row r="4" spans="1:29" s="28" customFormat="1">
      <c r="A4" s="48"/>
      <c r="B4" s="48"/>
      <c r="C4" s="72"/>
      <c r="D4" s="73"/>
      <c r="E4" s="22" t="s">
        <v>325</v>
      </c>
      <c r="F4"/>
      <c r="G4"/>
      <c r="H4" s="50"/>
      <c r="I4" s="50"/>
      <c r="J4" s="28">
        <f xml:space="preserve"> Time!J$88</f>
        <v>3</v>
      </c>
      <c r="K4" s="28">
        <f xml:space="preserve"> Time!K$88</f>
        <v>6</v>
      </c>
      <c r="L4" s="28">
        <f xml:space="preserve"> Time!L$88</f>
        <v>9</v>
      </c>
      <c r="M4" s="28">
        <f xml:space="preserve"> Time!M$88</f>
        <v>12</v>
      </c>
      <c r="N4" s="28">
        <f xml:space="preserve"> Time!N$88</f>
        <v>15</v>
      </c>
      <c r="O4" s="28">
        <f xml:space="preserve"> Time!O$88</f>
        <v>18</v>
      </c>
      <c r="P4" s="28">
        <f xml:space="preserve"> Time!P$88</f>
        <v>21</v>
      </c>
      <c r="Q4" s="28">
        <f xml:space="preserve"> Time!Q$88</f>
        <v>24</v>
      </c>
      <c r="R4" s="28">
        <f xml:space="preserve"> Time!R$88</f>
        <v>27</v>
      </c>
      <c r="S4" s="28">
        <f xml:space="preserve"> Time!S$88</f>
        <v>30</v>
      </c>
      <c r="T4" s="28">
        <f xml:space="preserve"> Time!T$88</f>
        <v>33</v>
      </c>
      <c r="U4" s="28">
        <f xml:space="preserve"> Time!U$88</f>
        <v>36</v>
      </c>
      <c r="V4" s="28">
        <f xml:space="preserve"> Time!V$88</f>
        <v>39</v>
      </c>
      <c r="W4" s="28">
        <f xml:space="preserve"> Time!W$88</f>
        <v>42</v>
      </c>
      <c r="X4" s="28">
        <f xml:space="preserve"> Time!X$88</f>
        <v>45</v>
      </c>
      <c r="Y4" s="28">
        <f xml:space="preserve"> Time!Y$88</f>
        <v>48</v>
      </c>
      <c r="Z4" s="28">
        <f xml:space="preserve"> Time!Z$88</f>
        <v>51</v>
      </c>
      <c r="AA4" s="28">
        <f xml:space="preserve"> Time!AA$88</f>
        <v>54</v>
      </c>
      <c r="AB4" s="28">
        <f xml:space="preserve"> Time!AB$88</f>
        <v>57</v>
      </c>
      <c r="AC4" s="28">
        <f xml:space="preserve"> Time!AC$88</f>
        <v>60</v>
      </c>
    </row>
    <row r="5" spans="1:29" s="34" customFormat="1">
      <c r="A5" s="48"/>
      <c r="B5" s="48"/>
      <c r="C5" s="72"/>
      <c r="D5" s="73"/>
      <c r="E5" s="22" t="s">
        <v>305</v>
      </c>
      <c r="F5" s="24" t="s">
        <v>248</v>
      </c>
      <c r="G5" s="24" t="s">
        <v>224</v>
      </c>
      <c r="H5" s="24" t="s">
        <v>202</v>
      </c>
      <c r="I5" s="50"/>
      <c r="J5" s="15"/>
      <c r="K5" s="15"/>
      <c r="L5" s="15"/>
      <c r="M5" s="15"/>
      <c r="N5" s="15"/>
      <c r="O5" s="15"/>
      <c r="P5" s="15"/>
    </row>
    <row r="6" spans="1:29" s="43" customFormat="1">
      <c r="A6" s="24"/>
      <c r="B6" s="24"/>
      <c r="C6" s="49"/>
      <c r="D6" s="70"/>
      <c r="F6" s="24"/>
      <c r="G6" s="24"/>
      <c r="H6" s="24"/>
    </row>
    <row r="8" spans="1:29">
      <c r="E8" s="16" t="str">
        <f xml:space="preserve"> Metrics!E$10</f>
        <v>Cash Low</v>
      </c>
      <c r="F8" s="16">
        <f ca="1" xml:space="preserve"> Metrics!$F$10</f>
        <v>-531500.75634385983</v>
      </c>
      <c r="G8" s="16" t="str">
        <f xml:space="preserve"> Metrics!G$10</f>
        <v>GBP</v>
      </c>
      <c r="H8" s="42"/>
      <c r="I8" s="16"/>
      <c r="J8" s="9"/>
      <c r="K8" s="9"/>
      <c r="L8" s="9"/>
      <c r="M8" s="9"/>
      <c r="N8" s="9"/>
      <c r="O8" s="9"/>
      <c r="P8" s="9"/>
      <c r="Q8" s="9"/>
      <c r="R8" s="9"/>
      <c r="S8" s="9"/>
      <c r="T8" s="9"/>
      <c r="U8" s="9"/>
      <c r="V8" s="9"/>
      <c r="W8" s="9"/>
      <c r="X8" s="9"/>
      <c r="Y8" s="9"/>
      <c r="Z8" s="9"/>
      <c r="AA8" s="9"/>
      <c r="AB8" s="9"/>
      <c r="AC8" s="9"/>
    </row>
  </sheetData>
  <conditionalFormatting sqref="F2:F3">
    <cfRule type="cellIs" dxfId="21" priority="1" stopIfTrue="1" operator="notEqual">
      <formula>0</formula>
    </cfRule>
    <cfRule type="cellIs" dxfId="20" priority="2" stopIfTrue="1" operator="equal">
      <formula>""</formula>
    </cfRule>
  </conditionalFormatting>
  <conditionalFormatting sqref="J3:AC3">
    <cfRule type="cellIs" dxfId="19" priority="3" operator="equal">
      <formula>"PPA ext."</formula>
    </cfRule>
    <cfRule type="cellIs" dxfId="18" priority="4" operator="equal">
      <formula>"Delay"</formula>
    </cfRule>
    <cfRule type="cellIs" dxfId="17" priority="5" operator="equal">
      <formula>"Fin Close"</formula>
    </cfRule>
    <cfRule type="cellIs" dxfId="16" priority="6" stopIfTrue="1" operator="equal">
      <formula>"Construction"</formula>
    </cfRule>
    <cfRule type="cellIs" dxfId="15"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4F81BD"/>
    <outlinePr summaryBelow="0" summaryRight="0"/>
  </sheetPr>
  <dimension ref="A1:S8"/>
  <sheetViews>
    <sheetView showGridLines="0" zoomScale="80" workbookViewId="0">
      <pane xSplit="9" ySplit="5" topLeftCell="J6" activePane="bottomRight" state="frozen"/>
      <selection activeCell="J6" sqref="J6"/>
      <selection pane="topRight" activeCell="J6" sqref="J6"/>
      <selection pane="bottomLeft" activeCell="J6" sqref="J6"/>
      <selection pane="bottomRight" activeCell="J6" sqref="J6"/>
    </sheetView>
  </sheetViews>
  <sheetFormatPr defaultColWidth="0" defaultRowHeight="13.15"/>
  <cols>
    <col min="1" max="2" width="1.453125" style="24" customWidth="1"/>
    <col min="3" max="3" width="1.453125" style="49" customWidth="1"/>
    <col min="4" max="4" width="1.453125" style="76" customWidth="1"/>
    <col min="5" max="5" width="23.36328125" bestFit="1" customWidth="1"/>
    <col min="6" max="6" width="20.54296875" bestFit="1" customWidth="1"/>
    <col min="7" max="7" width="13.1796875" bestFit="1" customWidth="1"/>
    <col min="8" max="8" width="7.6328125" style="43" bestFit="1" customWidth="1"/>
    <col min="9" max="9" width="3.453125" customWidth="1"/>
    <col min="10" max="19" width="11.81640625" bestFit="1" customWidth="1"/>
    <col min="20" max="20" width="15.08984375" hidden="1" customWidth="1"/>
    <col min="21" max="16384" width="15.08984375" hidden="1"/>
  </cols>
  <sheetData>
    <row r="1" spans="1:19" s="75" customFormat="1" ht="25.15">
      <c r="A1" s="45" t="str">
        <f ca="1" xml:space="preserve"> RIGHT(CELL("filename", A1), LEN(CELL("filename", A1)) - SEARCH("]", CELL("filename", A1)))</f>
        <v>Metrics Report SemiAnnually</v>
      </c>
      <c r="B1" s="69"/>
      <c r="C1" s="74"/>
      <c r="D1" s="71"/>
      <c r="F1" s="52" t="str">
        <f>HYPERLINK("#Contents!A1","Go to contents")</f>
        <v>Go to contents</v>
      </c>
      <c r="H1" s="47"/>
      <c r="J1" s="47"/>
    </row>
    <row r="2" spans="1:19" s="53" customFormat="1">
      <c r="A2" s="48"/>
      <c r="B2" s="48"/>
      <c r="C2" s="72"/>
      <c r="D2" s="73"/>
      <c r="E2" s="22" t="s">
        <v>324</v>
      </c>
      <c r="F2" s="51">
        <f ca="1" xml:space="preserve"> 'Model Checks and Alerts'!F11</f>
        <v>0</v>
      </c>
      <c r="G2" s="55" t="s">
        <v>143</v>
      </c>
      <c r="H2" s="50"/>
      <c r="I2" s="50"/>
      <c r="J2" s="6">
        <f xml:space="preserve"> Time!J$95</f>
        <v>45230</v>
      </c>
      <c r="K2" s="6">
        <f xml:space="preserve"> Time!K$95</f>
        <v>45412</v>
      </c>
      <c r="L2" s="6">
        <f xml:space="preserve"> Time!L$95</f>
        <v>45596</v>
      </c>
      <c r="M2" s="6">
        <f xml:space="preserve"> Time!M$95</f>
        <v>45777</v>
      </c>
      <c r="N2" s="6">
        <f xml:space="preserve"> Time!N$95</f>
        <v>45961</v>
      </c>
      <c r="O2" s="6">
        <f xml:space="preserve"> Time!O$95</f>
        <v>46142</v>
      </c>
      <c r="P2" s="6">
        <f xml:space="preserve"> Time!P$95</f>
        <v>46326</v>
      </c>
      <c r="Q2" s="6">
        <f xml:space="preserve"> Time!Q$95</f>
        <v>46507</v>
      </c>
      <c r="R2" s="6">
        <f xml:space="preserve"> Time!R$95</f>
        <v>46691</v>
      </c>
      <c r="S2" s="6">
        <f xml:space="preserve"> Time!S$95</f>
        <v>46873</v>
      </c>
    </row>
    <row r="3" spans="1:19" s="34" customFormat="1">
      <c r="A3" s="48"/>
      <c r="B3" s="48"/>
      <c r="C3" s="72"/>
      <c r="D3" s="73"/>
      <c r="E3" s="39" t="s">
        <v>203</v>
      </c>
      <c r="F3" s="51"/>
      <c r="G3" s="55" t="s">
        <v>97</v>
      </c>
      <c r="H3" s="50"/>
      <c r="I3" s="50"/>
      <c r="J3" s="7" t="str">
        <f xml:space="preserve"> Time!J$102</f>
        <v>Month6</v>
      </c>
      <c r="K3" s="7" t="str">
        <f xml:space="preserve"> Time!K$102</f>
        <v>Month12</v>
      </c>
      <c r="L3" s="7" t="str">
        <f xml:space="preserve"> Time!L$102</f>
        <v>Month18</v>
      </c>
      <c r="M3" s="7" t="str">
        <f xml:space="preserve"> Time!M$102</f>
        <v>Month24</v>
      </c>
      <c r="N3" s="7" t="str">
        <f xml:space="preserve"> Time!N$102</f>
        <v>Month30</v>
      </c>
      <c r="O3" s="7" t="str">
        <f xml:space="preserve"> Time!O$102</f>
        <v>Month36</v>
      </c>
      <c r="P3" s="7" t="str">
        <f xml:space="preserve"> Time!P$102</f>
        <v>Month42</v>
      </c>
      <c r="Q3" s="7" t="str">
        <f xml:space="preserve"> Time!Q$102</f>
        <v>Month48</v>
      </c>
      <c r="R3" s="7" t="str">
        <f xml:space="preserve"> Time!R$102</f>
        <v>Month54</v>
      </c>
      <c r="S3" s="7" t="str">
        <f xml:space="preserve"> Time!S$102</f>
        <v>Month60</v>
      </c>
    </row>
    <row r="4" spans="1:19" s="28" customFormat="1">
      <c r="A4" s="48"/>
      <c r="B4" s="48"/>
      <c r="C4" s="72"/>
      <c r="D4" s="73"/>
      <c r="E4" s="22" t="s">
        <v>325</v>
      </c>
      <c r="F4"/>
      <c r="G4"/>
      <c r="H4" s="50"/>
      <c r="I4" s="50"/>
      <c r="J4" s="28">
        <f xml:space="preserve"> Time!J$108</f>
        <v>6</v>
      </c>
      <c r="K4" s="28">
        <f xml:space="preserve"> Time!K$108</f>
        <v>12</v>
      </c>
      <c r="L4" s="28">
        <f xml:space="preserve"> Time!L$108</f>
        <v>18</v>
      </c>
      <c r="M4" s="28">
        <f xml:space="preserve"> Time!M$108</f>
        <v>24</v>
      </c>
      <c r="N4" s="28">
        <f xml:space="preserve"> Time!N$108</f>
        <v>30</v>
      </c>
      <c r="O4" s="28">
        <f xml:space="preserve"> Time!O$108</f>
        <v>36</v>
      </c>
      <c r="P4" s="28">
        <f xml:space="preserve"> Time!P$108</f>
        <v>42</v>
      </c>
      <c r="Q4" s="28">
        <f xml:space="preserve"> Time!Q$108</f>
        <v>48</v>
      </c>
      <c r="R4" s="28">
        <f xml:space="preserve"> Time!R$108</f>
        <v>54</v>
      </c>
      <c r="S4" s="28">
        <f xml:space="preserve"> Time!S$108</f>
        <v>60</v>
      </c>
    </row>
    <row r="5" spans="1:19" s="34" customFormat="1">
      <c r="A5" s="48"/>
      <c r="B5" s="48"/>
      <c r="C5" s="72"/>
      <c r="D5" s="73"/>
      <c r="E5" s="22" t="s">
        <v>305</v>
      </c>
      <c r="F5" s="24" t="s">
        <v>248</v>
      </c>
      <c r="G5" s="24" t="s">
        <v>224</v>
      </c>
      <c r="H5" s="24" t="s">
        <v>202</v>
      </c>
      <c r="I5" s="50"/>
      <c r="J5" s="15"/>
      <c r="K5" s="15"/>
      <c r="L5" s="15"/>
      <c r="M5" s="15"/>
      <c r="N5" s="15"/>
      <c r="O5" s="15"/>
      <c r="P5" s="15"/>
    </row>
    <row r="6" spans="1:19" s="43" customFormat="1">
      <c r="A6" s="24"/>
      <c r="B6" s="24"/>
      <c r="C6" s="49"/>
      <c r="D6" s="70"/>
      <c r="F6" s="24"/>
      <c r="G6" s="24"/>
      <c r="H6" s="24"/>
    </row>
    <row r="8" spans="1:19">
      <c r="E8" s="16" t="str">
        <f xml:space="preserve"> Metrics!E$10</f>
        <v>Cash Low</v>
      </c>
      <c r="F8" s="16">
        <f ca="1" xml:space="preserve"> Metrics!$F$10</f>
        <v>-531500.75634385983</v>
      </c>
      <c r="G8" s="16" t="str">
        <f xml:space="preserve"> Metrics!G$10</f>
        <v>GBP</v>
      </c>
      <c r="H8" s="42"/>
      <c r="I8" s="16"/>
      <c r="J8" s="9"/>
      <c r="K8" s="9"/>
      <c r="L8" s="9"/>
      <c r="M8" s="9"/>
      <c r="N8" s="9"/>
      <c r="O8" s="9"/>
      <c r="P8" s="9"/>
      <c r="Q8" s="9"/>
      <c r="R8" s="9"/>
      <c r="S8" s="9"/>
    </row>
  </sheetData>
  <conditionalFormatting sqref="F2:F3">
    <cfRule type="cellIs" dxfId="14" priority="1" stopIfTrue="1" operator="notEqual">
      <formula>0</formula>
    </cfRule>
    <cfRule type="cellIs" dxfId="13" priority="2" stopIfTrue="1" operator="equal">
      <formula>""</formula>
    </cfRule>
  </conditionalFormatting>
  <conditionalFormatting sqref="J3:S3">
    <cfRule type="cellIs" dxfId="12" priority="3" operator="equal">
      <formula>"PPA ext."</formula>
    </cfRule>
    <cfRule type="cellIs" dxfId="11" priority="4" operator="equal">
      <formula>"Delay"</formula>
    </cfRule>
    <cfRule type="cellIs" dxfId="10" priority="5" operator="equal">
      <formula>"Fin Close"</formula>
    </cfRule>
    <cfRule type="cellIs" dxfId="9" priority="6" stopIfTrue="1" operator="equal">
      <formula>"Construction"</formula>
    </cfRule>
    <cfRule type="cellIs" dxfId="8" priority="7" stopIfTrue="1" operator="equal">
      <formula>"Operations"</formula>
    </cfRule>
  </conditionalFormatting>
  <pageMargins left="0.7" right="0.7" top="0.75" bottom="0.75" header="0.3" footer="0.3"/>
  <customProperties>
    <customPr name="MMGroup" r:id="rId1"/>
    <customPr name="MMSheetType" r:id="rId2"/>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4F81BD"/>
    <outlinePr summaryBelow="0" summaryRight="0"/>
  </sheetPr>
  <dimension ref="A1:P6"/>
  <sheetViews>
    <sheetView showGridLines="0" zoomScale="80" workbookViewId="0">
      <selection activeCell="E2" sqref="E2:E5"/>
    </sheetView>
  </sheetViews>
  <sheetFormatPr defaultColWidth="0" defaultRowHeight="13.15"/>
  <cols>
    <col min="1" max="2" width="1.453125" style="24" customWidth="1"/>
    <col min="3" max="3" width="1.453125" style="49" customWidth="1"/>
    <col min="4" max="4" width="1.453125" style="76" customWidth="1"/>
    <col min="5" max="5" width="71.453125" customWidth="1"/>
    <col min="6" max="6" width="16.36328125" customWidth="1"/>
    <col min="7" max="7" width="15.08984375" customWidth="1"/>
    <col min="8" max="8" width="15.08984375" style="43" customWidth="1"/>
    <col min="9" max="9" width="3.453125" customWidth="1"/>
    <col min="10" max="16" width="15.08984375" customWidth="1"/>
    <col min="17" max="17" width="15.08984375" hidden="1" customWidth="1"/>
    <col min="18" max="16384" width="15.08984375" hidden="1"/>
  </cols>
  <sheetData>
    <row r="1" spans="1:16" s="75" customFormat="1" ht="25.15">
      <c r="A1" s="45" t="str">
        <f ca="1" xml:space="preserve"> RIGHT(CELL("filename", A1), LEN(CELL("filename", A1)) - SEARCH("]", CELL("filename", A1)))</f>
        <v>Results Table</v>
      </c>
      <c r="B1" s="69"/>
      <c r="C1" s="74"/>
      <c r="D1" s="71"/>
      <c r="F1" s="52" t="str">
        <f>HYPERLINK("#Contents!A1","Go to contents")</f>
        <v>Go to contents</v>
      </c>
      <c r="H1" s="47"/>
      <c r="J1" s="47"/>
    </row>
    <row r="2" spans="1:16" s="53" customFormat="1">
      <c r="A2" s="48"/>
      <c r="B2" s="48"/>
      <c r="C2" s="72"/>
      <c r="D2" s="73"/>
      <c r="E2" s="22" t="s">
        <v>324</v>
      </c>
      <c r="F2" s="51">
        <f ca="1" xml:space="preserve"> 'Model Checks and Alerts'!F11</f>
        <v>0</v>
      </c>
      <c r="G2" s="55" t="s">
        <v>143</v>
      </c>
      <c r="H2" s="50"/>
      <c r="I2" s="50"/>
      <c r="J2" s="6"/>
      <c r="K2" s="6"/>
      <c r="L2" s="6"/>
      <c r="M2" s="6"/>
      <c r="N2" s="6"/>
      <c r="O2" s="6"/>
      <c r="P2" s="6"/>
    </row>
    <row r="3" spans="1:16" s="34" customFormat="1">
      <c r="A3" s="48"/>
      <c r="B3" s="48"/>
      <c r="C3" s="72"/>
      <c r="D3" s="73"/>
      <c r="E3" s="39" t="s">
        <v>203</v>
      </c>
      <c r="F3" s="51"/>
      <c r="G3" s="55" t="s">
        <v>97</v>
      </c>
      <c r="H3" s="50"/>
      <c r="I3" s="50"/>
      <c r="J3" s="7"/>
      <c r="K3" s="7"/>
      <c r="L3" s="7"/>
      <c r="M3" s="7"/>
      <c r="N3" s="7"/>
      <c r="O3" s="7"/>
      <c r="P3" s="7"/>
    </row>
    <row r="4" spans="1:16" s="28" customFormat="1">
      <c r="A4" s="48"/>
      <c r="B4" s="48"/>
      <c r="C4" s="72"/>
      <c r="D4" s="73"/>
      <c r="E4" s="22" t="s">
        <v>325</v>
      </c>
      <c r="F4"/>
      <c r="G4"/>
      <c r="H4" s="50"/>
      <c r="I4" s="50"/>
    </row>
    <row r="5" spans="1:16" s="34" customFormat="1">
      <c r="A5" s="48"/>
      <c r="B5" s="48"/>
      <c r="C5" s="72"/>
      <c r="D5" s="73"/>
      <c r="E5" s="22" t="s">
        <v>305</v>
      </c>
      <c r="F5" s="24"/>
      <c r="G5" s="24" t="s">
        <v>224</v>
      </c>
      <c r="H5" s="24"/>
      <c r="I5" s="50"/>
      <c r="J5" s="15"/>
      <c r="K5" s="15"/>
      <c r="L5" s="15"/>
      <c r="M5" s="15"/>
      <c r="N5" s="15"/>
      <c r="O5" s="15"/>
      <c r="P5" s="15"/>
    </row>
    <row r="6" spans="1:16" s="43" customFormat="1">
      <c r="A6" s="24"/>
      <c r="B6" s="24"/>
      <c r="C6" s="49"/>
      <c r="D6" s="70"/>
      <c r="F6" s="24"/>
      <c r="G6" s="24"/>
      <c r="H6" s="24"/>
    </row>
  </sheetData>
  <conditionalFormatting sqref="F2:F3">
    <cfRule type="cellIs" dxfId="7" priority="1" stopIfTrue="1" operator="notEqual">
      <formula>0</formula>
    </cfRule>
    <cfRule type="cellIs" dxfId="6" priority="2" stopIfTrue="1" operator="equal">
      <formula>""</formula>
    </cfRule>
  </conditionalFormatting>
  <conditionalFormatting sqref="J3:P3">
    <cfRule type="cellIs" dxfId="5" priority="3" operator="equal">
      <formula>"PPA ext."</formula>
    </cfRule>
    <cfRule type="cellIs" dxfId="4" priority="4" operator="equal">
      <formula>"Delay"</formula>
    </cfRule>
    <cfRule type="cellIs" dxfId="3" priority="5" operator="equal">
      <formula>"Fin Close"</formula>
    </cfRule>
    <cfRule type="cellIs" dxfId="2" priority="6" stopIfTrue="1" operator="equal">
      <formula>"Construction"</formula>
    </cfRule>
    <cfRule type="cellIs" dxfId="1" priority="7" stopIfTrue="1" operator="equal">
      <formula>"Operations"</formula>
    </cfRule>
  </conditionalFormatting>
  <pageMargins left="0.7" right="0.7" top="0.75" bottom="0.75" header="0.3" footer="0.3"/>
  <customProperties>
    <customPr name="MMSheetType"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4F81BD"/>
    <outlinePr summaryBelow="0" summaryRight="0"/>
  </sheetPr>
  <dimension ref="A1:R25"/>
  <sheetViews>
    <sheetView showGridLines="0" defaultGridColor="0" colorId="22" zoomScale="110" workbookViewId="0">
      <pane xSplit="9" ySplit="5" topLeftCell="J6" activePane="bottomRight" state="frozen"/>
      <selection activeCell="J6" sqref="J6"/>
      <selection pane="topRight" activeCell="J6" sqref="J6"/>
      <selection pane="bottomLeft" activeCell="J6" sqref="J6"/>
      <selection pane="bottomRight" activeCell="J2" sqref="J2"/>
    </sheetView>
  </sheetViews>
  <sheetFormatPr defaultColWidth="0" defaultRowHeight="13.15" outlineLevelRow="1"/>
  <cols>
    <col min="1" max="2" width="1.453125" style="142" customWidth="1"/>
    <col min="3" max="3" width="1.453125" style="174" customWidth="1"/>
    <col min="4" max="4" width="1.453125" style="145" customWidth="1"/>
    <col min="5" max="5" width="47.36328125" style="46" customWidth="1"/>
    <col min="6" max="6" width="14.6328125" style="46" customWidth="1"/>
    <col min="7" max="7" width="13.453125" style="46" customWidth="1"/>
    <col min="8" max="8" width="14.6328125" style="46" customWidth="1"/>
    <col min="9" max="9" width="3" style="107" customWidth="1"/>
    <col min="10" max="10" width="5.36328125" style="132" customWidth="1"/>
    <col min="11" max="11" width="13.453125" style="179" customWidth="1"/>
    <col min="12" max="12" width="13.453125" style="231" customWidth="1"/>
    <col min="13" max="13" width="0.453125" style="116" customWidth="1"/>
    <col min="14" max="16" width="14.6328125" style="39" customWidth="1"/>
    <col min="17" max="17" width="0.453125" style="116" customWidth="1"/>
    <col min="18" max="18" width="9.08984375" style="118" hidden="1" customWidth="1"/>
    <col min="19" max="19" width="10.453125" style="118" hidden="1" customWidth="1"/>
    <col min="20" max="16384" width="10.453125" style="118" hidden="1"/>
  </cols>
  <sheetData>
    <row r="1" spans="1:17" ht="25.15">
      <c r="A1" s="270" t="s">
        <v>92</v>
      </c>
      <c r="B1" s="218"/>
      <c r="C1" s="255"/>
      <c r="D1" s="261"/>
      <c r="E1" s="68"/>
      <c r="F1" s="245"/>
      <c r="G1" s="68"/>
      <c r="H1" s="68"/>
      <c r="I1" s="264"/>
      <c r="J1" s="219"/>
      <c r="K1" s="277"/>
      <c r="L1" s="279"/>
      <c r="N1" s="155"/>
      <c r="O1" s="155"/>
      <c r="P1" s="155"/>
    </row>
    <row r="2" spans="1:17">
      <c r="A2" s="221"/>
      <c r="B2" s="104"/>
      <c r="C2" s="129"/>
      <c r="E2" s="223"/>
      <c r="F2" s="118"/>
      <c r="G2" s="118" t="s">
        <v>285</v>
      </c>
      <c r="H2" s="228">
        <f ca="1" xml:space="preserve"> TODAY()</f>
        <v>45161</v>
      </c>
      <c r="J2" s="250">
        <f xml:space="preserve"> COUNTIF(J6:J24, "tu")</f>
        <v>0</v>
      </c>
      <c r="N2" s="147"/>
      <c r="O2" s="147"/>
      <c r="P2" s="147"/>
    </row>
    <row r="3" spans="1:17" s="179" customFormat="1" ht="12.75">
      <c r="A3" s="96"/>
      <c r="B3" s="96"/>
      <c r="C3" s="129"/>
      <c r="D3" s="145"/>
      <c r="E3" s="223"/>
      <c r="G3" s="179" t="s">
        <v>44</v>
      </c>
      <c r="H3" s="251" t="s">
        <v>226</v>
      </c>
      <c r="I3" s="129"/>
      <c r="J3" s="284"/>
      <c r="K3" s="199"/>
      <c r="L3" s="173"/>
      <c r="M3" s="195"/>
      <c r="N3" s="139"/>
      <c r="O3" s="139"/>
      <c r="P3" s="139"/>
      <c r="Q3" s="195"/>
    </row>
    <row r="4" spans="1:17">
      <c r="A4" s="104"/>
      <c r="B4" s="104"/>
      <c r="C4" s="129"/>
      <c r="E4" s="125"/>
      <c r="F4" s="118"/>
      <c r="G4" s="118"/>
      <c r="H4" s="249"/>
      <c r="I4" s="129"/>
      <c r="J4" s="284"/>
      <c r="N4" s="125"/>
      <c r="O4" s="125"/>
      <c r="P4" s="125"/>
    </row>
    <row r="5" spans="1:17">
      <c r="A5" s="104"/>
      <c r="B5" s="104"/>
      <c r="C5" s="129"/>
      <c r="D5" s="125"/>
      <c r="E5" s="96" t="s">
        <v>225</v>
      </c>
      <c r="F5" s="124"/>
      <c r="G5" s="234" t="s">
        <v>224</v>
      </c>
      <c r="H5" s="283">
        <v>1</v>
      </c>
      <c r="I5" s="96"/>
      <c r="J5" s="133">
        <f xml:space="preserve"> MATCH($H$5, M5:Q5, 0)</f>
        <v>2</v>
      </c>
      <c r="K5" s="199" t="s">
        <v>204</v>
      </c>
      <c r="L5" s="173" t="s">
        <v>119</v>
      </c>
      <c r="N5" s="146">
        <v>1</v>
      </c>
      <c r="O5" s="146">
        <v>2</v>
      </c>
      <c r="P5" s="146">
        <v>3</v>
      </c>
    </row>
    <row r="6" spans="1:17" s="252" customFormat="1">
      <c r="A6" s="178"/>
      <c r="B6" s="178"/>
      <c r="C6" s="227"/>
      <c r="D6" s="286"/>
      <c r="E6" s="241" t="s">
        <v>181</v>
      </c>
      <c r="F6" s="226"/>
      <c r="G6" s="114"/>
      <c r="H6" s="114"/>
      <c r="I6" s="114"/>
      <c r="J6" s="203"/>
      <c r="K6" s="230"/>
      <c r="L6" s="119"/>
      <c r="M6" s="116"/>
      <c r="N6" s="114"/>
      <c r="O6" s="114"/>
      <c r="P6" s="114"/>
      <c r="Q6" s="116"/>
    </row>
    <row r="7" spans="1:17" s="222" customFormat="1">
      <c r="A7" s="104"/>
      <c r="B7" s="104"/>
      <c r="C7" s="129"/>
      <c r="D7" s="124"/>
      <c r="E7" s="248"/>
      <c r="F7" s="202"/>
      <c r="G7" s="107"/>
      <c r="H7" s="107"/>
      <c r="I7" s="107"/>
      <c r="J7" s="133"/>
      <c r="K7" s="243"/>
      <c r="L7" s="172"/>
      <c r="M7" s="116"/>
      <c r="N7" s="107"/>
      <c r="O7" s="107"/>
      <c r="P7" s="107"/>
      <c r="Q7" s="116"/>
    </row>
    <row r="8" spans="1:17" s="222" customFormat="1">
      <c r="A8" s="104" t="s">
        <v>249</v>
      </c>
      <c r="B8" s="104"/>
      <c r="C8" s="129"/>
      <c r="D8" s="124"/>
      <c r="E8" s="107"/>
      <c r="F8" s="202"/>
      <c r="G8" s="107"/>
      <c r="H8" s="107"/>
      <c r="I8" s="107"/>
      <c r="J8" s="194"/>
      <c r="K8" s="232"/>
      <c r="L8" s="108"/>
      <c r="M8" s="116"/>
      <c r="N8" s="96"/>
      <c r="O8" s="96"/>
      <c r="P8" s="96"/>
      <c r="Q8" s="246"/>
    </row>
    <row r="9" spans="1:17" outlineLevel="1">
      <c r="A9" s="104"/>
      <c r="B9" s="104"/>
      <c r="C9" s="129"/>
      <c r="D9" s="124"/>
      <c r="L9" s="134"/>
      <c r="N9" s="117"/>
      <c r="O9" s="117"/>
      <c r="P9" s="117"/>
    </row>
    <row r="10" spans="1:17" s="134" customFormat="1" outlineLevel="1">
      <c r="A10" s="131"/>
      <c r="B10" s="131"/>
      <c r="C10" s="108"/>
      <c r="D10" s="108"/>
      <c r="E10" s="113"/>
      <c r="F10" s="192"/>
      <c r="G10" s="113"/>
      <c r="H10" s="113"/>
      <c r="I10" s="159"/>
      <c r="J10" s="194" t="s">
        <v>156</v>
      </c>
      <c r="K10" s="108">
        <f t="shared" ref="K10:K13" si="0" xml:space="preserve"> H10 - INDEX(M10:Q10, $J$5)</f>
        <v>0</v>
      </c>
      <c r="L10" s="108">
        <v>0</v>
      </c>
      <c r="M10" s="119"/>
      <c r="N10" s="115"/>
      <c r="O10" s="115"/>
      <c r="P10" s="115"/>
      <c r="Q10" s="119"/>
    </row>
    <row r="11" spans="1:17" s="208" customFormat="1" outlineLevel="1">
      <c r="A11" s="167"/>
      <c r="B11" s="167"/>
      <c r="C11" s="151"/>
      <c r="D11" s="151"/>
      <c r="E11" s="153"/>
      <c r="F11" s="256"/>
      <c r="G11" s="153"/>
      <c r="H11" s="153"/>
      <c r="I11" s="247"/>
      <c r="J11" s="194" t="s">
        <v>156</v>
      </c>
      <c r="K11" s="151">
        <f t="shared" si="0"/>
        <v>0</v>
      </c>
      <c r="L11" s="108">
        <v>0</v>
      </c>
      <c r="M11" s="184"/>
      <c r="N11" s="149"/>
      <c r="O11" s="149"/>
      <c r="P11" s="149"/>
      <c r="Q11" s="184"/>
    </row>
    <row r="12" spans="1:17" s="208" customFormat="1" outlineLevel="1">
      <c r="A12" s="167"/>
      <c r="B12" s="167"/>
      <c r="C12" s="151"/>
      <c r="D12" s="151"/>
      <c r="E12" s="153"/>
      <c r="F12" s="256"/>
      <c r="G12" s="153"/>
      <c r="H12" s="153"/>
      <c r="I12" s="247"/>
      <c r="J12" s="194" t="s">
        <v>156</v>
      </c>
      <c r="K12" s="151">
        <f t="shared" si="0"/>
        <v>0</v>
      </c>
      <c r="L12" s="108">
        <v>0</v>
      </c>
      <c r="M12" s="184"/>
      <c r="N12" s="149"/>
      <c r="O12" s="149"/>
      <c r="P12" s="149"/>
      <c r="Q12" s="184"/>
    </row>
    <row r="13" spans="1:17" s="134" customFormat="1" outlineLevel="1">
      <c r="A13" s="131"/>
      <c r="B13" s="131"/>
      <c r="C13" s="108"/>
      <c r="D13" s="108"/>
      <c r="E13" s="113"/>
      <c r="F13" s="192"/>
      <c r="G13" s="113"/>
      <c r="H13" s="113"/>
      <c r="I13" s="159"/>
      <c r="J13" s="194" t="s">
        <v>156</v>
      </c>
      <c r="K13" s="108">
        <f t="shared" si="0"/>
        <v>0</v>
      </c>
      <c r="L13" s="108">
        <v>0</v>
      </c>
      <c r="M13" s="119"/>
      <c r="N13" s="115"/>
      <c r="O13" s="115"/>
      <c r="P13" s="115"/>
      <c r="Q13" s="119"/>
    </row>
    <row r="14" spans="1:17" outlineLevel="1">
      <c r="A14" s="104"/>
      <c r="B14" s="104"/>
      <c r="C14" s="96"/>
      <c r="D14" s="124"/>
      <c r="E14" s="107"/>
      <c r="F14" s="202"/>
      <c r="G14" s="272"/>
      <c r="H14" s="172"/>
      <c r="I14" s="220"/>
      <c r="L14" s="134"/>
      <c r="M14" s="177"/>
      <c r="N14" s="117"/>
      <c r="O14" s="117"/>
      <c r="P14" s="117"/>
      <c r="Q14" s="177"/>
    </row>
    <row r="15" spans="1:17">
      <c r="A15" s="157"/>
      <c r="B15" s="157"/>
      <c r="C15" s="275"/>
      <c r="D15" s="258"/>
      <c r="E15" s="135"/>
      <c r="F15" s="135"/>
      <c r="G15" s="135"/>
      <c r="H15" s="289"/>
      <c r="I15" s="96"/>
      <c r="L15" s="134"/>
      <c r="M15" s="171"/>
      <c r="N15" s="117"/>
      <c r="O15" s="117"/>
      <c r="P15" s="117"/>
      <c r="Q15" s="171"/>
    </row>
    <row r="16" spans="1:17">
      <c r="A16" s="157"/>
      <c r="B16" s="157"/>
      <c r="C16" s="275"/>
      <c r="D16" s="258"/>
      <c r="E16" s="135"/>
      <c r="F16" s="135"/>
      <c r="G16" s="135"/>
      <c r="H16" s="289"/>
      <c r="I16" s="96"/>
      <c r="L16" s="134"/>
      <c r="M16" s="171"/>
      <c r="N16" s="117"/>
      <c r="O16" s="117"/>
      <c r="P16" s="117"/>
      <c r="Q16" s="171"/>
    </row>
    <row r="17" spans="1:17" s="266" customFormat="1" outlineLevel="1">
      <c r="A17" s="124"/>
      <c r="B17" s="157"/>
      <c r="C17" s="96"/>
      <c r="D17" s="96"/>
      <c r="E17" s="122"/>
      <c r="F17" s="122"/>
      <c r="G17" s="122"/>
      <c r="H17" s="122"/>
      <c r="I17" s="122"/>
      <c r="J17" s="271"/>
      <c r="L17" s="268"/>
      <c r="M17" s="191"/>
      <c r="N17" s="150"/>
      <c r="O17" s="150"/>
      <c r="P17" s="150"/>
      <c r="Q17" s="191"/>
    </row>
    <row r="18" spans="1:17" s="152" customFormat="1">
      <c r="A18" s="124"/>
      <c r="B18" s="157"/>
      <c r="C18" s="96"/>
      <c r="D18" s="96"/>
      <c r="E18" s="122"/>
      <c r="F18" s="122"/>
      <c r="G18" s="122"/>
      <c r="H18" s="122"/>
      <c r="I18" s="122"/>
      <c r="J18" s="132"/>
      <c r="L18" s="189"/>
      <c r="M18" s="206"/>
      <c r="N18" s="150"/>
      <c r="O18" s="150"/>
      <c r="P18" s="150"/>
      <c r="Q18" s="206"/>
    </row>
    <row r="19" spans="1:17" s="207" customFormat="1">
      <c r="A19" s="104" t="s">
        <v>323</v>
      </c>
      <c r="B19" s="96"/>
      <c r="C19" s="96"/>
      <c r="D19" s="96"/>
      <c r="E19" s="102"/>
      <c r="F19" s="196"/>
      <c r="G19" s="102"/>
      <c r="H19" s="102"/>
      <c r="I19" s="102"/>
      <c r="J19" s="133"/>
      <c r="L19" s="212"/>
      <c r="M19" s="206"/>
      <c r="N19" s="154"/>
      <c r="O19" s="154"/>
      <c r="P19" s="154"/>
      <c r="Q19" s="206"/>
    </row>
    <row r="20" spans="1:17" s="152" customFormat="1" outlineLevel="1">
      <c r="A20" s="190"/>
      <c r="B20" s="190"/>
      <c r="C20" s="225"/>
      <c r="D20" s="253"/>
      <c r="E20" s="216" t="s">
        <v>144</v>
      </c>
      <c r="F20" s="82"/>
      <c r="G20" s="239"/>
      <c r="H20" s="240">
        <f ca="1" xml:space="preserve"> NOW()</f>
        <v>45161.563785069447</v>
      </c>
      <c r="I20" s="102"/>
      <c r="J20" s="132"/>
      <c r="K20" s="207"/>
      <c r="L20" s="212"/>
      <c r="M20" s="206"/>
      <c r="N20" s="156"/>
      <c r="O20" s="156"/>
      <c r="P20" s="156"/>
      <c r="Q20" s="206"/>
    </row>
    <row r="21" spans="1:17" s="152" customFormat="1" outlineLevel="1">
      <c r="A21" s="104"/>
      <c r="B21" s="104"/>
      <c r="C21" s="129"/>
      <c r="D21" s="96"/>
      <c r="E21" s="22" t="s">
        <v>268</v>
      </c>
      <c r="F21" s="82"/>
      <c r="G21" s="22"/>
      <c r="H21" s="259" t="str">
        <f ca="1" xml:space="preserve"> MID(CELL("filename",$A$1), SEARCH("[", CELL("filename",$A$1)) + 1, SEARCH("]", CELL("filename",$A$1)) - SEARCH("[", CELL("filename",$A$1)) - 1)</f>
        <v>Aquarateold2.xlsx</v>
      </c>
      <c r="I21" s="102"/>
      <c r="J21" s="132"/>
      <c r="K21" s="207"/>
      <c r="L21" s="212"/>
      <c r="M21" s="206"/>
      <c r="N21" s="140"/>
      <c r="O21" s="140"/>
      <c r="P21" s="140"/>
      <c r="Q21" s="206"/>
    </row>
    <row r="22" spans="1:17" s="152" customFormat="1" outlineLevel="1">
      <c r="A22" s="104"/>
      <c r="B22" s="104"/>
      <c r="C22" s="129"/>
      <c r="D22" s="124"/>
      <c r="E22" s="262"/>
      <c r="F22" s="196"/>
      <c r="G22" s="102"/>
      <c r="H22" s="102"/>
      <c r="I22" s="102"/>
      <c r="J22" s="133"/>
      <c r="K22" s="207"/>
      <c r="L22" s="212"/>
      <c r="M22" s="206"/>
      <c r="N22" s="102"/>
      <c r="O22" s="102"/>
      <c r="P22" s="102"/>
      <c r="Q22" s="206"/>
    </row>
    <row r="23" spans="1:17" s="152" customFormat="1">
      <c r="A23" s="104"/>
      <c r="B23" s="104"/>
      <c r="C23" s="129"/>
      <c r="D23" s="124"/>
      <c r="E23" s="262"/>
      <c r="F23" s="196"/>
      <c r="G23" s="102"/>
      <c r="H23" s="102"/>
      <c r="I23" s="102"/>
      <c r="J23" s="133"/>
      <c r="K23" s="207"/>
      <c r="L23" s="212"/>
      <c r="M23" s="206"/>
      <c r="N23" s="102"/>
      <c r="O23" s="102"/>
      <c r="P23" s="102"/>
      <c r="Q23" s="206"/>
    </row>
    <row r="24" spans="1:17" s="280" customFormat="1">
      <c r="A24" s="197"/>
      <c r="B24" s="197"/>
      <c r="C24" s="217"/>
      <c r="D24" s="290"/>
      <c r="E24" s="229" t="s">
        <v>181</v>
      </c>
      <c r="F24" s="236"/>
      <c r="G24" s="204"/>
      <c r="H24" s="204"/>
      <c r="I24" s="278"/>
      <c r="J24" s="203" t="s">
        <v>67</v>
      </c>
      <c r="L24" s="276"/>
      <c r="M24" s="206"/>
      <c r="N24" s="141"/>
      <c r="O24" s="141"/>
      <c r="P24" s="141"/>
      <c r="Q24" s="206"/>
    </row>
    <row r="25" spans="1:17" s="152" customFormat="1">
      <c r="A25" s="142"/>
      <c r="B25" s="142"/>
      <c r="C25" s="174"/>
      <c r="D25" s="145"/>
      <c r="E25" s="22"/>
      <c r="F25" s="22"/>
      <c r="G25" s="22"/>
      <c r="H25" s="22"/>
      <c r="I25" s="102"/>
      <c r="J25" s="132"/>
      <c r="L25" s="189"/>
      <c r="M25" s="206"/>
      <c r="N25" s="22"/>
      <c r="O25" s="22"/>
      <c r="P25" s="22"/>
      <c r="Q25" s="206"/>
    </row>
  </sheetData>
  <conditionalFormatting sqref="J8 J10:J13">
    <cfRule type="cellIs" dxfId="0" priority="11" operator="equal">
      <formula>"tu"</formula>
    </cfRule>
  </conditionalFormatting>
  <printOptions gridLines="1"/>
  <pageMargins left="0.74803149606299213" right="0.74803149606299213" top="0.98425196850393704" bottom="0.98425196850393704" header="0.51181102362204722" footer="0.51181102362204722"/>
  <pageSetup paperSize="9" scale="55" orientation="landscape" blackAndWhite="1"/>
  <headerFooter>
    <oddHeader>&amp;LPROJECT YAHSAT&amp;CSheet:&amp;A&amp;RSTRICTLY CONFIDENTIAL</oddHeader>
    <oddFooter>&amp;L&amp;F ( Printed on &amp;D at &amp;T )&amp;RPage &amp;P of &amp;N</oddFooter>
  </headerFooter>
  <customProperties>
    <customPr name="MMSheetType"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BC338"/>
  <sheetViews>
    <sheetView showGridLines="0" workbookViewId="0">
      <selection activeCell="G11" sqref="G11"/>
    </sheetView>
  </sheetViews>
  <sheetFormatPr defaultColWidth="0" defaultRowHeight="10.15"/>
  <cols>
    <col min="1" max="1" width="19.453125" style="128" customWidth="1"/>
    <col min="2" max="2" width="42.36328125" style="128" customWidth="1"/>
    <col min="3" max="3" width="47.81640625" style="128" customWidth="1"/>
    <col min="4" max="4" width="21" style="128" bestFit="1" customWidth="1"/>
    <col min="5" max="5" width="18.6328125" style="128" bestFit="1" customWidth="1"/>
    <col min="6" max="6" width="19.81640625" style="128" bestFit="1" customWidth="1"/>
    <col min="7" max="7" width="23.453125" style="128" bestFit="1" customWidth="1"/>
    <col min="8" max="8" width="104" style="128" customWidth="1"/>
    <col min="9" max="26" width="9.36328125" style="128" customWidth="1"/>
    <col min="27" max="55" width="9.08984375" style="128" hidden="1" customWidth="1"/>
    <col min="56" max="56" width="9.36328125" style="128" hidden="1" customWidth="1"/>
    <col min="57" max="16384" width="9.36328125" style="128" hidden="1"/>
  </cols>
  <sheetData>
    <row r="1" spans="1:55" ht="25.15">
      <c r="A1" s="45" t="str">
        <f ca="1" xml:space="preserve"> RIGHT(CELL("filename", A1), LEN(CELL("filename", A1)) - SEARCH("]", CELL("filename", A1)))</f>
        <v>Issues</v>
      </c>
    </row>
    <row r="5" spans="1:55" ht="17.649999999999999">
      <c r="A5" s="26" t="s">
        <v>45</v>
      </c>
      <c r="B5" s="26" t="s">
        <v>158</v>
      </c>
      <c r="C5" s="26" t="s">
        <v>228</v>
      </c>
      <c r="D5" s="26" t="s">
        <v>46</v>
      </c>
      <c r="E5" s="26" t="s">
        <v>1</v>
      </c>
      <c r="F5" s="26" t="s">
        <v>145</v>
      </c>
      <c r="G5" s="26" t="s">
        <v>95</v>
      </c>
      <c r="H5" s="26" t="s">
        <v>96</v>
      </c>
      <c r="I5" s="26"/>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row>
    <row r="6" spans="1:55" ht="12.75">
      <c r="A6" s="43"/>
      <c r="B6" s="43"/>
      <c r="C6" s="43"/>
      <c r="D6" s="237"/>
      <c r="E6" s="43"/>
      <c r="F6" s="43"/>
      <c r="G6" s="43"/>
      <c r="H6" s="43"/>
      <c r="I6" s="201"/>
      <c r="J6" s="201"/>
    </row>
    <row r="7" spans="1:55" ht="12.75">
      <c r="A7" s="43"/>
      <c r="B7" s="43"/>
      <c r="C7" s="43"/>
      <c r="D7" s="43"/>
      <c r="E7" s="43"/>
      <c r="F7" s="43"/>
      <c r="G7" s="43"/>
      <c r="H7" s="43"/>
      <c r="I7" s="201"/>
      <c r="J7" s="201"/>
    </row>
    <row r="8" spans="1:55" ht="12.75">
      <c r="A8" s="43"/>
      <c r="B8" s="43"/>
      <c r="C8" s="43"/>
      <c r="D8" s="43"/>
      <c r="E8" s="43"/>
      <c r="F8" s="43"/>
      <c r="G8" s="43"/>
      <c r="H8" s="43"/>
      <c r="I8" s="201"/>
      <c r="J8" s="201"/>
    </row>
    <row r="9" spans="1:55" ht="12.75">
      <c r="A9" s="43"/>
      <c r="B9" s="43"/>
      <c r="C9" s="43"/>
      <c r="D9" s="43"/>
      <c r="E9" s="43"/>
      <c r="F9" s="43"/>
      <c r="G9" s="43"/>
      <c r="H9" s="43"/>
      <c r="I9" s="201"/>
      <c r="J9" s="201"/>
    </row>
    <row r="10" spans="1:55" ht="12.75">
      <c r="A10" s="43"/>
      <c r="B10" s="43"/>
      <c r="C10" s="43"/>
      <c r="D10" s="43"/>
      <c r="E10" s="43"/>
      <c r="F10" s="43"/>
      <c r="G10" s="43"/>
      <c r="H10" s="43"/>
      <c r="I10" s="201"/>
      <c r="J10" s="201"/>
    </row>
    <row r="11" spans="1:55" ht="12.75">
      <c r="A11" s="43"/>
      <c r="B11" s="43"/>
      <c r="C11" s="43"/>
      <c r="D11" s="43"/>
      <c r="E11" s="43"/>
      <c r="F11" s="43"/>
      <c r="G11" s="43"/>
      <c r="H11" s="43"/>
      <c r="I11" s="201"/>
      <c r="J11" s="201"/>
    </row>
    <row r="12" spans="1:55" ht="12.75">
      <c r="A12" s="43"/>
      <c r="B12" s="43"/>
      <c r="C12" s="43"/>
      <c r="D12" s="43"/>
      <c r="E12" s="43"/>
      <c r="F12" s="43"/>
      <c r="G12" s="43"/>
      <c r="H12" s="43"/>
      <c r="I12" s="201"/>
      <c r="J12" s="201"/>
    </row>
    <row r="13" spans="1:55" ht="12.75">
      <c r="A13" s="43"/>
      <c r="B13" s="43"/>
      <c r="C13" s="43"/>
      <c r="D13" s="43"/>
      <c r="E13" s="43"/>
      <c r="F13" s="43"/>
      <c r="G13" s="43"/>
      <c r="H13" s="43"/>
      <c r="I13" s="201"/>
      <c r="J13" s="201"/>
    </row>
    <row r="14" spans="1:55" ht="12.75">
      <c r="A14" s="43"/>
      <c r="B14" s="43"/>
      <c r="C14" s="43"/>
      <c r="D14" s="43"/>
      <c r="E14" s="43"/>
      <c r="F14" s="43"/>
      <c r="G14" s="43"/>
      <c r="H14" s="43"/>
      <c r="I14" s="201"/>
      <c r="J14" s="201"/>
    </row>
    <row r="15" spans="1:55" ht="12.75">
      <c r="A15" s="43"/>
      <c r="B15" s="43"/>
      <c r="C15" s="43"/>
      <c r="D15" s="43"/>
      <c r="E15" s="43"/>
      <c r="F15" s="43"/>
      <c r="G15" s="43"/>
      <c r="H15" s="43"/>
      <c r="I15" s="201"/>
      <c r="J15" s="201"/>
    </row>
    <row r="16" spans="1:55" ht="12.75">
      <c r="A16" s="43"/>
      <c r="B16" s="43"/>
      <c r="C16" s="43"/>
      <c r="D16" s="43"/>
      <c r="E16" s="43"/>
      <c r="F16" s="43"/>
      <c r="G16" s="43"/>
      <c r="H16" s="43"/>
      <c r="I16" s="201"/>
      <c r="J16" s="201"/>
    </row>
    <row r="17" spans="1:10" ht="12.75">
      <c r="A17" s="43"/>
      <c r="B17" s="43"/>
      <c r="C17" s="43"/>
      <c r="D17" s="43"/>
      <c r="E17" s="43"/>
      <c r="F17" s="43"/>
      <c r="G17" s="43"/>
      <c r="H17" s="43"/>
      <c r="I17" s="201"/>
      <c r="J17" s="201"/>
    </row>
    <row r="18" spans="1:10" ht="12.75">
      <c r="A18" s="43"/>
      <c r="B18" s="43"/>
      <c r="C18" s="43"/>
      <c r="D18" s="43"/>
      <c r="E18" s="43"/>
      <c r="F18" s="43"/>
      <c r="G18" s="43"/>
      <c r="H18" s="43"/>
      <c r="I18" s="201"/>
      <c r="J18" s="201"/>
    </row>
    <row r="19" spans="1:10" ht="12.75">
      <c r="A19" s="43"/>
      <c r="B19" s="43"/>
      <c r="C19" s="43"/>
      <c r="D19" s="43"/>
      <c r="E19" s="43"/>
      <c r="F19" s="43"/>
      <c r="G19" s="43"/>
      <c r="H19" s="43"/>
      <c r="I19" s="201"/>
      <c r="J19" s="201"/>
    </row>
    <row r="20" spans="1:10" ht="12.75">
      <c r="A20" s="43"/>
      <c r="B20" s="43"/>
      <c r="C20" s="43"/>
      <c r="D20" s="43"/>
      <c r="E20" s="43"/>
      <c r="F20" s="43"/>
      <c r="G20" s="43"/>
      <c r="H20" s="43"/>
      <c r="I20" s="201"/>
      <c r="J20" s="201"/>
    </row>
    <row r="21" spans="1:10" ht="12.75">
      <c r="A21" s="43"/>
      <c r="B21" s="43"/>
      <c r="C21" s="43"/>
      <c r="D21" s="43"/>
      <c r="E21" s="43"/>
      <c r="F21" s="43"/>
      <c r="G21" s="43"/>
      <c r="H21" s="43"/>
      <c r="I21" s="201"/>
      <c r="J21" s="201"/>
    </row>
    <row r="22" spans="1:10" ht="12.75">
      <c r="A22" s="43"/>
      <c r="B22" s="43"/>
      <c r="C22" s="43"/>
      <c r="D22" s="43"/>
      <c r="E22" s="43"/>
      <c r="F22" s="43"/>
      <c r="G22" s="43"/>
      <c r="H22" s="43"/>
      <c r="I22" s="201"/>
      <c r="J22" s="201"/>
    </row>
    <row r="23" spans="1:10" ht="12.75">
      <c r="A23" s="43"/>
      <c r="B23" s="43"/>
      <c r="C23" s="43"/>
      <c r="D23" s="43"/>
      <c r="E23" s="43"/>
      <c r="F23" s="43"/>
      <c r="G23" s="43"/>
      <c r="H23" s="43"/>
      <c r="I23" s="201"/>
      <c r="J23" s="201"/>
    </row>
    <row r="24" spans="1:10" ht="12.75">
      <c r="A24" s="43"/>
      <c r="B24" s="43"/>
      <c r="C24" s="43"/>
      <c r="D24" s="43"/>
      <c r="E24" s="43"/>
      <c r="F24" s="43"/>
      <c r="G24" s="43"/>
      <c r="H24" s="43"/>
      <c r="I24" s="201"/>
      <c r="J24" s="201"/>
    </row>
    <row r="25" spans="1:10" ht="12.75">
      <c r="A25" s="43"/>
      <c r="B25" s="43"/>
      <c r="C25" s="43"/>
      <c r="D25" s="43"/>
      <c r="E25" s="43"/>
      <c r="F25" s="43"/>
      <c r="G25" s="43"/>
      <c r="H25" s="43"/>
      <c r="I25" s="201"/>
      <c r="J25" s="201"/>
    </row>
    <row r="26" spans="1:10" ht="12.75">
      <c r="A26" s="43"/>
      <c r="B26" s="43"/>
      <c r="C26" s="43"/>
      <c r="D26" s="43"/>
      <c r="E26" s="43"/>
      <c r="F26" s="43"/>
      <c r="G26" s="43"/>
      <c r="H26" s="43"/>
      <c r="I26" s="201"/>
      <c r="J26" s="201"/>
    </row>
    <row r="27" spans="1:10" ht="12.75">
      <c r="A27" s="43"/>
      <c r="B27" s="43"/>
      <c r="C27" s="43"/>
      <c r="D27" s="43"/>
      <c r="E27" s="43"/>
      <c r="F27" s="43"/>
      <c r="G27" s="43"/>
      <c r="H27" s="43"/>
      <c r="I27" s="201"/>
      <c r="J27" s="201"/>
    </row>
    <row r="28" spans="1:10" ht="12.75">
      <c r="A28" s="43"/>
      <c r="B28" s="43"/>
      <c r="C28" s="43"/>
      <c r="D28" s="43"/>
      <c r="E28" s="43"/>
      <c r="F28" s="43"/>
      <c r="G28" s="43"/>
      <c r="H28" s="43"/>
      <c r="I28" s="201"/>
      <c r="J28" s="201"/>
    </row>
    <row r="29" spans="1:10" ht="12.75">
      <c r="A29" s="43"/>
      <c r="B29" s="43"/>
      <c r="C29" s="43"/>
      <c r="D29" s="43"/>
      <c r="E29" s="43"/>
      <c r="F29" s="43"/>
      <c r="G29" s="43"/>
      <c r="H29" s="43"/>
      <c r="I29" s="201"/>
      <c r="J29" s="201"/>
    </row>
    <row r="30" spans="1:10" ht="12.75">
      <c r="A30" s="43"/>
      <c r="B30" s="43"/>
      <c r="C30" s="43"/>
      <c r="D30" s="43"/>
      <c r="E30" s="43"/>
      <c r="F30" s="43"/>
      <c r="G30" s="43"/>
      <c r="H30" s="43"/>
      <c r="I30" s="201"/>
      <c r="J30" s="201"/>
    </row>
    <row r="31" spans="1:10" ht="12.75">
      <c r="A31" s="43"/>
      <c r="B31" s="43"/>
      <c r="C31" s="43"/>
      <c r="D31" s="43"/>
      <c r="E31" s="43"/>
      <c r="F31" s="43"/>
      <c r="G31" s="43"/>
      <c r="H31" s="43"/>
      <c r="I31" s="201"/>
      <c r="J31" s="201"/>
    </row>
    <row r="32" spans="1:10" ht="12.75">
      <c r="A32" s="43"/>
      <c r="B32" s="43"/>
      <c r="C32" s="43"/>
      <c r="D32" s="43"/>
      <c r="E32" s="43"/>
      <c r="F32" s="43"/>
      <c r="G32" s="43"/>
      <c r="H32" s="43"/>
      <c r="I32" s="201"/>
      <c r="J32" s="201"/>
    </row>
    <row r="33" spans="1:10" ht="12.75">
      <c r="A33" s="43"/>
      <c r="B33" s="43"/>
      <c r="C33" s="43"/>
      <c r="D33" s="43"/>
      <c r="E33" s="43"/>
      <c r="F33" s="43"/>
      <c r="G33" s="43"/>
      <c r="H33" s="43"/>
      <c r="I33" s="201"/>
      <c r="J33" s="201"/>
    </row>
    <row r="34" spans="1:10" ht="12.75">
      <c r="A34" s="43"/>
      <c r="B34" s="43"/>
      <c r="C34" s="43"/>
      <c r="D34" s="43"/>
      <c r="E34" s="43"/>
      <c r="F34" s="43"/>
      <c r="G34" s="43"/>
      <c r="H34" s="43"/>
      <c r="I34" s="201"/>
      <c r="J34" s="201"/>
    </row>
    <row r="35" spans="1:10" ht="12.75">
      <c r="A35" s="43"/>
      <c r="B35" s="43"/>
      <c r="C35" s="43"/>
      <c r="D35" s="43"/>
      <c r="E35" s="43"/>
      <c r="F35" s="43"/>
      <c r="G35" s="43"/>
      <c r="H35" s="43"/>
      <c r="I35" s="201"/>
      <c r="J35" s="201"/>
    </row>
    <row r="36" spans="1:10" ht="12.75">
      <c r="A36" s="43"/>
      <c r="B36" s="43"/>
      <c r="C36" s="43"/>
      <c r="D36" s="43"/>
      <c r="E36" s="43"/>
      <c r="F36" s="43"/>
      <c r="G36" s="43"/>
      <c r="H36" s="43"/>
      <c r="I36" s="201"/>
      <c r="J36" s="201"/>
    </row>
    <row r="37" spans="1:10" ht="12.75">
      <c r="A37" s="43"/>
      <c r="B37" s="43"/>
      <c r="C37" s="43"/>
      <c r="D37" s="43"/>
      <c r="E37" s="43"/>
      <c r="F37" s="43"/>
      <c r="G37" s="43"/>
      <c r="H37" s="43"/>
      <c r="I37" s="201"/>
      <c r="J37" s="201"/>
    </row>
    <row r="38" spans="1:10" ht="12.75">
      <c r="A38" s="43"/>
      <c r="B38" s="43"/>
      <c r="C38" s="43"/>
      <c r="D38" s="43"/>
      <c r="E38" s="43"/>
      <c r="F38" s="43"/>
      <c r="G38" s="43"/>
      <c r="H38" s="43"/>
      <c r="I38" s="201"/>
      <c r="J38" s="201"/>
    </row>
    <row r="39" spans="1:10" ht="12.75">
      <c r="A39" s="43"/>
      <c r="B39" s="43"/>
      <c r="C39" s="43"/>
      <c r="D39" s="43"/>
      <c r="E39" s="43"/>
      <c r="F39" s="43"/>
      <c r="G39" s="43"/>
      <c r="H39" s="43"/>
      <c r="I39" s="201"/>
      <c r="J39" s="201"/>
    </row>
    <row r="40" spans="1:10" ht="12.75">
      <c r="A40" s="43"/>
      <c r="B40" s="43"/>
      <c r="C40" s="43"/>
      <c r="D40" s="43"/>
      <c r="E40" s="43"/>
      <c r="F40" s="43"/>
      <c r="G40" s="43"/>
      <c r="H40" s="43"/>
      <c r="I40" s="201"/>
      <c r="J40" s="201"/>
    </row>
    <row r="41" spans="1:10" ht="12.75">
      <c r="A41" s="43"/>
      <c r="B41" s="43"/>
      <c r="C41" s="43"/>
      <c r="D41" s="43"/>
      <c r="E41" s="43"/>
      <c r="F41" s="43"/>
      <c r="G41" s="43"/>
      <c r="H41" s="43"/>
      <c r="I41" s="201"/>
      <c r="J41" s="201"/>
    </row>
    <row r="42" spans="1:10" ht="12.75">
      <c r="A42" s="43"/>
      <c r="B42" s="43"/>
      <c r="C42" s="43"/>
      <c r="D42" s="43"/>
      <c r="E42" s="43"/>
      <c r="F42" s="43"/>
      <c r="G42" s="43"/>
      <c r="H42" s="43"/>
      <c r="I42" s="201"/>
      <c r="J42" s="201"/>
    </row>
    <row r="43" spans="1:10" ht="12.75">
      <c r="A43" s="43"/>
      <c r="B43" s="43"/>
      <c r="C43" s="43"/>
      <c r="D43" s="43"/>
      <c r="E43" s="43"/>
      <c r="F43" s="43"/>
      <c r="G43" s="43"/>
      <c r="H43" s="43"/>
      <c r="I43" s="201"/>
      <c r="J43" s="201"/>
    </row>
    <row r="44" spans="1:10" ht="12.75">
      <c r="A44" s="43"/>
      <c r="B44" s="43"/>
      <c r="C44" s="43"/>
      <c r="D44" s="43"/>
      <c r="E44" s="43"/>
      <c r="F44" s="43"/>
      <c r="G44" s="43"/>
      <c r="H44" s="43"/>
      <c r="I44" s="201"/>
      <c r="J44" s="201"/>
    </row>
    <row r="45" spans="1:10" ht="12.75">
      <c r="A45" s="43"/>
      <c r="B45" s="43"/>
      <c r="C45" s="43"/>
      <c r="D45" s="43"/>
      <c r="E45" s="43"/>
      <c r="F45" s="43"/>
      <c r="G45" s="43"/>
      <c r="H45" s="43"/>
      <c r="I45" s="201"/>
      <c r="J45" s="201"/>
    </row>
    <row r="46" spans="1:10" ht="12.75">
      <c r="A46" s="43"/>
      <c r="B46" s="43"/>
      <c r="C46" s="43"/>
      <c r="D46" s="43"/>
      <c r="E46" s="43"/>
      <c r="F46" s="43"/>
      <c r="G46" s="43"/>
      <c r="H46" s="43"/>
      <c r="I46" s="201"/>
      <c r="J46" s="201"/>
    </row>
    <row r="47" spans="1:10" ht="12.75">
      <c r="A47" s="43"/>
      <c r="B47" s="43"/>
      <c r="C47" s="43"/>
      <c r="D47" s="43"/>
      <c r="E47" s="43"/>
      <c r="F47" s="43"/>
      <c r="G47" s="43"/>
      <c r="H47" s="43"/>
      <c r="I47" s="201"/>
      <c r="J47" s="201"/>
    </row>
    <row r="48" spans="1:10" ht="12.75">
      <c r="A48" s="43"/>
      <c r="B48" s="43"/>
      <c r="C48" s="43"/>
      <c r="D48" s="43"/>
      <c r="E48" s="43"/>
      <c r="F48" s="43"/>
      <c r="G48" s="43"/>
      <c r="H48" s="43"/>
      <c r="I48" s="201"/>
      <c r="J48" s="201"/>
    </row>
    <row r="49" spans="1:10" ht="12.75">
      <c r="A49" s="43"/>
      <c r="B49" s="43"/>
      <c r="C49" s="43"/>
      <c r="D49" s="43"/>
      <c r="E49" s="43"/>
      <c r="F49" s="43"/>
      <c r="G49" s="43"/>
      <c r="H49" s="43"/>
      <c r="I49" s="201"/>
      <c r="J49" s="201"/>
    </row>
    <row r="50" spans="1:10" ht="12.75">
      <c r="A50" s="43"/>
      <c r="B50" s="43"/>
      <c r="C50" s="43"/>
      <c r="D50" s="43"/>
      <c r="E50" s="43"/>
      <c r="F50" s="43"/>
      <c r="G50" s="43"/>
      <c r="H50" s="43"/>
      <c r="I50" s="201"/>
      <c r="J50" s="201"/>
    </row>
    <row r="51" spans="1:10" ht="12.75">
      <c r="A51" s="43"/>
      <c r="B51" s="43"/>
      <c r="C51" s="43"/>
      <c r="D51" s="43"/>
      <c r="E51" s="43"/>
      <c r="F51" s="43"/>
      <c r="G51" s="43"/>
      <c r="H51" s="43"/>
      <c r="I51" s="201"/>
      <c r="J51" s="201"/>
    </row>
    <row r="52" spans="1:10" ht="12.75">
      <c r="A52" s="43"/>
      <c r="B52" s="43"/>
      <c r="C52" s="43"/>
      <c r="D52" s="43"/>
      <c r="E52" s="43"/>
      <c r="F52" s="43"/>
      <c r="G52" s="43"/>
      <c r="H52" s="43"/>
      <c r="I52" s="201"/>
      <c r="J52" s="201"/>
    </row>
    <row r="53" spans="1:10" ht="12.75">
      <c r="A53" s="43"/>
      <c r="B53" s="43"/>
      <c r="C53" s="43"/>
      <c r="D53" s="43"/>
      <c r="E53" s="43"/>
      <c r="F53" s="43"/>
      <c r="G53" s="43"/>
      <c r="H53" s="43"/>
      <c r="I53" s="201"/>
      <c r="J53" s="201"/>
    </row>
    <row r="54" spans="1:10" ht="12.75">
      <c r="A54" s="43"/>
      <c r="B54" s="43"/>
      <c r="C54" s="43"/>
      <c r="D54" s="43"/>
      <c r="E54" s="43"/>
      <c r="F54" s="43"/>
      <c r="G54" s="43"/>
      <c r="H54" s="43"/>
      <c r="I54" s="201"/>
      <c r="J54" s="201"/>
    </row>
    <row r="55" spans="1:10" ht="12.75">
      <c r="A55" s="43"/>
      <c r="B55" s="43"/>
      <c r="C55" s="43"/>
      <c r="D55" s="43"/>
      <c r="E55" s="43"/>
      <c r="F55" s="43"/>
      <c r="G55" s="43"/>
      <c r="H55" s="43"/>
      <c r="I55" s="201"/>
      <c r="J55" s="201"/>
    </row>
    <row r="56" spans="1:10" ht="12.75">
      <c r="A56" s="43"/>
      <c r="B56" s="43"/>
      <c r="C56" s="43"/>
      <c r="D56" s="43"/>
      <c r="E56" s="43"/>
      <c r="F56" s="43"/>
      <c r="G56" s="43"/>
      <c r="H56" s="43"/>
      <c r="I56" s="201"/>
      <c r="J56" s="201"/>
    </row>
    <row r="57" spans="1:10" ht="12.75">
      <c r="A57" s="43"/>
      <c r="B57" s="43"/>
      <c r="C57" s="43"/>
      <c r="D57" s="43"/>
      <c r="E57" s="43"/>
      <c r="F57" s="43"/>
      <c r="G57" s="43"/>
      <c r="H57" s="43"/>
      <c r="I57" s="201"/>
      <c r="J57" s="201"/>
    </row>
    <row r="58" spans="1:10" ht="12.75">
      <c r="A58" s="43"/>
      <c r="B58" s="43"/>
      <c r="C58" s="43"/>
      <c r="D58" s="43"/>
      <c r="E58" s="43"/>
      <c r="F58" s="43"/>
      <c r="G58" s="43"/>
      <c r="H58" s="43"/>
      <c r="I58" s="201"/>
      <c r="J58" s="201"/>
    </row>
    <row r="59" spans="1:10" ht="12.75">
      <c r="A59" s="43"/>
      <c r="B59" s="43"/>
      <c r="C59" s="43"/>
      <c r="D59" s="43"/>
      <c r="E59" s="43"/>
      <c r="F59" s="43"/>
      <c r="G59" s="43"/>
      <c r="H59" s="43"/>
      <c r="I59" s="201"/>
      <c r="J59" s="201"/>
    </row>
    <row r="60" spans="1:10" ht="12.75">
      <c r="A60" s="43"/>
      <c r="B60" s="43"/>
      <c r="C60" s="43"/>
      <c r="D60" s="43"/>
      <c r="E60" s="43"/>
      <c r="F60" s="43"/>
      <c r="G60" s="43"/>
      <c r="H60" s="43"/>
      <c r="I60" s="201"/>
      <c r="J60" s="201"/>
    </row>
    <row r="61" spans="1:10" ht="12.75">
      <c r="A61" s="43"/>
      <c r="B61" s="43"/>
      <c r="C61" s="43"/>
      <c r="D61" s="43"/>
      <c r="E61" s="43"/>
      <c r="F61" s="43"/>
      <c r="G61" s="43"/>
      <c r="H61" s="43"/>
      <c r="I61" s="201"/>
      <c r="J61" s="201"/>
    </row>
    <row r="62" spans="1:10" ht="12.75">
      <c r="A62" s="43"/>
      <c r="B62" s="43"/>
      <c r="C62" s="43"/>
      <c r="D62" s="43"/>
      <c r="E62" s="43"/>
      <c r="F62" s="43"/>
      <c r="G62" s="43"/>
      <c r="H62" s="43"/>
      <c r="I62" s="201"/>
      <c r="J62" s="201"/>
    </row>
    <row r="63" spans="1:10" ht="12.75">
      <c r="A63" s="43"/>
      <c r="B63" s="43"/>
      <c r="C63" s="43"/>
      <c r="D63" s="43"/>
      <c r="E63" s="43"/>
      <c r="F63" s="43"/>
      <c r="G63" s="43"/>
      <c r="H63" s="43"/>
      <c r="I63" s="201"/>
      <c r="J63" s="201"/>
    </row>
    <row r="64" spans="1:10" ht="12.75">
      <c r="A64" s="43"/>
      <c r="B64" s="43"/>
      <c r="C64" s="43"/>
      <c r="D64" s="43"/>
      <c r="E64" s="43"/>
      <c r="F64" s="43"/>
      <c r="G64" s="43"/>
      <c r="H64" s="43"/>
      <c r="I64" s="201"/>
      <c r="J64" s="201"/>
    </row>
    <row r="65" spans="1:10" ht="12.75">
      <c r="A65" s="43"/>
      <c r="B65" s="43"/>
      <c r="C65" s="43"/>
      <c r="D65" s="43"/>
      <c r="E65" s="43"/>
      <c r="F65" s="43"/>
      <c r="G65" s="43"/>
      <c r="H65" s="43"/>
      <c r="I65" s="201"/>
      <c r="J65" s="201"/>
    </row>
    <row r="66" spans="1:10" ht="12.75">
      <c r="A66" s="43"/>
      <c r="B66" s="43"/>
      <c r="C66" s="43"/>
      <c r="D66" s="43"/>
      <c r="E66" s="43"/>
      <c r="F66" s="43"/>
      <c r="G66" s="43"/>
      <c r="H66" s="43"/>
      <c r="I66" s="201"/>
      <c r="J66" s="201"/>
    </row>
    <row r="67" spans="1:10" ht="12.75">
      <c r="A67" s="43"/>
      <c r="B67" s="43"/>
      <c r="C67" s="43"/>
      <c r="D67" s="43"/>
      <c r="E67" s="43"/>
      <c r="F67" s="43"/>
      <c r="G67" s="43"/>
      <c r="H67" s="43"/>
      <c r="I67" s="201"/>
      <c r="J67" s="201"/>
    </row>
    <row r="68" spans="1:10" ht="12.75">
      <c r="A68" s="43"/>
      <c r="B68" s="43"/>
      <c r="C68" s="43"/>
      <c r="D68" s="43"/>
      <c r="E68" s="43"/>
      <c r="F68" s="43"/>
      <c r="G68" s="43"/>
      <c r="H68" s="43"/>
      <c r="I68" s="201"/>
      <c r="J68" s="201"/>
    </row>
    <row r="69" spans="1:10" ht="12.75">
      <c r="A69" s="43"/>
      <c r="B69" s="43"/>
      <c r="C69" s="43"/>
      <c r="D69" s="43"/>
      <c r="E69" s="43"/>
      <c r="F69" s="43"/>
      <c r="G69" s="43"/>
      <c r="H69" s="43"/>
      <c r="I69" s="201"/>
      <c r="J69" s="201"/>
    </row>
    <row r="70" spans="1:10" ht="12.75">
      <c r="A70" s="43"/>
      <c r="B70" s="43"/>
      <c r="C70" s="43"/>
      <c r="D70" s="43"/>
      <c r="E70" s="43"/>
      <c r="F70" s="43"/>
      <c r="G70" s="43"/>
      <c r="H70" s="43"/>
      <c r="I70" s="201"/>
      <c r="J70" s="201"/>
    </row>
    <row r="71" spans="1:10" ht="12.75">
      <c r="A71" s="43"/>
      <c r="B71" s="43"/>
      <c r="C71" s="43"/>
      <c r="D71" s="43"/>
      <c r="E71" s="43"/>
      <c r="F71" s="43"/>
      <c r="G71" s="43"/>
      <c r="H71" s="43"/>
      <c r="I71" s="201"/>
      <c r="J71" s="201"/>
    </row>
    <row r="72" spans="1:10" ht="12.75">
      <c r="A72" s="43"/>
      <c r="B72" s="43"/>
      <c r="C72" s="43"/>
      <c r="D72" s="43"/>
      <c r="E72" s="43"/>
      <c r="F72" s="43"/>
      <c r="G72" s="43"/>
      <c r="H72" s="43"/>
      <c r="I72" s="201"/>
      <c r="J72" s="201"/>
    </row>
    <row r="73" spans="1:10" ht="12.75">
      <c r="A73" s="43"/>
      <c r="B73" s="43"/>
      <c r="C73" s="43"/>
      <c r="D73" s="43"/>
      <c r="E73" s="43"/>
      <c r="F73" s="43"/>
      <c r="G73" s="43"/>
      <c r="H73" s="43"/>
      <c r="I73" s="201"/>
      <c r="J73" s="201"/>
    </row>
    <row r="74" spans="1:10" ht="12.75">
      <c r="A74" s="112"/>
      <c r="B74" s="112"/>
      <c r="C74" s="112"/>
      <c r="D74" s="109"/>
      <c r="E74" s="109"/>
      <c r="F74" s="109"/>
      <c r="G74" s="109"/>
      <c r="H74" s="109"/>
    </row>
    <row r="75" spans="1:10" ht="12.75">
      <c r="A75" s="112"/>
      <c r="B75" s="112"/>
      <c r="C75" s="112"/>
      <c r="D75" s="109"/>
      <c r="E75" s="109"/>
      <c r="F75" s="109"/>
      <c r="G75" s="109"/>
      <c r="H75" s="109"/>
    </row>
    <row r="76" spans="1:10" ht="12.75">
      <c r="A76" s="112"/>
      <c r="B76" s="112"/>
      <c r="C76" s="112"/>
      <c r="D76" s="109"/>
      <c r="E76" s="109"/>
      <c r="F76" s="109"/>
      <c r="G76" s="109"/>
      <c r="H76" s="109"/>
    </row>
    <row r="77" spans="1:10" ht="12.75">
      <c r="A77" s="112"/>
      <c r="B77" s="112"/>
      <c r="C77" s="112"/>
      <c r="D77" s="109"/>
      <c r="E77" s="109"/>
      <c r="F77" s="109"/>
      <c r="G77" s="109"/>
      <c r="H77" s="109"/>
    </row>
    <row r="78" spans="1:10" ht="12.75">
      <c r="A78" s="112"/>
      <c r="B78" s="112"/>
      <c r="C78" s="112"/>
      <c r="D78" s="109"/>
      <c r="E78" s="109"/>
      <c r="F78" s="109"/>
      <c r="G78" s="109"/>
      <c r="H78" s="109"/>
    </row>
    <row r="79" spans="1:10" ht="12.75">
      <c r="A79" s="112"/>
      <c r="B79" s="112"/>
      <c r="C79" s="112"/>
      <c r="D79" s="109"/>
      <c r="E79" s="109"/>
      <c r="F79" s="109"/>
      <c r="G79" s="109"/>
      <c r="H79" s="109"/>
    </row>
    <row r="80" spans="1:10" ht="12.75">
      <c r="A80" s="112"/>
      <c r="B80" s="112"/>
      <c r="C80" s="112"/>
      <c r="D80" s="109"/>
      <c r="E80" s="109"/>
      <c r="F80" s="109"/>
      <c r="G80" s="109"/>
      <c r="H80" s="109"/>
    </row>
    <row r="81" spans="1:8" ht="12.75">
      <c r="A81" s="112"/>
      <c r="B81" s="112"/>
      <c r="C81" s="112"/>
      <c r="D81" s="109"/>
      <c r="E81" s="109"/>
      <c r="F81" s="109"/>
      <c r="G81" s="109"/>
      <c r="H81" s="109"/>
    </row>
    <row r="82" spans="1:8" ht="12.75">
      <c r="A82" s="112"/>
      <c r="B82" s="112"/>
      <c r="C82" s="112"/>
      <c r="D82" s="109"/>
      <c r="E82" s="109"/>
      <c r="F82" s="109"/>
      <c r="G82" s="109"/>
      <c r="H82" s="109"/>
    </row>
    <row r="83" spans="1:8" ht="12.75">
      <c r="A83" s="112"/>
      <c r="B83" s="112"/>
      <c r="C83" s="112"/>
      <c r="D83" s="109"/>
      <c r="E83" s="109"/>
      <c r="F83" s="109"/>
      <c r="G83" s="109"/>
      <c r="H83" s="109"/>
    </row>
    <row r="84" spans="1:8" ht="12.75">
      <c r="A84" s="112"/>
      <c r="B84" s="112"/>
      <c r="C84" s="112"/>
      <c r="D84" s="109"/>
      <c r="E84" s="109"/>
      <c r="F84" s="109"/>
      <c r="G84" s="109"/>
      <c r="H84" s="109"/>
    </row>
    <row r="85" spans="1:8" ht="12.75">
      <c r="A85" s="112"/>
      <c r="B85" s="112"/>
      <c r="C85" s="112"/>
      <c r="D85" s="109"/>
      <c r="E85" s="109"/>
      <c r="F85" s="109"/>
      <c r="G85" s="109"/>
      <c r="H85" s="109"/>
    </row>
    <row r="86" spans="1:8" ht="12.75">
      <c r="A86" s="112"/>
      <c r="B86" s="112"/>
      <c r="C86" s="112"/>
      <c r="D86" s="109"/>
      <c r="E86" s="109"/>
      <c r="F86" s="109"/>
      <c r="G86" s="109"/>
      <c r="H86" s="109"/>
    </row>
    <row r="87" spans="1:8" ht="12.75">
      <c r="A87" s="112"/>
      <c r="B87" s="112"/>
      <c r="C87" s="112"/>
      <c r="D87" s="109"/>
      <c r="E87" s="109"/>
      <c r="F87" s="109"/>
      <c r="G87" s="109"/>
      <c r="H87" s="109"/>
    </row>
    <row r="88" spans="1:8" ht="12.75">
      <c r="A88" s="112"/>
      <c r="B88" s="112"/>
      <c r="C88" s="112"/>
      <c r="D88" s="109"/>
      <c r="E88" s="109"/>
      <c r="F88" s="109"/>
      <c r="G88" s="109"/>
      <c r="H88" s="109"/>
    </row>
    <row r="89" spans="1:8" ht="12.75">
      <c r="A89" s="112"/>
      <c r="B89" s="112"/>
      <c r="C89" s="112"/>
      <c r="D89" s="109"/>
      <c r="E89" s="109"/>
      <c r="F89" s="109"/>
      <c r="G89" s="109"/>
      <c r="H89" s="109"/>
    </row>
    <row r="90" spans="1:8" ht="12.75">
      <c r="A90" s="112"/>
      <c r="B90" s="112"/>
      <c r="C90" s="112"/>
      <c r="D90" s="109"/>
      <c r="E90" s="109"/>
      <c r="F90" s="109"/>
      <c r="G90" s="109"/>
      <c r="H90" s="109"/>
    </row>
    <row r="91" spans="1:8" ht="12.75">
      <c r="A91" s="112"/>
      <c r="B91" s="112"/>
      <c r="C91" s="112"/>
      <c r="D91" s="109"/>
      <c r="E91" s="109"/>
      <c r="F91" s="109"/>
      <c r="G91" s="109"/>
      <c r="H91" s="109"/>
    </row>
    <row r="92" spans="1:8" ht="12.75">
      <c r="A92" s="112"/>
      <c r="B92" s="112"/>
      <c r="C92" s="112"/>
      <c r="D92" s="109"/>
      <c r="E92" s="109"/>
      <c r="F92" s="109"/>
      <c r="G92" s="109"/>
      <c r="H92" s="109"/>
    </row>
    <row r="93" spans="1:8" ht="12.75">
      <c r="A93" s="112"/>
      <c r="B93" s="112"/>
      <c r="C93" s="112"/>
      <c r="D93" s="109"/>
      <c r="E93" s="109"/>
      <c r="F93" s="109"/>
      <c r="G93" s="109"/>
      <c r="H93" s="109"/>
    </row>
    <row r="94" spans="1:8" ht="12.75">
      <c r="A94" s="112"/>
      <c r="B94" s="112"/>
      <c r="C94" s="112"/>
      <c r="D94" s="109"/>
      <c r="E94" s="109"/>
      <c r="F94" s="109"/>
      <c r="G94" s="109"/>
      <c r="H94" s="109"/>
    </row>
    <row r="95" spans="1:8" ht="12.75">
      <c r="A95" s="112"/>
      <c r="B95" s="112"/>
      <c r="C95" s="112"/>
      <c r="D95" s="109"/>
      <c r="E95" s="109"/>
      <c r="F95" s="109"/>
      <c r="G95" s="109"/>
      <c r="H95" s="109"/>
    </row>
    <row r="96" spans="1:8" ht="12.75">
      <c r="A96" s="112"/>
      <c r="B96" s="112"/>
      <c r="C96" s="112"/>
      <c r="D96" s="109"/>
      <c r="E96" s="109"/>
      <c r="F96" s="109"/>
      <c r="G96" s="109"/>
      <c r="H96" s="109"/>
    </row>
    <row r="97" spans="1:8" ht="12.75">
      <c r="A97" s="112"/>
      <c r="B97" s="112"/>
      <c r="C97" s="112"/>
      <c r="D97" s="109"/>
      <c r="E97" s="109"/>
      <c r="F97" s="109"/>
      <c r="G97" s="109"/>
      <c r="H97" s="109"/>
    </row>
    <row r="98" spans="1:8" ht="12.75">
      <c r="A98" s="112"/>
      <c r="B98" s="112"/>
      <c r="C98" s="112"/>
      <c r="D98" s="109"/>
      <c r="E98" s="109"/>
      <c r="F98" s="109"/>
      <c r="G98" s="109"/>
      <c r="H98" s="109"/>
    </row>
    <row r="99" spans="1:8" ht="12.75">
      <c r="A99" s="112"/>
      <c r="B99" s="112"/>
      <c r="C99" s="112"/>
      <c r="D99" s="109"/>
      <c r="E99" s="109"/>
      <c r="F99" s="109"/>
      <c r="G99" s="109"/>
      <c r="H99" s="109"/>
    </row>
    <row r="100" spans="1:8" ht="12.75">
      <c r="A100" s="112"/>
      <c r="B100" s="112"/>
      <c r="C100" s="112"/>
      <c r="D100" s="109"/>
      <c r="E100" s="109"/>
      <c r="F100" s="109"/>
      <c r="G100" s="109"/>
      <c r="H100" s="109"/>
    </row>
    <row r="101" spans="1:8" ht="12.75">
      <c r="A101" s="112"/>
      <c r="B101" s="112"/>
      <c r="C101" s="112"/>
      <c r="D101" s="109"/>
      <c r="E101" s="109"/>
      <c r="F101" s="109"/>
      <c r="G101" s="109"/>
      <c r="H101" s="109"/>
    </row>
    <row r="102" spans="1:8" ht="12.75">
      <c r="A102" s="112"/>
      <c r="B102" s="112"/>
      <c r="C102" s="112"/>
      <c r="D102" s="109"/>
      <c r="E102" s="109"/>
      <c r="F102" s="109"/>
      <c r="G102" s="109"/>
      <c r="H102" s="109"/>
    </row>
    <row r="103" spans="1:8" ht="12.75">
      <c r="A103" s="112"/>
      <c r="B103" s="112"/>
      <c r="C103" s="112"/>
      <c r="D103" s="109"/>
      <c r="E103" s="109"/>
      <c r="F103" s="109"/>
      <c r="G103" s="109"/>
      <c r="H103" s="109"/>
    </row>
    <row r="104" spans="1:8" ht="12.75">
      <c r="A104" s="112"/>
      <c r="B104" s="112"/>
      <c r="C104" s="112"/>
      <c r="D104" s="109"/>
      <c r="E104" s="109"/>
      <c r="F104" s="109"/>
      <c r="G104" s="109"/>
      <c r="H104" s="109"/>
    </row>
    <row r="105" spans="1:8" ht="12.75">
      <c r="A105" s="112"/>
      <c r="B105" s="112"/>
      <c r="C105" s="112"/>
      <c r="D105" s="109"/>
      <c r="E105" s="109"/>
      <c r="F105" s="109"/>
      <c r="G105" s="109"/>
      <c r="H105" s="109"/>
    </row>
    <row r="106" spans="1:8" ht="12.75">
      <c r="A106" s="112"/>
      <c r="B106" s="112"/>
      <c r="C106" s="112"/>
      <c r="D106" s="109"/>
      <c r="E106" s="109"/>
      <c r="F106" s="109"/>
      <c r="G106" s="109"/>
      <c r="H106" s="109"/>
    </row>
    <row r="107" spans="1:8" ht="12.75">
      <c r="A107" s="112"/>
      <c r="B107" s="112"/>
      <c r="C107" s="112"/>
      <c r="D107" s="109"/>
      <c r="E107" s="109"/>
      <c r="F107" s="109"/>
      <c r="G107" s="109"/>
      <c r="H107" s="109"/>
    </row>
    <row r="108" spans="1:8" ht="12.75">
      <c r="A108" s="112"/>
      <c r="B108" s="112"/>
      <c r="C108" s="112"/>
      <c r="D108" s="109"/>
      <c r="E108" s="109"/>
      <c r="F108" s="109"/>
      <c r="G108" s="109"/>
      <c r="H108" s="109"/>
    </row>
    <row r="109" spans="1:8" ht="12.75">
      <c r="A109" s="112"/>
      <c r="B109" s="112"/>
      <c r="C109" s="112"/>
      <c r="D109" s="109"/>
      <c r="E109" s="109"/>
      <c r="F109" s="109"/>
      <c r="G109" s="109"/>
      <c r="H109" s="109"/>
    </row>
    <row r="110" spans="1:8" ht="12.75">
      <c r="A110" s="112"/>
      <c r="B110" s="112"/>
      <c r="C110" s="112"/>
      <c r="D110" s="109"/>
      <c r="E110" s="109"/>
      <c r="F110" s="109"/>
      <c r="G110" s="109"/>
      <c r="H110" s="109"/>
    </row>
    <row r="111" spans="1:8" ht="12.75">
      <c r="A111" s="112"/>
      <c r="B111" s="112"/>
      <c r="C111" s="112"/>
      <c r="D111" s="109"/>
      <c r="E111" s="109"/>
      <c r="F111" s="109"/>
      <c r="G111" s="109"/>
      <c r="H111" s="109"/>
    </row>
    <row r="112" spans="1:8" ht="12.75">
      <c r="A112" s="112"/>
      <c r="B112" s="112"/>
      <c r="C112" s="112"/>
      <c r="D112" s="109"/>
      <c r="E112" s="109"/>
      <c r="F112" s="109"/>
      <c r="G112" s="109"/>
      <c r="H112" s="109"/>
    </row>
    <row r="113" spans="1:8" ht="12.75">
      <c r="A113" s="112"/>
      <c r="B113" s="112"/>
      <c r="C113" s="112"/>
      <c r="D113" s="109"/>
      <c r="E113" s="109"/>
      <c r="F113" s="109"/>
      <c r="G113" s="109"/>
      <c r="H113" s="109"/>
    </row>
    <row r="114" spans="1:8" ht="12.75">
      <c r="A114" s="112"/>
      <c r="B114" s="112"/>
      <c r="C114" s="112"/>
      <c r="D114" s="109"/>
      <c r="E114" s="109"/>
      <c r="F114" s="109"/>
      <c r="G114" s="109"/>
      <c r="H114" s="109"/>
    </row>
    <row r="115" spans="1:8" ht="12.75">
      <c r="A115" s="112"/>
      <c r="B115" s="112"/>
      <c r="C115" s="112"/>
      <c r="D115" s="109"/>
      <c r="E115" s="109"/>
      <c r="F115" s="109"/>
      <c r="G115" s="109"/>
      <c r="H115" s="109"/>
    </row>
    <row r="116" spans="1:8" ht="12.75">
      <c r="A116" s="112"/>
      <c r="B116" s="112"/>
      <c r="C116" s="112"/>
      <c r="D116" s="109"/>
      <c r="E116" s="109"/>
      <c r="F116" s="109"/>
      <c r="G116" s="109"/>
      <c r="H116" s="109"/>
    </row>
    <row r="117" spans="1:8" ht="12.75">
      <c r="A117" s="112"/>
      <c r="B117" s="112"/>
      <c r="C117" s="112"/>
      <c r="D117" s="109"/>
      <c r="E117" s="109"/>
      <c r="F117" s="109"/>
      <c r="G117" s="109"/>
      <c r="H117" s="109"/>
    </row>
    <row r="118" spans="1:8" ht="12.75">
      <c r="A118" s="112"/>
      <c r="B118" s="112"/>
      <c r="C118" s="112"/>
      <c r="D118" s="109"/>
      <c r="E118" s="109"/>
      <c r="F118" s="109"/>
      <c r="G118" s="109"/>
      <c r="H118" s="109"/>
    </row>
    <row r="119" spans="1:8" ht="12.75">
      <c r="A119" s="112"/>
      <c r="B119" s="112"/>
      <c r="C119" s="112"/>
      <c r="D119" s="109"/>
      <c r="E119" s="109"/>
      <c r="F119" s="109"/>
      <c r="G119" s="109"/>
      <c r="H119" s="109"/>
    </row>
    <row r="120" spans="1:8" ht="12.75">
      <c r="A120" s="112"/>
      <c r="B120" s="112"/>
      <c r="C120" s="112"/>
      <c r="D120" s="109"/>
      <c r="E120" s="109"/>
      <c r="F120" s="109"/>
      <c r="G120" s="109"/>
      <c r="H120" s="109"/>
    </row>
    <row r="121" spans="1:8" ht="12.75">
      <c r="A121" s="112"/>
      <c r="B121" s="112"/>
      <c r="C121" s="112"/>
      <c r="D121" s="109"/>
      <c r="E121" s="109"/>
      <c r="F121" s="109"/>
      <c r="G121" s="109"/>
      <c r="H121" s="109"/>
    </row>
    <row r="122" spans="1:8" ht="12.75">
      <c r="A122" s="112"/>
      <c r="B122" s="112"/>
      <c r="C122" s="112"/>
      <c r="D122" s="109"/>
      <c r="E122" s="109"/>
      <c r="F122" s="109"/>
      <c r="G122" s="109"/>
      <c r="H122" s="109"/>
    </row>
    <row r="123" spans="1:8" ht="12.75">
      <c r="A123" s="112"/>
      <c r="B123" s="112"/>
      <c r="C123" s="112"/>
      <c r="D123" s="109"/>
      <c r="E123" s="109"/>
      <c r="F123" s="109"/>
      <c r="G123" s="109"/>
      <c r="H123" s="109"/>
    </row>
    <row r="124" spans="1:8" ht="12.75">
      <c r="A124" s="112"/>
      <c r="B124" s="112"/>
      <c r="C124" s="112"/>
      <c r="D124" s="109"/>
      <c r="E124" s="109"/>
      <c r="F124" s="109"/>
      <c r="G124" s="109"/>
      <c r="H124" s="109"/>
    </row>
    <row r="125" spans="1:8" ht="12.75">
      <c r="A125" s="112"/>
      <c r="B125" s="112"/>
      <c r="C125" s="112"/>
      <c r="D125" s="109"/>
      <c r="E125" s="109"/>
      <c r="F125" s="109"/>
      <c r="G125" s="109"/>
      <c r="H125" s="109"/>
    </row>
    <row r="126" spans="1:8" ht="12.75">
      <c r="A126" s="112"/>
      <c r="B126" s="112"/>
      <c r="C126" s="112"/>
      <c r="D126" s="109"/>
      <c r="E126" s="109"/>
      <c r="F126" s="109"/>
      <c r="G126" s="109"/>
      <c r="H126" s="109"/>
    </row>
    <row r="127" spans="1:8" ht="12.75">
      <c r="A127" s="112"/>
      <c r="B127" s="112"/>
      <c r="C127" s="112"/>
      <c r="D127" s="109"/>
      <c r="E127" s="109"/>
      <c r="F127" s="109"/>
      <c r="G127" s="109"/>
      <c r="H127" s="109"/>
    </row>
    <row r="128" spans="1:8" ht="12.75">
      <c r="A128" s="112"/>
      <c r="B128" s="112"/>
      <c r="C128" s="112"/>
      <c r="D128" s="109"/>
      <c r="E128" s="109"/>
      <c r="F128" s="109"/>
      <c r="G128" s="109"/>
      <c r="H128" s="109"/>
    </row>
    <row r="129" spans="1:8" ht="12.75">
      <c r="A129" s="112"/>
      <c r="B129" s="112"/>
      <c r="C129" s="112"/>
      <c r="D129" s="109"/>
      <c r="E129" s="109"/>
      <c r="F129" s="109"/>
      <c r="G129" s="109"/>
      <c r="H129" s="109"/>
    </row>
    <row r="130" spans="1:8" ht="12.75">
      <c r="A130" s="112"/>
      <c r="B130" s="112"/>
      <c r="C130" s="112"/>
      <c r="D130" s="109"/>
      <c r="E130" s="109"/>
      <c r="F130" s="109"/>
      <c r="G130" s="109"/>
      <c r="H130" s="109"/>
    </row>
    <row r="131" spans="1:8" ht="12.75">
      <c r="A131" s="112"/>
      <c r="B131" s="112"/>
      <c r="C131" s="112"/>
      <c r="D131" s="109"/>
      <c r="E131" s="109"/>
      <c r="F131" s="109"/>
      <c r="G131" s="109"/>
      <c r="H131" s="109"/>
    </row>
    <row r="132" spans="1:8" ht="12.75">
      <c r="A132" s="112"/>
      <c r="B132" s="112"/>
      <c r="C132" s="112"/>
      <c r="D132" s="109"/>
      <c r="E132" s="109"/>
      <c r="F132" s="109"/>
      <c r="G132" s="109"/>
      <c r="H132" s="109"/>
    </row>
    <row r="133" spans="1:8" ht="12.75">
      <c r="A133" s="112"/>
      <c r="B133" s="112"/>
      <c r="C133" s="112"/>
      <c r="D133" s="109"/>
      <c r="E133" s="109"/>
      <c r="F133" s="109"/>
      <c r="G133" s="109"/>
      <c r="H133" s="109"/>
    </row>
    <row r="134" spans="1:8" ht="12.75">
      <c r="A134" s="112"/>
      <c r="B134" s="112"/>
      <c r="C134" s="112"/>
      <c r="D134" s="109"/>
      <c r="E134" s="109"/>
      <c r="F134" s="109"/>
      <c r="G134" s="109"/>
      <c r="H134" s="109"/>
    </row>
    <row r="135" spans="1:8" ht="12.75">
      <c r="A135" s="112"/>
      <c r="B135" s="112"/>
      <c r="C135" s="112"/>
      <c r="D135" s="109"/>
      <c r="E135" s="109"/>
      <c r="F135" s="109"/>
      <c r="G135" s="109"/>
      <c r="H135" s="109"/>
    </row>
    <row r="136" spans="1:8" ht="12.75">
      <c r="A136" s="112"/>
      <c r="B136" s="112"/>
      <c r="C136" s="112"/>
      <c r="D136" s="109"/>
      <c r="E136" s="109"/>
      <c r="F136" s="109"/>
      <c r="G136" s="109"/>
      <c r="H136" s="109"/>
    </row>
    <row r="137" spans="1:8" ht="12.75">
      <c r="A137" s="112"/>
      <c r="B137" s="112"/>
      <c r="C137" s="112"/>
      <c r="D137" s="109"/>
      <c r="E137" s="109"/>
      <c r="F137" s="109"/>
      <c r="G137" s="109"/>
      <c r="H137" s="109"/>
    </row>
    <row r="138" spans="1:8" ht="12.75">
      <c r="A138" s="112"/>
      <c r="B138" s="112"/>
      <c r="C138" s="112"/>
      <c r="D138" s="109"/>
      <c r="E138" s="109"/>
      <c r="F138" s="109"/>
      <c r="G138" s="109"/>
      <c r="H138" s="109"/>
    </row>
    <row r="139" spans="1:8" ht="12.75">
      <c r="A139" s="109"/>
      <c r="B139" s="109"/>
      <c r="C139" s="109"/>
      <c r="D139" s="109"/>
      <c r="E139" s="109"/>
      <c r="F139" s="109"/>
      <c r="G139" s="109"/>
      <c r="H139" s="109"/>
    </row>
    <row r="140" spans="1:8" ht="12.75">
      <c r="A140" s="109"/>
      <c r="B140" s="109"/>
      <c r="C140" s="109"/>
      <c r="D140" s="109"/>
      <c r="E140" s="109"/>
      <c r="F140" s="109"/>
      <c r="G140" s="109"/>
      <c r="H140" s="109"/>
    </row>
    <row r="141" spans="1:8" ht="12.75">
      <c r="A141" s="109"/>
      <c r="B141" s="109"/>
      <c r="C141" s="109"/>
      <c r="D141" s="109"/>
      <c r="E141" s="109"/>
      <c r="F141" s="109"/>
      <c r="G141" s="109"/>
      <c r="H141" s="109"/>
    </row>
    <row r="142" spans="1:8" ht="12.75">
      <c r="A142" s="109"/>
      <c r="B142" s="109"/>
      <c r="C142" s="109"/>
      <c r="D142" s="109"/>
      <c r="E142" s="109"/>
      <c r="F142" s="109"/>
      <c r="G142" s="109"/>
      <c r="H142" s="109"/>
    </row>
    <row r="143" spans="1:8" ht="12.75">
      <c r="A143" s="109"/>
      <c r="B143" s="109"/>
      <c r="C143" s="109"/>
      <c r="D143" s="109"/>
      <c r="E143" s="109"/>
      <c r="F143" s="109"/>
      <c r="G143" s="109"/>
      <c r="H143" s="109"/>
    </row>
    <row r="144" spans="1:8" ht="12.75">
      <c r="A144" s="109"/>
      <c r="B144" s="109"/>
      <c r="C144" s="109"/>
      <c r="D144" s="109"/>
      <c r="E144" s="109"/>
      <c r="F144" s="109"/>
      <c r="G144" s="109"/>
      <c r="H144" s="109"/>
    </row>
    <row r="145" spans="1:8" ht="12.75">
      <c r="A145" s="109"/>
      <c r="B145" s="109"/>
      <c r="C145" s="109"/>
      <c r="D145" s="109"/>
      <c r="E145" s="109"/>
      <c r="F145" s="109"/>
      <c r="G145" s="109"/>
      <c r="H145" s="109"/>
    </row>
    <row r="146" spans="1:8" ht="12.75">
      <c r="A146" s="109"/>
      <c r="B146" s="109"/>
      <c r="C146" s="109"/>
      <c r="D146" s="109"/>
      <c r="E146" s="109"/>
      <c r="F146" s="109"/>
      <c r="G146" s="109"/>
      <c r="H146" s="109"/>
    </row>
    <row r="147" spans="1:8" ht="12.75">
      <c r="A147" s="109"/>
      <c r="B147" s="109"/>
      <c r="C147" s="109"/>
      <c r="D147" s="109"/>
      <c r="E147" s="109"/>
      <c r="F147" s="109"/>
      <c r="G147" s="109"/>
      <c r="H147" s="109"/>
    </row>
    <row r="148" spans="1:8" ht="12.75">
      <c r="A148" s="109"/>
      <c r="B148" s="109"/>
      <c r="C148" s="109"/>
      <c r="D148" s="109"/>
      <c r="E148" s="109"/>
      <c r="F148" s="109"/>
      <c r="G148" s="109"/>
      <c r="H148" s="109"/>
    </row>
    <row r="149" spans="1:8" ht="12.75">
      <c r="A149" s="109"/>
      <c r="B149" s="109"/>
      <c r="C149" s="109"/>
      <c r="D149" s="109"/>
      <c r="E149" s="109"/>
      <c r="F149" s="109"/>
      <c r="G149" s="109"/>
      <c r="H149" s="109"/>
    </row>
    <row r="150" spans="1:8" ht="12.75">
      <c r="A150" s="109"/>
      <c r="B150" s="109"/>
      <c r="C150" s="109"/>
      <c r="D150" s="109"/>
      <c r="E150" s="109"/>
      <c r="F150" s="109"/>
      <c r="G150" s="109"/>
      <c r="H150" s="109"/>
    </row>
    <row r="151" spans="1:8" ht="12.75">
      <c r="A151" s="109"/>
      <c r="B151" s="109"/>
      <c r="C151" s="109"/>
      <c r="D151" s="109"/>
      <c r="E151" s="109"/>
      <c r="F151" s="109"/>
      <c r="G151" s="109"/>
      <c r="H151" s="109"/>
    </row>
    <row r="152" spans="1:8" ht="12.75">
      <c r="A152" s="109"/>
      <c r="B152" s="109"/>
      <c r="C152" s="109"/>
      <c r="D152" s="109"/>
      <c r="E152" s="109"/>
      <c r="F152" s="109"/>
      <c r="G152" s="109"/>
      <c r="H152" s="109"/>
    </row>
    <row r="153" spans="1:8" ht="12.75">
      <c r="A153" s="109"/>
      <c r="B153" s="109"/>
      <c r="C153" s="109"/>
      <c r="D153" s="109"/>
      <c r="E153" s="109"/>
      <c r="F153" s="109"/>
      <c r="G153" s="109"/>
      <c r="H153" s="109"/>
    </row>
    <row r="154" spans="1:8" ht="12.75">
      <c r="A154" s="109"/>
      <c r="B154" s="109"/>
      <c r="C154" s="109"/>
      <c r="D154" s="109"/>
      <c r="E154" s="109"/>
      <c r="F154" s="109"/>
      <c r="G154" s="109"/>
      <c r="H154" s="109"/>
    </row>
    <row r="155" spans="1:8" ht="12.75">
      <c r="A155" s="109"/>
      <c r="B155" s="109"/>
      <c r="C155" s="109"/>
      <c r="D155" s="109"/>
      <c r="E155" s="109"/>
      <c r="F155" s="109"/>
      <c r="G155" s="109"/>
      <c r="H155" s="109"/>
    </row>
    <row r="156" spans="1:8" ht="12.75">
      <c r="A156" s="109"/>
      <c r="B156" s="109"/>
      <c r="C156" s="109"/>
      <c r="D156" s="109"/>
      <c r="E156" s="109"/>
      <c r="F156" s="109"/>
      <c r="G156" s="109"/>
      <c r="H156" s="109"/>
    </row>
    <row r="157" spans="1:8" ht="12.75">
      <c r="A157" s="109"/>
      <c r="B157" s="109"/>
      <c r="C157" s="109"/>
      <c r="D157" s="109"/>
      <c r="E157" s="109"/>
      <c r="F157" s="109"/>
      <c r="G157" s="109"/>
      <c r="H157" s="109"/>
    </row>
    <row r="158" spans="1:8" ht="12.75">
      <c r="A158" s="109"/>
      <c r="B158" s="109"/>
      <c r="C158" s="109"/>
      <c r="D158" s="109"/>
      <c r="E158" s="109"/>
      <c r="F158" s="109"/>
      <c r="G158" s="109"/>
      <c r="H158" s="109"/>
    </row>
    <row r="159" spans="1:8" ht="12.75">
      <c r="A159" s="109"/>
      <c r="B159" s="109"/>
      <c r="C159" s="109"/>
      <c r="D159" s="109"/>
      <c r="E159" s="109"/>
      <c r="F159" s="109"/>
      <c r="G159" s="109"/>
      <c r="H159" s="109"/>
    </row>
    <row r="160" spans="1:8" ht="12.75">
      <c r="A160" s="109"/>
      <c r="B160" s="109"/>
      <c r="C160" s="109"/>
      <c r="D160" s="109"/>
      <c r="E160" s="109"/>
      <c r="F160" s="109"/>
      <c r="G160" s="109"/>
      <c r="H160" s="109"/>
    </row>
    <row r="161" spans="1:8" ht="12.75">
      <c r="A161" s="109"/>
      <c r="B161" s="109"/>
      <c r="C161" s="109"/>
      <c r="D161" s="109"/>
      <c r="E161" s="109"/>
      <c r="F161" s="109"/>
      <c r="G161" s="109"/>
      <c r="H161" s="109"/>
    </row>
    <row r="162" spans="1:8" ht="12.75">
      <c r="A162" s="109"/>
      <c r="B162" s="109"/>
      <c r="C162" s="109"/>
      <c r="D162" s="109"/>
      <c r="E162" s="109"/>
      <c r="F162" s="109"/>
      <c r="G162" s="109"/>
      <c r="H162" s="109"/>
    </row>
    <row r="163" spans="1:8" ht="12.75">
      <c r="A163" s="109"/>
      <c r="B163" s="109"/>
      <c r="C163" s="109"/>
      <c r="D163" s="109"/>
      <c r="E163" s="109"/>
      <c r="F163" s="109"/>
      <c r="G163" s="109"/>
      <c r="H163" s="109"/>
    </row>
    <row r="164" spans="1:8" ht="12.75">
      <c r="A164" s="109"/>
      <c r="B164" s="109"/>
      <c r="C164" s="109"/>
      <c r="D164" s="109"/>
      <c r="E164" s="109"/>
      <c r="F164" s="109"/>
      <c r="G164" s="109"/>
      <c r="H164" s="109"/>
    </row>
    <row r="165" spans="1:8" ht="12.75">
      <c r="A165" s="109"/>
      <c r="B165" s="109"/>
      <c r="C165" s="109"/>
      <c r="D165" s="109"/>
      <c r="E165" s="109"/>
      <c r="F165" s="109"/>
      <c r="G165" s="109"/>
      <c r="H165" s="109"/>
    </row>
    <row r="166" spans="1:8" ht="12.75">
      <c r="A166" s="109"/>
      <c r="B166" s="109"/>
      <c r="C166" s="109"/>
      <c r="D166" s="109"/>
      <c r="E166" s="109"/>
      <c r="F166" s="109"/>
      <c r="G166" s="109"/>
      <c r="H166" s="109"/>
    </row>
    <row r="167" spans="1:8" ht="12.75">
      <c r="A167" s="109"/>
      <c r="B167" s="109"/>
      <c r="C167" s="109"/>
      <c r="D167" s="109"/>
      <c r="E167" s="109"/>
      <c r="F167" s="109"/>
      <c r="G167" s="109"/>
      <c r="H167" s="109"/>
    </row>
    <row r="168" spans="1:8" ht="12.75">
      <c r="A168" s="109"/>
      <c r="B168" s="109"/>
      <c r="C168" s="109"/>
      <c r="D168" s="109"/>
      <c r="E168" s="109"/>
      <c r="F168" s="109"/>
      <c r="G168" s="109"/>
      <c r="H168" s="109"/>
    </row>
    <row r="169" spans="1:8" ht="12.75">
      <c r="A169" s="109"/>
      <c r="B169" s="109"/>
      <c r="C169" s="109"/>
      <c r="D169" s="109"/>
      <c r="E169" s="109"/>
      <c r="F169" s="109"/>
      <c r="G169" s="109"/>
      <c r="H169" s="109"/>
    </row>
    <row r="170" spans="1:8" ht="12.75">
      <c r="A170" s="109"/>
      <c r="B170" s="109"/>
      <c r="C170" s="109"/>
      <c r="D170" s="109"/>
      <c r="E170" s="109"/>
      <c r="F170" s="109"/>
      <c r="G170" s="109"/>
      <c r="H170" s="109"/>
    </row>
    <row r="171" spans="1:8" ht="12.75">
      <c r="A171" s="109"/>
      <c r="B171" s="109"/>
      <c r="C171" s="109"/>
      <c r="D171" s="109"/>
      <c r="E171" s="109"/>
      <c r="F171" s="109"/>
      <c r="G171" s="109"/>
      <c r="H171" s="109"/>
    </row>
    <row r="172" spans="1:8" ht="12.75">
      <c r="A172" s="109"/>
      <c r="B172" s="109"/>
      <c r="C172" s="109"/>
      <c r="D172" s="109"/>
      <c r="E172" s="109"/>
      <c r="F172" s="109"/>
      <c r="G172" s="109"/>
      <c r="H172" s="109"/>
    </row>
    <row r="173" spans="1:8" ht="12.75">
      <c r="A173" s="109"/>
      <c r="B173" s="109"/>
      <c r="C173" s="109"/>
      <c r="D173" s="109"/>
      <c r="E173" s="109"/>
      <c r="F173" s="109"/>
      <c r="G173" s="109"/>
      <c r="H173" s="109"/>
    </row>
    <row r="174" spans="1:8" ht="12.75">
      <c r="A174" s="109"/>
      <c r="B174" s="109"/>
      <c r="C174" s="109"/>
      <c r="D174" s="109"/>
      <c r="E174" s="109"/>
      <c r="F174" s="109"/>
      <c r="G174" s="109"/>
      <c r="H174" s="109"/>
    </row>
    <row r="175" spans="1:8" ht="12.75">
      <c r="A175" s="109"/>
      <c r="B175" s="109"/>
      <c r="C175" s="109"/>
      <c r="D175" s="109"/>
      <c r="E175" s="109"/>
      <c r="F175" s="109"/>
      <c r="G175" s="109"/>
      <c r="H175" s="109"/>
    </row>
    <row r="176" spans="1:8" ht="12.75">
      <c r="A176" s="109"/>
      <c r="B176" s="109"/>
      <c r="C176" s="109"/>
      <c r="D176" s="109"/>
      <c r="E176" s="109"/>
      <c r="F176" s="109"/>
      <c r="G176" s="109"/>
      <c r="H176" s="109"/>
    </row>
    <row r="177" spans="1:8" ht="12.75">
      <c r="A177" s="109"/>
      <c r="B177" s="109"/>
      <c r="C177" s="109"/>
      <c r="D177" s="109"/>
      <c r="E177" s="109"/>
      <c r="F177" s="109"/>
      <c r="G177" s="109"/>
      <c r="H177" s="109"/>
    </row>
    <row r="178" spans="1:8" ht="12.75">
      <c r="A178" s="109"/>
      <c r="B178" s="109"/>
      <c r="C178" s="109"/>
      <c r="D178" s="109"/>
      <c r="E178" s="109"/>
      <c r="F178" s="109"/>
      <c r="G178" s="109"/>
      <c r="H178" s="109"/>
    </row>
    <row r="179" spans="1:8" ht="12.75">
      <c r="A179" s="109"/>
      <c r="B179" s="109"/>
      <c r="C179" s="109"/>
      <c r="D179" s="109"/>
      <c r="E179" s="109"/>
      <c r="F179" s="109"/>
      <c r="G179" s="109"/>
      <c r="H179" s="109"/>
    </row>
    <row r="180" spans="1:8" ht="12.75">
      <c r="A180" s="109"/>
      <c r="B180" s="109"/>
      <c r="C180" s="109"/>
      <c r="D180" s="109"/>
      <c r="E180" s="109"/>
      <c r="F180" s="109"/>
      <c r="G180" s="109"/>
      <c r="H180" s="109"/>
    </row>
    <row r="181" spans="1:8" ht="12.75">
      <c r="A181" s="109"/>
      <c r="B181" s="109"/>
      <c r="C181" s="109"/>
      <c r="D181" s="109"/>
      <c r="E181" s="109"/>
      <c r="F181" s="109"/>
      <c r="G181" s="109"/>
      <c r="H181" s="109"/>
    </row>
    <row r="182" spans="1:8" ht="12.75">
      <c r="A182" s="109"/>
      <c r="B182" s="109"/>
      <c r="C182" s="109"/>
      <c r="D182" s="109"/>
      <c r="E182" s="109"/>
      <c r="F182" s="109"/>
      <c r="G182" s="109"/>
      <c r="H182" s="109"/>
    </row>
    <row r="183" spans="1:8" ht="12.75">
      <c r="A183" s="109"/>
      <c r="B183" s="109"/>
      <c r="C183" s="109"/>
      <c r="D183" s="109"/>
      <c r="E183" s="109"/>
      <c r="F183" s="109"/>
      <c r="G183" s="109"/>
      <c r="H183" s="109"/>
    </row>
    <row r="184" spans="1:8" ht="12.75">
      <c r="A184" s="109"/>
      <c r="B184" s="109"/>
      <c r="C184" s="109"/>
      <c r="D184" s="109"/>
      <c r="E184" s="109"/>
      <c r="F184" s="109"/>
      <c r="G184" s="109"/>
      <c r="H184" s="109"/>
    </row>
    <row r="185" spans="1:8" ht="12.75">
      <c r="A185" s="109"/>
      <c r="B185" s="109"/>
      <c r="C185" s="109"/>
      <c r="D185" s="109"/>
      <c r="E185" s="109"/>
      <c r="F185" s="109"/>
      <c r="G185" s="109"/>
      <c r="H185" s="109"/>
    </row>
    <row r="186" spans="1:8" ht="12.75">
      <c r="A186" s="109"/>
      <c r="B186" s="109"/>
      <c r="C186" s="109"/>
      <c r="D186" s="109"/>
      <c r="E186" s="109"/>
      <c r="F186" s="109"/>
      <c r="G186" s="109"/>
      <c r="H186" s="109"/>
    </row>
    <row r="187" spans="1:8" ht="12.75">
      <c r="A187" s="109"/>
      <c r="B187" s="109"/>
      <c r="C187" s="109"/>
      <c r="D187" s="109"/>
      <c r="E187" s="109"/>
      <c r="F187" s="109"/>
      <c r="G187" s="109"/>
      <c r="H187" s="109"/>
    </row>
    <row r="188" spans="1:8" ht="12.75">
      <c r="A188" s="109"/>
      <c r="B188" s="109"/>
      <c r="C188" s="109"/>
      <c r="D188" s="109"/>
      <c r="E188" s="109"/>
      <c r="F188" s="109"/>
      <c r="G188" s="109"/>
      <c r="H188" s="109"/>
    </row>
    <row r="189" spans="1:8" ht="12.75">
      <c r="A189" s="109"/>
      <c r="B189" s="109"/>
      <c r="C189" s="109"/>
      <c r="D189" s="109"/>
      <c r="E189" s="109"/>
      <c r="F189" s="109"/>
      <c r="G189" s="109"/>
      <c r="H189" s="109"/>
    </row>
    <row r="190" spans="1:8" ht="12.75">
      <c r="A190" s="109"/>
      <c r="B190" s="109"/>
      <c r="C190" s="109"/>
      <c r="D190" s="109"/>
      <c r="E190" s="109"/>
      <c r="F190" s="109"/>
      <c r="G190" s="109"/>
      <c r="H190" s="109"/>
    </row>
    <row r="191" spans="1:8" ht="12.75">
      <c r="A191" s="109"/>
      <c r="B191" s="109"/>
      <c r="C191" s="109"/>
      <c r="D191" s="109"/>
      <c r="E191" s="109"/>
      <c r="F191" s="109"/>
      <c r="G191" s="109"/>
      <c r="H191" s="109"/>
    </row>
    <row r="192" spans="1:8" ht="12.75">
      <c r="A192" s="109"/>
      <c r="B192" s="109"/>
      <c r="C192" s="109"/>
      <c r="D192" s="109"/>
      <c r="E192" s="109"/>
      <c r="F192" s="109"/>
      <c r="G192" s="109"/>
      <c r="H192" s="109"/>
    </row>
    <row r="193" spans="1:8" ht="12.75">
      <c r="A193" s="109"/>
      <c r="B193" s="109"/>
      <c r="C193" s="109"/>
      <c r="D193" s="109"/>
      <c r="E193" s="109"/>
      <c r="F193" s="109"/>
      <c r="G193" s="109"/>
      <c r="H193" s="109"/>
    </row>
    <row r="194" spans="1:8" ht="12.75">
      <c r="A194" s="109"/>
      <c r="B194" s="109"/>
      <c r="C194" s="109"/>
      <c r="D194" s="109"/>
      <c r="E194" s="109"/>
      <c r="F194" s="109"/>
      <c r="G194" s="109"/>
      <c r="H194" s="109"/>
    </row>
    <row r="195" spans="1:8" ht="12.75">
      <c r="A195" s="109"/>
      <c r="B195" s="109"/>
      <c r="C195" s="109"/>
      <c r="D195" s="109"/>
      <c r="E195" s="109"/>
      <c r="F195" s="109"/>
      <c r="G195" s="109"/>
      <c r="H195" s="109"/>
    </row>
    <row r="196" spans="1:8" ht="12.75">
      <c r="A196" s="109"/>
      <c r="B196" s="109"/>
      <c r="C196" s="109"/>
      <c r="D196" s="109"/>
      <c r="E196" s="109"/>
      <c r="F196" s="109"/>
      <c r="G196" s="109"/>
      <c r="H196" s="109"/>
    </row>
    <row r="197" spans="1:8" ht="12.75">
      <c r="A197" s="109"/>
      <c r="B197" s="109"/>
      <c r="C197" s="109"/>
      <c r="D197" s="109"/>
      <c r="E197" s="109"/>
      <c r="F197" s="109"/>
      <c r="G197" s="109"/>
      <c r="H197" s="109"/>
    </row>
    <row r="198" spans="1:8" ht="12.75">
      <c r="A198" s="109"/>
      <c r="B198" s="109"/>
      <c r="C198" s="109"/>
      <c r="D198" s="109"/>
      <c r="E198" s="109"/>
      <c r="F198" s="109"/>
      <c r="G198" s="109"/>
      <c r="H198" s="109"/>
    </row>
    <row r="199" spans="1:8" ht="12.75">
      <c r="A199" s="109"/>
      <c r="B199" s="109"/>
      <c r="C199" s="109"/>
      <c r="D199" s="109"/>
      <c r="E199" s="109"/>
      <c r="F199" s="109"/>
      <c r="G199" s="109"/>
      <c r="H199" s="109"/>
    </row>
    <row r="200" spans="1:8" ht="12.75">
      <c r="A200" s="109"/>
      <c r="B200" s="109"/>
      <c r="C200" s="109"/>
      <c r="D200" s="109"/>
      <c r="E200" s="109"/>
      <c r="F200" s="109"/>
      <c r="G200" s="109"/>
      <c r="H200" s="109"/>
    </row>
    <row r="201" spans="1:8" ht="12.75">
      <c r="A201" s="109"/>
      <c r="B201" s="109"/>
      <c r="C201" s="109"/>
      <c r="D201" s="109"/>
      <c r="E201" s="109"/>
      <c r="F201" s="109"/>
      <c r="G201" s="109"/>
      <c r="H201" s="109"/>
    </row>
    <row r="202" spans="1:8" ht="12.75">
      <c r="A202" s="109"/>
      <c r="B202" s="109"/>
      <c r="C202" s="109"/>
      <c r="D202" s="109"/>
      <c r="E202" s="109"/>
      <c r="F202" s="109"/>
      <c r="G202" s="109"/>
      <c r="H202" s="109"/>
    </row>
    <row r="203" spans="1:8" ht="12.75">
      <c r="A203" s="109"/>
      <c r="B203" s="109"/>
      <c r="C203" s="109"/>
      <c r="D203" s="109"/>
      <c r="E203" s="109"/>
      <c r="F203" s="109"/>
      <c r="G203" s="109"/>
      <c r="H203" s="109"/>
    </row>
    <row r="204" spans="1:8" ht="12.75">
      <c r="A204" s="109"/>
      <c r="B204" s="109"/>
      <c r="C204" s="109"/>
      <c r="D204" s="109"/>
      <c r="E204" s="109"/>
      <c r="F204" s="109"/>
      <c r="G204" s="109"/>
      <c r="H204" s="109"/>
    </row>
    <row r="205" spans="1:8" ht="12.75">
      <c r="A205" s="109"/>
      <c r="B205" s="109"/>
      <c r="C205" s="109"/>
      <c r="D205" s="109"/>
      <c r="E205" s="109"/>
      <c r="F205" s="109"/>
      <c r="G205" s="109"/>
      <c r="H205" s="109"/>
    </row>
    <row r="206" spans="1:8" ht="12.75">
      <c r="A206" s="109"/>
      <c r="B206" s="109"/>
      <c r="C206" s="109"/>
      <c r="D206" s="109"/>
      <c r="E206" s="109"/>
      <c r="F206" s="109"/>
      <c r="G206" s="109"/>
      <c r="H206" s="109"/>
    </row>
    <row r="207" spans="1:8" ht="12.75">
      <c r="A207" s="109"/>
      <c r="B207" s="109"/>
      <c r="C207" s="109"/>
      <c r="D207" s="109"/>
      <c r="E207" s="109"/>
      <c r="F207" s="109"/>
      <c r="G207" s="109"/>
      <c r="H207" s="109"/>
    </row>
    <row r="208" spans="1:8" ht="12.75">
      <c r="A208" s="109"/>
      <c r="B208" s="109"/>
      <c r="C208" s="109"/>
      <c r="D208" s="109"/>
      <c r="E208" s="109"/>
      <c r="F208" s="109"/>
      <c r="G208" s="109"/>
      <c r="H208" s="109"/>
    </row>
    <row r="209" spans="1:8" ht="12.75">
      <c r="A209" s="109"/>
      <c r="B209" s="109"/>
      <c r="C209" s="109"/>
      <c r="D209" s="109"/>
      <c r="E209" s="109"/>
      <c r="F209" s="109"/>
      <c r="G209" s="109"/>
      <c r="H209" s="109"/>
    </row>
    <row r="210" spans="1:8" ht="12.75">
      <c r="A210" s="109"/>
      <c r="B210" s="109"/>
      <c r="C210" s="109"/>
      <c r="D210" s="109"/>
      <c r="E210" s="109"/>
      <c r="F210" s="109"/>
      <c r="G210" s="109"/>
      <c r="H210" s="109"/>
    </row>
    <row r="211" spans="1:8" ht="12.75">
      <c r="A211" s="109"/>
      <c r="B211" s="109"/>
      <c r="C211" s="109"/>
      <c r="D211" s="109"/>
      <c r="E211" s="109"/>
      <c r="F211" s="109"/>
      <c r="G211" s="109"/>
      <c r="H211" s="109"/>
    </row>
    <row r="212" spans="1:8" ht="12.75">
      <c r="A212" s="109"/>
      <c r="B212" s="109"/>
      <c r="C212" s="109"/>
      <c r="D212" s="109"/>
      <c r="E212" s="109"/>
      <c r="F212" s="109"/>
      <c r="G212" s="109"/>
      <c r="H212" s="109"/>
    </row>
    <row r="213" spans="1:8" ht="12.75">
      <c r="A213" s="109"/>
      <c r="B213" s="109"/>
      <c r="C213" s="109"/>
      <c r="D213" s="109"/>
      <c r="E213" s="109"/>
      <c r="F213" s="109"/>
      <c r="G213" s="109"/>
      <c r="H213" s="109"/>
    </row>
    <row r="214" spans="1:8" ht="12.75">
      <c r="A214" s="109"/>
      <c r="B214" s="109"/>
      <c r="C214" s="109"/>
      <c r="D214" s="109"/>
      <c r="E214" s="109"/>
      <c r="F214" s="109"/>
      <c r="G214" s="109"/>
      <c r="H214" s="109"/>
    </row>
    <row r="215" spans="1:8" ht="12.75">
      <c r="A215" s="109"/>
      <c r="B215" s="109"/>
      <c r="C215" s="109"/>
      <c r="D215" s="109"/>
      <c r="E215" s="109"/>
      <c r="F215" s="109"/>
      <c r="G215" s="109"/>
      <c r="H215" s="109"/>
    </row>
    <row r="216" spans="1:8" ht="12.75">
      <c r="A216" s="109"/>
      <c r="B216" s="109"/>
      <c r="C216" s="109"/>
      <c r="D216" s="109"/>
      <c r="E216" s="109"/>
      <c r="F216" s="109"/>
      <c r="G216" s="109"/>
      <c r="H216" s="109"/>
    </row>
    <row r="217" spans="1:8" ht="12.75">
      <c r="A217" s="109"/>
      <c r="B217" s="109"/>
      <c r="C217" s="109"/>
      <c r="D217" s="109"/>
      <c r="E217" s="109"/>
      <c r="F217" s="109"/>
      <c r="G217" s="109"/>
      <c r="H217" s="109"/>
    </row>
    <row r="218" spans="1:8" ht="12.75">
      <c r="A218" s="109"/>
      <c r="B218" s="109"/>
      <c r="C218" s="109"/>
      <c r="D218" s="109"/>
      <c r="E218" s="109"/>
      <c r="F218" s="109"/>
      <c r="G218" s="109"/>
      <c r="H218" s="109"/>
    </row>
    <row r="219" spans="1:8" ht="12.75">
      <c r="A219" s="109"/>
      <c r="B219" s="109"/>
      <c r="C219" s="109"/>
      <c r="D219" s="109"/>
      <c r="E219" s="109"/>
      <c r="F219" s="109"/>
      <c r="G219" s="109"/>
      <c r="H219" s="109"/>
    </row>
    <row r="220" spans="1:8" ht="12.75">
      <c r="A220" s="109"/>
      <c r="B220" s="109"/>
      <c r="C220" s="109"/>
      <c r="D220" s="109"/>
      <c r="E220" s="109"/>
      <c r="F220" s="109"/>
      <c r="G220" s="109"/>
      <c r="H220" s="109"/>
    </row>
    <row r="221" spans="1:8" ht="12.75">
      <c r="A221" s="109"/>
      <c r="B221" s="109"/>
      <c r="C221" s="109"/>
      <c r="D221" s="109"/>
      <c r="E221" s="109"/>
      <c r="F221" s="109"/>
      <c r="G221" s="109"/>
      <c r="H221" s="109"/>
    </row>
    <row r="222" spans="1:8" ht="12.75">
      <c r="A222" s="109"/>
      <c r="B222" s="109"/>
      <c r="C222" s="109"/>
      <c r="D222" s="109"/>
      <c r="E222" s="109"/>
      <c r="F222" s="109"/>
      <c r="G222" s="109"/>
      <c r="H222" s="109"/>
    </row>
    <row r="223" spans="1:8" ht="12.75">
      <c r="A223" s="109"/>
      <c r="B223" s="109"/>
      <c r="C223" s="109"/>
      <c r="D223" s="109"/>
      <c r="E223" s="109"/>
      <c r="F223" s="109"/>
      <c r="G223" s="109"/>
      <c r="H223" s="109"/>
    </row>
    <row r="224" spans="1:8" ht="12.75">
      <c r="A224" s="109"/>
      <c r="B224" s="109"/>
      <c r="C224" s="109"/>
      <c r="D224" s="109"/>
      <c r="E224" s="109"/>
      <c r="F224" s="109"/>
      <c r="G224" s="109"/>
      <c r="H224" s="109"/>
    </row>
    <row r="225" spans="1:8" ht="12.75">
      <c r="A225" s="109"/>
      <c r="B225" s="109"/>
      <c r="C225" s="109"/>
      <c r="D225" s="109"/>
      <c r="E225" s="109"/>
      <c r="F225" s="109"/>
      <c r="G225" s="109"/>
      <c r="H225" s="109"/>
    </row>
    <row r="226" spans="1:8" ht="12.75">
      <c r="A226" s="109"/>
      <c r="B226" s="109"/>
      <c r="C226" s="109"/>
      <c r="D226" s="109"/>
      <c r="E226" s="109"/>
      <c r="F226" s="109"/>
      <c r="G226" s="109"/>
      <c r="H226" s="109"/>
    </row>
    <row r="227" spans="1:8" ht="12.75">
      <c r="A227" s="109"/>
      <c r="B227" s="109"/>
      <c r="C227" s="109"/>
      <c r="D227" s="109"/>
      <c r="E227" s="109"/>
      <c r="F227" s="109"/>
      <c r="G227" s="109"/>
      <c r="H227" s="109"/>
    </row>
    <row r="228" spans="1:8" ht="12.75">
      <c r="A228" s="109"/>
      <c r="B228" s="109"/>
      <c r="C228" s="109"/>
      <c r="D228" s="109"/>
      <c r="E228" s="109"/>
      <c r="F228" s="109"/>
      <c r="G228" s="109"/>
      <c r="H228" s="109"/>
    </row>
    <row r="229" spans="1:8" ht="12.75">
      <c r="A229" s="109"/>
      <c r="B229" s="109"/>
      <c r="C229" s="109"/>
      <c r="D229" s="109"/>
      <c r="E229" s="109"/>
      <c r="F229" s="109"/>
      <c r="G229" s="109"/>
      <c r="H229" s="109"/>
    </row>
    <row r="230" spans="1:8" ht="12.75">
      <c r="A230" s="109"/>
      <c r="B230" s="109"/>
      <c r="C230" s="109"/>
      <c r="D230" s="109"/>
      <c r="E230" s="109"/>
      <c r="F230" s="109"/>
      <c r="G230" s="109"/>
      <c r="H230" s="109"/>
    </row>
    <row r="231" spans="1:8" ht="12.75">
      <c r="A231" s="109"/>
      <c r="B231" s="109"/>
      <c r="C231" s="109"/>
      <c r="D231" s="109"/>
      <c r="E231" s="109"/>
      <c r="F231" s="109"/>
      <c r="G231" s="109"/>
      <c r="H231" s="109"/>
    </row>
    <row r="232" spans="1:8" ht="12.75">
      <c r="A232" s="109"/>
      <c r="B232" s="109"/>
      <c r="C232" s="109"/>
      <c r="D232" s="109"/>
      <c r="E232" s="109"/>
      <c r="F232" s="109"/>
      <c r="G232" s="109"/>
      <c r="H232" s="109"/>
    </row>
    <row r="233" spans="1:8" ht="12.75">
      <c r="A233" s="109"/>
      <c r="B233" s="109"/>
      <c r="C233" s="109"/>
      <c r="D233" s="109"/>
      <c r="E233" s="109"/>
      <c r="F233" s="109"/>
      <c r="G233" s="109"/>
      <c r="H233" s="109"/>
    </row>
    <row r="234" spans="1:8" ht="12.75">
      <c r="A234" s="109"/>
      <c r="B234" s="109"/>
      <c r="C234" s="109"/>
      <c r="D234" s="109"/>
      <c r="E234" s="109"/>
      <c r="F234" s="109"/>
      <c r="G234" s="109"/>
      <c r="H234" s="109"/>
    </row>
    <row r="235" spans="1:8" ht="12.75">
      <c r="A235" s="109"/>
      <c r="B235" s="109"/>
      <c r="C235" s="109"/>
      <c r="D235" s="109"/>
      <c r="E235" s="109"/>
      <c r="F235" s="109"/>
      <c r="G235" s="109"/>
      <c r="H235" s="109"/>
    </row>
    <row r="236" spans="1:8" ht="12.75">
      <c r="A236" s="109"/>
      <c r="B236" s="109"/>
      <c r="C236" s="109"/>
      <c r="D236" s="109"/>
      <c r="E236" s="109"/>
      <c r="F236" s="109"/>
      <c r="G236" s="109"/>
      <c r="H236" s="109"/>
    </row>
    <row r="237" spans="1:8" ht="12.75">
      <c r="A237" s="109"/>
      <c r="B237" s="109"/>
      <c r="C237" s="109"/>
      <c r="D237" s="109"/>
      <c r="E237" s="109"/>
      <c r="F237" s="109"/>
      <c r="G237" s="109"/>
      <c r="H237" s="109"/>
    </row>
    <row r="238" spans="1:8" ht="12.75">
      <c r="A238" s="109"/>
      <c r="B238" s="109"/>
      <c r="C238" s="109"/>
      <c r="D238" s="109"/>
      <c r="E238" s="109"/>
      <c r="F238" s="109"/>
      <c r="G238" s="109"/>
      <c r="H238" s="109"/>
    </row>
    <row r="239" spans="1:8" ht="12.75">
      <c r="A239" s="109"/>
      <c r="B239" s="109"/>
      <c r="C239" s="109"/>
      <c r="D239" s="109"/>
      <c r="E239" s="109"/>
      <c r="F239" s="109"/>
      <c r="G239" s="109"/>
      <c r="H239" s="109"/>
    </row>
    <row r="240" spans="1:8" ht="12.75">
      <c r="A240" s="109"/>
      <c r="B240" s="109"/>
      <c r="C240" s="109"/>
      <c r="D240" s="109"/>
      <c r="E240" s="109"/>
      <c r="F240" s="109"/>
      <c r="G240" s="109"/>
      <c r="H240" s="109"/>
    </row>
    <row r="241" spans="1:8" ht="12.75">
      <c r="A241" s="109"/>
      <c r="B241" s="109"/>
      <c r="C241" s="109"/>
      <c r="D241" s="109"/>
      <c r="E241" s="109"/>
      <c r="F241" s="109"/>
      <c r="G241" s="109"/>
      <c r="H241" s="109"/>
    </row>
    <row r="242" spans="1:8" ht="12.75">
      <c r="A242" s="109"/>
      <c r="B242" s="109"/>
      <c r="C242" s="109"/>
      <c r="D242" s="109"/>
      <c r="E242" s="109"/>
      <c r="F242" s="109"/>
      <c r="G242" s="109"/>
      <c r="H242" s="109"/>
    </row>
    <row r="243" spans="1:8" ht="12.75">
      <c r="A243" s="109"/>
      <c r="B243" s="109"/>
      <c r="C243" s="109"/>
      <c r="D243" s="109"/>
      <c r="E243" s="109"/>
      <c r="F243" s="109"/>
      <c r="G243" s="109"/>
      <c r="H243" s="109"/>
    </row>
    <row r="244" spans="1:8" ht="12.75">
      <c r="A244" s="109"/>
      <c r="B244" s="109"/>
      <c r="C244" s="109"/>
      <c r="D244" s="109"/>
      <c r="E244" s="109"/>
      <c r="F244" s="109"/>
      <c r="G244" s="109"/>
      <c r="H244" s="109"/>
    </row>
    <row r="245" spans="1:8" ht="12.75">
      <c r="A245" s="109"/>
      <c r="B245" s="109"/>
      <c r="C245" s="109"/>
      <c r="D245" s="109"/>
      <c r="E245" s="109"/>
      <c r="F245" s="109"/>
      <c r="G245" s="109"/>
      <c r="H245" s="109"/>
    </row>
    <row r="246" spans="1:8" ht="12.75">
      <c r="A246" s="109"/>
      <c r="B246" s="109"/>
      <c r="C246" s="109"/>
      <c r="D246" s="109"/>
      <c r="E246" s="109"/>
      <c r="F246" s="109"/>
      <c r="G246" s="109"/>
      <c r="H246" s="109"/>
    </row>
    <row r="247" spans="1:8" ht="12.75">
      <c r="A247" s="109"/>
      <c r="B247" s="109"/>
      <c r="C247" s="109"/>
      <c r="D247" s="109"/>
      <c r="E247" s="109"/>
      <c r="F247" s="109"/>
      <c r="G247" s="109"/>
      <c r="H247" s="109"/>
    </row>
    <row r="248" spans="1:8" ht="12.75">
      <c r="A248" s="109"/>
      <c r="B248" s="109"/>
      <c r="C248" s="109"/>
      <c r="D248" s="109"/>
      <c r="E248" s="109"/>
      <c r="F248" s="109"/>
      <c r="G248" s="109"/>
      <c r="H248" s="109"/>
    </row>
    <row r="249" spans="1:8" ht="12.75">
      <c r="A249" s="109"/>
      <c r="B249" s="109"/>
      <c r="C249" s="109"/>
      <c r="D249" s="109"/>
      <c r="E249" s="109"/>
      <c r="F249" s="109"/>
      <c r="G249" s="109"/>
      <c r="H249" s="109"/>
    </row>
    <row r="250" spans="1:8" ht="12.75">
      <c r="A250" s="109"/>
      <c r="B250" s="109"/>
      <c r="C250" s="109"/>
      <c r="D250" s="109"/>
      <c r="E250" s="109"/>
      <c r="F250" s="109"/>
      <c r="G250" s="109"/>
      <c r="H250" s="109"/>
    </row>
    <row r="251" spans="1:8" ht="12.75">
      <c r="A251" s="109"/>
      <c r="B251" s="109"/>
      <c r="C251" s="109"/>
      <c r="D251" s="109"/>
      <c r="E251" s="109"/>
      <c r="F251" s="109"/>
      <c r="G251" s="109"/>
      <c r="H251" s="109"/>
    </row>
    <row r="252" spans="1:8" ht="12.75">
      <c r="A252" s="109"/>
      <c r="B252" s="109"/>
      <c r="C252" s="109"/>
      <c r="D252" s="109"/>
      <c r="E252" s="109"/>
      <c r="F252" s="109"/>
      <c r="G252" s="109"/>
      <c r="H252" s="109"/>
    </row>
    <row r="253" spans="1:8" ht="12.75">
      <c r="A253" s="109"/>
      <c r="B253" s="109"/>
      <c r="C253" s="109"/>
      <c r="D253" s="109"/>
      <c r="E253" s="109"/>
      <c r="F253" s="109"/>
      <c r="G253" s="109"/>
      <c r="H253" s="109"/>
    </row>
    <row r="254" spans="1:8" ht="12.75">
      <c r="A254" s="109"/>
      <c r="B254" s="109"/>
      <c r="C254" s="109"/>
      <c r="D254" s="109"/>
      <c r="E254" s="109"/>
      <c r="F254" s="109"/>
      <c r="G254" s="109"/>
      <c r="H254" s="109"/>
    </row>
    <row r="255" spans="1:8" ht="12.75">
      <c r="A255" s="109"/>
      <c r="B255" s="109"/>
      <c r="C255" s="109"/>
      <c r="D255" s="109"/>
      <c r="E255" s="109"/>
      <c r="F255" s="109"/>
      <c r="G255" s="109"/>
      <c r="H255" s="109"/>
    </row>
    <row r="256" spans="1:8" ht="12.75">
      <c r="A256" s="109"/>
      <c r="B256" s="109"/>
      <c r="C256" s="109"/>
      <c r="D256" s="109"/>
      <c r="E256" s="109"/>
      <c r="F256" s="109"/>
      <c r="G256" s="109"/>
      <c r="H256" s="109"/>
    </row>
    <row r="257" spans="1:8" ht="12.75">
      <c r="A257" s="109"/>
      <c r="B257" s="109"/>
      <c r="C257" s="109"/>
      <c r="D257" s="109"/>
      <c r="E257" s="109"/>
      <c r="F257" s="109"/>
      <c r="G257" s="109"/>
      <c r="H257" s="109"/>
    </row>
    <row r="258" spans="1:8" ht="12.75">
      <c r="A258" s="109"/>
      <c r="B258" s="109"/>
      <c r="C258" s="109"/>
      <c r="D258" s="109"/>
      <c r="E258" s="109"/>
      <c r="F258" s="109"/>
      <c r="G258" s="109"/>
      <c r="H258" s="109"/>
    </row>
    <row r="259" spans="1:8" ht="12.75">
      <c r="A259" s="109"/>
      <c r="B259" s="109"/>
      <c r="C259" s="109"/>
      <c r="D259" s="109"/>
      <c r="E259" s="109"/>
      <c r="F259" s="109"/>
      <c r="G259" s="109"/>
      <c r="H259" s="109"/>
    </row>
    <row r="260" spans="1:8" ht="12.75">
      <c r="A260" s="109"/>
      <c r="B260" s="109"/>
      <c r="C260" s="109"/>
      <c r="D260" s="109"/>
      <c r="E260" s="109"/>
      <c r="F260" s="109"/>
      <c r="G260" s="109"/>
      <c r="H260" s="109"/>
    </row>
    <row r="261" spans="1:8" ht="12.75">
      <c r="A261" s="109"/>
      <c r="B261" s="109"/>
      <c r="C261" s="109"/>
      <c r="D261" s="109"/>
      <c r="E261" s="109"/>
      <c r="F261" s="109"/>
      <c r="G261" s="109"/>
      <c r="H261" s="109"/>
    </row>
    <row r="262" spans="1:8" ht="12.75">
      <c r="A262" s="109"/>
      <c r="B262" s="109"/>
      <c r="C262" s="109"/>
      <c r="D262" s="109"/>
      <c r="E262" s="109"/>
      <c r="F262" s="109"/>
      <c r="G262" s="109"/>
      <c r="H262" s="109"/>
    </row>
    <row r="263" spans="1:8" ht="12.75">
      <c r="A263" s="109"/>
      <c r="B263" s="109"/>
      <c r="C263" s="109"/>
      <c r="D263" s="109"/>
      <c r="E263" s="109"/>
      <c r="F263" s="109"/>
      <c r="G263" s="109"/>
      <c r="H263" s="109"/>
    </row>
    <row r="264" spans="1:8" ht="12.75">
      <c r="A264" s="109"/>
      <c r="B264" s="109"/>
      <c r="C264" s="109"/>
      <c r="D264" s="109"/>
      <c r="E264" s="109"/>
      <c r="F264" s="109"/>
      <c r="G264" s="109"/>
      <c r="H264" s="109"/>
    </row>
    <row r="265" spans="1:8" ht="12.75">
      <c r="A265" s="109"/>
      <c r="B265" s="109"/>
      <c r="C265" s="109"/>
      <c r="D265" s="109"/>
      <c r="E265" s="109"/>
      <c r="F265" s="109"/>
      <c r="G265" s="109"/>
      <c r="H265" s="109"/>
    </row>
    <row r="266" spans="1:8" ht="12.75">
      <c r="A266" s="109"/>
      <c r="B266" s="109"/>
      <c r="C266" s="109"/>
      <c r="D266" s="109"/>
      <c r="E266" s="109"/>
      <c r="F266" s="109"/>
      <c r="G266" s="109"/>
      <c r="H266" s="109"/>
    </row>
    <row r="267" spans="1:8" ht="12.75">
      <c r="A267" s="109"/>
      <c r="B267" s="109"/>
      <c r="C267" s="109"/>
      <c r="D267" s="109"/>
      <c r="E267" s="109"/>
      <c r="F267" s="109"/>
      <c r="G267" s="109"/>
      <c r="H267" s="109"/>
    </row>
    <row r="268" spans="1:8" ht="12.75">
      <c r="A268" s="109"/>
      <c r="B268" s="109"/>
      <c r="C268" s="109"/>
      <c r="D268" s="109"/>
      <c r="E268" s="109"/>
      <c r="F268" s="109"/>
      <c r="G268" s="109"/>
      <c r="H268" s="109"/>
    </row>
    <row r="269" spans="1:8" ht="12.75">
      <c r="A269" s="109"/>
      <c r="B269" s="109"/>
      <c r="C269" s="109"/>
      <c r="D269" s="109"/>
      <c r="E269" s="109"/>
      <c r="F269" s="109"/>
      <c r="G269" s="109"/>
      <c r="H269" s="109"/>
    </row>
    <row r="270" spans="1:8" ht="12.75">
      <c r="A270" s="109"/>
      <c r="B270" s="109"/>
      <c r="C270" s="109"/>
      <c r="D270" s="109"/>
      <c r="E270" s="109"/>
      <c r="F270" s="109"/>
      <c r="G270" s="109"/>
      <c r="H270" s="109"/>
    </row>
    <row r="271" spans="1:8" ht="12.75">
      <c r="A271" s="109"/>
      <c r="B271" s="109"/>
      <c r="C271" s="109"/>
      <c r="D271" s="109"/>
      <c r="E271" s="109"/>
      <c r="F271" s="109"/>
      <c r="G271" s="109"/>
      <c r="H271" s="109"/>
    </row>
    <row r="272" spans="1:8" ht="12.75">
      <c r="A272" s="109"/>
      <c r="B272" s="109"/>
      <c r="C272" s="109"/>
      <c r="D272" s="109"/>
      <c r="E272" s="109"/>
      <c r="F272" s="109"/>
      <c r="G272" s="109"/>
      <c r="H272" s="109"/>
    </row>
    <row r="273" spans="1:8" ht="12.75">
      <c r="A273" s="109"/>
      <c r="B273" s="109"/>
      <c r="C273" s="109"/>
      <c r="D273" s="109"/>
      <c r="E273" s="109"/>
      <c r="F273" s="109"/>
      <c r="G273" s="109"/>
      <c r="H273" s="109"/>
    </row>
    <row r="274" spans="1:8" ht="12.75">
      <c r="A274" s="109"/>
      <c r="B274" s="109"/>
      <c r="C274" s="109"/>
      <c r="D274" s="109"/>
      <c r="E274" s="109"/>
      <c r="F274" s="109"/>
      <c r="G274" s="109"/>
      <c r="H274" s="109"/>
    </row>
    <row r="275" spans="1:8" ht="12.75">
      <c r="A275" s="109"/>
      <c r="B275" s="109"/>
      <c r="C275" s="109"/>
      <c r="D275" s="109"/>
      <c r="E275" s="109"/>
      <c r="F275" s="109"/>
      <c r="G275" s="109"/>
      <c r="H275" s="109"/>
    </row>
    <row r="276" spans="1:8" ht="12.75">
      <c r="A276" s="109"/>
      <c r="B276" s="109"/>
      <c r="C276" s="109"/>
      <c r="D276" s="109"/>
      <c r="E276" s="109"/>
      <c r="F276" s="109"/>
      <c r="G276" s="109"/>
      <c r="H276" s="109"/>
    </row>
    <row r="277" spans="1:8" ht="12.75">
      <c r="A277" s="109"/>
      <c r="B277" s="109"/>
      <c r="C277" s="109"/>
      <c r="D277" s="109"/>
      <c r="E277" s="109"/>
      <c r="F277" s="109"/>
      <c r="G277" s="109"/>
      <c r="H277" s="109"/>
    </row>
    <row r="278" spans="1:8" ht="12.75">
      <c r="A278" s="109"/>
      <c r="B278" s="109"/>
      <c r="C278" s="109"/>
      <c r="D278" s="109"/>
      <c r="E278" s="109"/>
      <c r="F278" s="109"/>
      <c r="G278" s="109"/>
      <c r="H278" s="109"/>
    </row>
    <row r="279" spans="1:8" ht="12.75">
      <c r="A279" s="109"/>
      <c r="B279" s="109"/>
      <c r="C279" s="109"/>
      <c r="D279" s="109"/>
      <c r="E279" s="109"/>
      <c r="F279" s="109"/>
      <c r="G279" s="109"/>
      <c r="H279" s="109"/>
    </row>
    <row r="280" spans="1:8" ht="12.75">
      <c r="A280" s="109"/>
      <c r="B280" s="109"/>
      <c r="C280" s="109"/>
      <c r="D280" s="109"/>
      <c r="E280" s="109"/>
      <c r="F280" s="109"/>
      <c r="G280" s="109"/>
      <c r="H280" s="109"/>
    </row>
    <row r="281" spans="1:8" ht="12.75">
      <c r="A281" s="109"/>
      <c r="B281" s="109"/>
      <c r="C281" s="109"/>
      <c r="D281" s="109"/>
      <c r="E281" s="109"/>
      <c r="F281" s="109"/>
      <c r="G281" s="109"/>
      <c r="H281" s="109"/>
    </row>
    <row r="282" spans="1:8" ht="12.75">
      <c r="A282" s="109"/>
      <c r="B282" s="109"/>
      <c r="C282" s="109"/>
      <c r="D282" s="109"/>
      <c r="E282" s="109"/>
      <c r="F282" s="109"/>
      <c r="G282" s="109"/>
      <c r="H282" s="109"/>
    </row>
    <row r="283" spans="1:8" ht="12.75">
      <c r="A283" s="109"/>
      <c r="B283" s="109"/>
      <c r="C283" s="109"/>
      <c r="D283" s="109"/>
      <c r="E283" s="109"/>
      <c r="F283" s="109"/>
      <c r="G283" s="109"/>
      <c r="H283" s="109"/>
    </row>
    <row r="284" spans="1:8" ht="12.75">
      <c r="A284" s="109"/>
      <c r="B284" s="109"/>
      <c r="C284" s="109"/>
      <c r="D284" s="109"/>
      <c r="E284" s="109"/>
      <c r="F284" s="109"/>
      <c r="G284" s="109"/>
      <c r="H284" s="109"/>
    </row>
    <row r="285" spans="1:8" ht="12.75">
      <c r="A285" s="109"/>
      <c r="B285" s="109"/>
      <c r="C285" s="109"/>
      <c r="D285" s="109"/>
      <c r="E285" s="109"/>
      <c r="F285" s="109"/>
      <c r="G285" s="109"/>
      <c r="H285" s="109"/>
    </row>
    <row r="286" spans="1:8" ht="12.75">
      <c r="A286" s="109"/>
      <c r="B286" s="109"/>
      <c r="C286" s="109"/>
      <c r="D286" s="109"/>
      <c r="E286" s="109"/>
      <c r="F286" s="109"/>
      <c r="G286" s="109"/>
      <c r="H286" s="109"/>
    </row>
    <row r="287" spans="1:8" ht="12.75">
      <c r="A287" s="109"/>
      <c r="B287" s="109"/>
      <c r="C287" s="109"/>
      <c r="D287" s="109"/>
      <c r="E287" s="109"/>
      <c r="F287" s="109"/>
      <c r="G287" s="109"/>
      <c r="H287" s="109"/>
    </row>
    <row r="288" spans="1:8" ht="12.75">
      <c r="A288" s="109"/>
      <c r="B288" s="109"/>
      <c r="C288" s="109"/>
      <c r="D288" s="109"/>
      <c r="E288" s="109"/>
      <c r="F288" s="109"/>
      <c r="G288" s="109"/>
      <c r="H288" s="109"/>
    </row>
    <row r="289" spans="1:8" ht="12.75">
      <c r="A289" s="109"/>
      <c r="B289" s="109"/>
      <c r="C289" s="109"/>
      <c r="D289" s="109"/>
      <c r="E289" s="109"/>
      <c r="F289" s="109"/>
      <c r="G289" s="109"/>
      <c r="H289" s="109"/>
    </row>
    <row r="290" spans="1:8" ht="12.75">
      <c r="A290" s="109"/>
      <c r="B290" s="109"/>
      <c r="C290" s="109"/>
      <c r="D290" s="109"/>
      <c r="E290" s="109"/>
      <c r="F290" s="109"/>
      <c r="G290" s="109"/>
      <c r="H290" s="109"/>
    </row>
    <row r="291" spans="1:8" ht="12.75">
      <c r="A291" s="109"/>
      <c r="B291" s="109"/>
      <c r="C291" s="109"/>
      <c r="D291" s="109"/>
      <c r="E291" s="109"/>
      <c r="F291" s="109"/>
      <c r="G291" s="109"/>
      <c r="H291" s="109"/>
    </row>
    <row r="292" spans="1:8" ht="12.75">
      <c r="A292" s="109"/>
      <c r="B292" s="109"/>
      <c r="C292" s="109"/>
      <c r="D292" s="109"/>
      <c r="E292" s="109"/>
      <c r="F292" s="109"/>
      <c r="G292" s="109"/>
      <c r="H292" s="109"/>
    </row>
    <row r="293" spans="1:8" ht="12.75">
      <c r="A293" s="109"/>
      <c r="B293" s="109"/>
      <c r="C293" s="109"/>
      <c r="D293" s="109"/>
      <c r="E293" s="109"/>
      <c r="F293" s="109"/>
      <c r="G293" s="109"/>
      <c r="H293" s="109"/>
    </row>
    <row r="294" spans="1:8" ht="12.75">
      <c r="A294" s="109"/>
      <c r="B294" s="109"/>
      <c r="C294" s="109"/>
      <c r="D294" s="109"/>
      <c r="E294" s="109"/>
      <c r="F294" s="109"/>
      <c r="G294" s="109"/>
      <c r="H294" s="109"/>
    </row>
    <row r="295" spans="1:8" ht="12.75">
      <c r="A295" s="109"/>
      <c r="B295" s="109"/>
      <c r="C295" s="109"/>
      <c r="D295" s="109"/>
      <c r="E295" s="109"/>
      <c r="F295" s="109"/>
      <c r="G295" s="109"/>
      <c r="H295" s="109"/>
    </row>
    <row r="296" spans="1:8" ht="12.75">
      <c r="A296" s="109"/>
      <c r="B296" s="109"/>
      <c r="C296" s="109"/>
      <c r="D296" s="109"/>
      <c r="E296" s="109"/>
      <c r="F296" s="109"/>
      <c r="G296" s="109"/>
      <c r="H296" s="109"/>
    </row>
    <row r="297" spans="1:8" ht="12.75">
      <c r="A297" s="109"/>
      <c r="B297" s="109"/>
      <c r="C297" s="109"/>
      <c r="D297" s="109"/>
      <c r="E297" s="109"/>
      <c r="F297" s="109"/>
      <c r="G297" s="109"/>
      <c r="H297" s="109"/>
    </row>
    <row r="298" spans="1:8" ht="12.75">
      <c r="A298" s="109"/>
      <c r="B298" s="109"/>
      <c r="C298" s="109"/>
      <c r="D298" s="109"/>
      <c r="E298" s="109"/>
      <c r="F298" s="109"/>
      <c r="G298" s="109"/>
      <c r="H298" s="109"/>
    </row>
    <row r="299" spans="1:8" ht="12.75">
      <c r="A299" s="109"/>
      <c r="B299" s="109"/>
      <c r="C299" s="109"/>
      <c r="D299" s="109"/>
      <c r="E299" s="109"/>
      <c r="F299" s="109"/>
      <c r="G299" s="109"/>
      <c r="H299" s="109"/>
    </row>
    <row r="300" spans="1:8" ht="12.75">
      <c r="A300" s="109"/>
      <c r="B300" s="109"/>
      <c r="C300" s="109"/>
      <c r="D300" s="109"/>
      <c r="E300" s="109"/>
      <c r="F300" s="109"/>
      <c r="G300" s="109"/>
      <c r="H300" s="109"/>
    </row>
    <row r="301" spans="1:8" ht="12.75">
      <c r="A301" s="109"/>
      <c r="B301" s="109"/>
      <c r="C301" s="109"/>
      <c r="D301" s="109"/>
      <c r="E301" s="109"/>
      <c r="F301" s="109"/>
      <c r="G301" s="109"/>
      <c r="H301" s="109"/>
    </row>
    <row r="302" spans="1:8" ht="12.75">
      <c r="A302" s="109"/>
      <c r="B302" s="109"/>
      <c r="C302" s="109"/>
      <c r="D302" s="109"/>
      <c r="E302" s="109"/>
      <c r="F302" s="109"/>
      <c r="G302" s="109"/>
      <c r="H302" s="109"/>
    </row>
    <row r="303" spans="1:8" ht="12.75">
      <c r="A303" s="109"/>
      <c r="B303" s="109"/>
      <c r="C303" s="109"/>
      <c r="D303" s="109"/>
      <c r="E303" s="109"/>
      <c r="F303" s="109"/>
      <c r="G303" s="109"/>
      <c r="H303" s="109"/>
    </row>
    <row r="304" spans="1:8" ht="12.75">
      <c r="A304" s="109"/>
      <c r="B304" s="109"/>
      <c r="C304" s="109"/>
      <c r="D304" s="109"/>
      <c r="E304" s="109"/>
      <c r="F304" s="109"/>
      <c r="G304" s="109"/>
      <c r="H304" s="109"/>
    </row>
    <row r="305" spans="1:8" ht="12.75">
      <c r="A305" s="109"/>
      <c r="B305" s="109"/>
      <c r="C305" s="109"/>
      <c r="D305" s="109"/>
      <c r="E305" s="109"/>
      <c r="F305" s="109"/>
      <c r="G305" s="109"/>
      <c r="H305" s="109"/>
    </row>
    <row r="306" spans="1:8" ht="12.75">
      <c r="A306" s="109"/>
      <c r="B306" s="109"/>
      <c r="C306" s="109"/>
      <c r="D306" s="109"/>
      <c r="E306" s="109"/>
      <c r="F306" s="109"/>
      <c r="G306" s="109"/>
      <c r="H306" s="109"/>
    </row>
    <row r="307" spans="1:8" ht="12.75">
      <c r="A307" s="109"/>
      <c r="B307" s="109"/>
      <c r="C307" s="109"/>
      <c r="D307" s="109"/>
      <c r="E307" s="109"/>
      <c r="F307" s="109"/>
      <c r="G307" s="109"/>
      <c r="H307" s="109"/>
    </row>
    <row r="308" spans="1:8" ht="12.75">
      <c r="A308" s="109"/>
      <c r="B308" s="109"/>
      <c r="C308" s="109"/>
      <c r="D308" s="109"/>
      <c r="E308" s="109"/>
      <c r="F308" s="109"/>
      <c r="G308" s="109"/>
      <c r="H308" s="109"/>
    </row>
    <row r="309" spans="1:8" ht="12.75">
      <c r="A309" s="109"/>
      <c r="B309" s="109"/>
      <c r="C309" s="109"/>
      <c r="D309" s="109"/>
      <c r="E309" s="109"/>
      <c r="F309" s="109"/>
      <c r="G309" s="109"/>
      <c r="H309" s="109"/>
    </row>
    <row r="310" spans="1:8" ht="12.75">
      <c r="A310" s="109"/>
      <c r="B310" s="109"/>
      <c r="C310" s="109"/>
      <c r="D310" s="109"/>
      <c r="E310" s="109"/>
      <c r="F310" s="109"/>
      <c r="G310" s="109"/>
      <c r="H310" s="109"/>
    </row>
    <row r="311" spans="1:8" ht="12.75">
      <c r="A311" s="109"/>
      <c r="B311" s="109"/>
      <c r="C311" s="109"/>
      <c r="D311" s="109"/>
      <c r="E311" s="109"/>
      <c r="F311" s="109"/>
      <c r="G311" s="109"/>
      <c r="H311" s="109"/>
    </row>
    <row r="312" spans="1:8" ht="12.75">
      <c r="A312" s="109"/>
      <c r="B312" s="109"/>
      <c r="C312" s="109"/>
      <c r="D312" s="109"/>
      <c r="E312" s="109"/>
      <c r="F312" s="109"/>
      <c r="G312" s="109"/>
      <c r="H312" s="109"/>
    </row>
    <row r="313" spans="1:8" ht="12.75">
      <c r="A313" s="109"/>
      <c r="B313" s="109"/>
      <c r="C313" s="109"/>
      <c r="D313" s="109"/>
      <c r="E313" s="109"/>
      <c r="F313" s="109"/>
      <c r="G313" s="109"/>
      <c r="H313" s="109"/>
    </row>
    <row r="314" spans="1:8" ht="12.75">
      <c r="A314" s="109"/>
      <c r="B314" s="109"/>
      <c r="C314" s="109"/>
      <c r="D314" s="109"/>
      <c r="E314" s="109"/>
      <c r="F314" s="109"/>
      <c r="G314" s="109"/>
      <c r="H314" s="109"/>
    </row>
    <row r="315" spans="1:8" ht="12.75">
      <c r="A315" s="109"/>
      <c r="B315" s="109"/>
      <c r="C315" s="109"/>
      <c r="D315" s="109"/>
      <c r="E315" s="109"/>
      <c r="F315" s="109"/>
      <c r="G315" s="109"/>
      <c r="H315" s="109"/>
    </row>
    <row r="316" spans="1:8" ht="12.75">
      <c r="A316" s="109"/>
      <c r="B316" s="109"/>
      <c r="C316" s="109"/>
      <c r="D316" s="109"/>
      <c r="E316" s="109"/>
      <c r="F316" s="109"/>
      <c r="G316" s="109"/>
      <c r="H316" s="109"/>
    </row>
    <row r="317" spans="1:8" ht="12.75">
      <c r="A317" s="109"/>
      <c r="B317" s="109"/>
      <c r="C317" s="109"/>
      <c r="D317" s="109"/>
      <c r="E317" s="109"/>
      <c r="F317" s="109"/>
      <c r="G317" s="109"/>
      <c r="H317" s="109"/>
    </row>
    <row r="318" spans="1:8" ht="12.75">
      <c r="A318" s="109"/>
      <c r="B318" s="109"/>
      <c r="C318" s="109"/>
      <c r="D318" s="109"/>
      <c r="E318" s="109"/>
      <c r="F318" s="109"/>
      <c r="G318" s="109"/>
      <c r="H318" s="109"/>
    </row>
    <row r="319" spans="1:8" ht="12.75">
      <c r="A319" s="109"/>
      <c r="B319" s="109"/>
      <c r="C319" s="109"/>
      <c r="D319" s="109"/>
      <c r="E319" s="109"/>
      <c r="F319" s="109"/>
      <c r="G319" s="109"/>
      <c r="H319" s="109"/>
    </row>
    <row r="320" spans="1:8" ht="12.75">
      <c r="A320" s="109"/>
      <c r="B320" s="109"/>
      <c r="C320" s="109"/>
      <c r="D320" s="109"/>
      <c r="E320" s="109"/>
      <c r="F320" s="109"/>
      <c r="G320" s="109"/>
      <c r="H320" s="109"/>
    </row>
    <row r="321" spans="1:8" ht="12.75">
      <c r="A321" s="109"/>
      <c r="B321" s="109"/>
      <c r="C321" s="109"/>
      <c r="D321" s="109"/>
      <c r="E321" s="109"/>
      <c r="F321" s="109"/>
      <c r="G321" s="109"/>
      <c r="H321" s="109"/>
    </row>
    <row r="322" spans="1:8" ht="12.75">
      <c r="A322" s="109"/>
      <c r="B322" s="109"/>
      <c r="C322" s="109"/>
      <c r="D322" s="109"/>
      <c r="E322" s="109"/>
      <c r="F322" s="109"/>
      <c r="G322" s="109"/>
      <c r="H322" s="109"/>
    </row>
    <row r="323" spans="1:8" ht="12.75">
      <c r="A323" s="109"/>
      <c r="B323" s="109"/>
      <c r="C323" s="109"/>
      <c r="D323" s="109"/>
      <c r="E323" s="109"/>
      <c r="F323" s="109"/>
      <c r="G323" s="109"/>
      <c r="H323" s="109"/>
    </row>
    <row r="324" spans="1:8" ht="12.75">
      <c r="A324" s="109"/>
      <c r="B324" s="109"/>
      <c r="C324" s="109"/>
      <c r="D324" s="109"/>
      <c r="E324" s="109"/>
      <c r="F324" s="109"/>
      <c r="G324" s="109"/>
      <c r="H324" s="109"/>
    </row>
    <row r="325" spans="1:8" ht="12.75">
      <c r="A325" s="109"/>
      <c r="B325" s="109"/>
      <c r="C325" s="109"/>
      <c r="D325" s="109"/>
      <c r="E325" s="109"/>
      <c r="F325" s="109"/>
      <c r="G325" s="109"/>
      <c r="H325" s="109"/>
    </row>
    <row r="326" spans="1:8" ht="12.75">
      <c r="A326" s="109"/>
      <c r="B326" s="109"/>
      <c r="C326" s="109"/>
      <c r="D326" s="109"/>
      <c r="E326" s="109"/>
      <c r="F326" s="109"/>
      <c r="G326" s="109"/>
      <c r="H326" s="109"/>
    </row>
    <row r="327" spans="1:8" ht="12.75">
      <c r="A327" s="109"/>
      <c r="B327" s="109"/>
      <c r="C327" s="109"/>
      <c r="D327" s="109"/>
      <c r="E327" s="109"/>
      <c r="F327" s="109"/>
      <c r="G327" s="109"/>
      <c r="H327" s="109"/>
    </row>
    <row r="328" spans="1:8" ht="12.75">
      <c r="A328" s="109"/>
      <c r="B328" s="109"/>
      <c r="C328" s="109"/>
      <c r="D328" s="109"/>
      <c r="E328" s="109"/>
      <c r="F328" s="109"/>
      <c r="G328" s="109"/>
      <c r="H328" s="109"/>
    </row>
    <row r="329" spans="1:8" ht="12.75">
      <c r="A329" s="109"/>
      <c r="B329" s="109"/>
      <c r="C329" s="109"/>
      <c r="D329" s="109"/>
      <c r="E329" s="109"/>
      <c r="F329" s="109"/>
      <c r="G329" s="109"/>
      <c r="H329" s="109"/>
    </row>
    <row r="330" spans="1:8" ht="12.75">
      <c r="A330" s="109"/>
      <c r="B330" s="109"/>
      <c r="C330" s="109"/>
      <c r="D330" s="109"/>
      <c r="E330" s="109"/>
      <c r="F330" s="109"/>
      <c r="G330" s="109"/>
      <c r="H330" s="109"/>
    </row>
    <row r="331" spans="1:8" ht="12.75">
      <c r="A331" s="109"/>
      <c r="B331" s="109"/>
      <c r="C331" s="109"/>
      <c r="D331" s="109"/>
      <c r="E331" s="109"/>
      <c r="F331" s="109"/>
      <c r="G331" s="109"/>
      <c r="H331" s="109"/>
    </row>
    <row r="332" spans="1:8" ht="12.75">
      <c r="A332" s="109"/>
      <c r="B332" s="109"/>
      <c r="C332" s="109"/>
      <c r="D332" s="109"/>
      <c r="E332" s="109"/>
      <c r="F332" s="109"/>
      <c r="G332" s="109"/>
      <c r="H332" s="109"/>
    </row>
    <row r="333" spans="1:8" ht="12.75">
      <c r="A333" s="109"/>
      <c r="B333" s="109"/>
      <c r="C333" s="109"/>
      <c r="D333" s="109"/>
      <c r="E333" s="109"/>
      <c r="F333" s="109"/>
      <c r="G333" s="109"/>
      <c r="H333" s="109"/>
    </row>
    <row r="334" spans="1:8" ht="12.75">
      <c r="A334" s="109"/>
      <c r="B334" s="109"/>
      <c r="C334" s="109"/>
      <c r="D334" s="109"/>
      <c r="E334" s="109"/>
      <c r="F334" s="109"/>
      <c r="G334" s="109"/>
      <c r="H334" s="109"/>
    </row>
    <row r="335" spans="1:8" ht="12.75">
      <c r="A335" s="109"/>
      <c r="B335" s="109"/>
      <c r="C335" s="109"/>
      <c r="D335" s="109"/>
      <c r="E335" s="109"/>
      <c r="F335" s="109"/>
      <c r="G335" s="109"/>
      <c r="H335" s="109"/>
    </row>
    <row r="336" spans="1:8" ht="12.75">
      <c r="A336" s="109"/>
      <c r="B336" s="109"/>
      <c r="C336" s="109"/>
      <c r="D336" s="109"/>
      <c r="E336" s="109"/>
      <c r="F336" s="109"/>
      <c r="G336" s="109"/>
      <c r="H336" s="109"/>
    </row>
    <row r="337" spans="1:8" ht="12.75">
      <c r="A337" s="109"/>
      <c r="B337" s="109"/>
      <c r="C337" s="109"/>
      <c r="D337" s="109"/>
      <c r="E337" s="109"/>
      <c r="F337" s="109"/>
      <c r="G337" s="109"/>
      <c r="H337" s="109"/>
    </row>
    <row r="338" spans="1:8" ht="12.75">
      <c r="A338" s="109"/>
      <c r="B338" s="109"/>
      <c r="C338" s="109"/>
      <c r="D338" s="109"/>
      <c r="E338" s="109"/>
      <c r="F338" s="109"/>
      <c r="G338" s="109"/>
      <c r="H338" s="109"/>
    </row>
  </sheetData>
  <autoFilter ref="A5:H138" xr:uid="{00000000-0009-0000-0000-00002C000000}"/>
  <dataValidations count="1">
    <dataValidation type="list" allowBlank="1" showInputMessage="1" showErrorMessage="1" sqref="F6" xr:uid="{00000000-0002-0000-2C00-000000000000}">
      <formula1>"yes,no"</formula1>
    </dataValidation>
  </dataValidations>
  <pageMargins left="0.7" right="0.7" top="0.75" bottom="0.75" header="0.3" footer="0.3"/>
  <pageSetup orientation="portrait"/>
  <customProperties>
    <customPr name="MMSheetType"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D133"/>
  <sheetViews>
    <sheetView showGridLines="0" zoomScale="70" workbookViewId="0">
      <selection activeCell="B27" sqref="B27"/>
    </sheetView>
  </sheetViews>
  <sheetFormatPr defaultColWidth="0" defaultRowHeight="9.75" zeroHeight="1"/>
  <cols>
    <col min="1" max="1" width="30.81640625" customWidth="1"/>
    <col min="2" max="2" width="20.453125" customWidth="1"/>
    <col min="3" max="3" width="139.453125" customWidth="1"/>
    <col min="4" max="4" width="8.81640625" customWidth="1"/>
    <col min="5" max="13" width="8.81640625" hidden="1" customWidth="1"/>
    <col min="14" max="16384" width="8.81640625" hidden="1"/>
  </cols>
  <sheetData>
    <row r="1" spans="1:3"/>
    <row r="2" spans="1:3"/>
    <row r="3" spans="1:3"/>
    <row r="4" spans="1:3"/>
    <row r="5" spans="1:3"/>
    <row r="6" spans="1:3"/>
    <row r="7" spans="1:3"/>
    <row r="8" spans="1:3"/>
    <row r="9" spans="1:3" ht="17.25">
      <c r="A9" s="285" t="s">
        <v>116</v>
      </c>
      <c r="B9" s="103"/>
      <c r="C9" s="103"/>
    </row>
    <row r="10" spans="1:3" ht="10.15">
      <c r="A10" s="103"/>
      <c r="B10" s="103"/>
      <c r="C10" s="103"/>
    </row>
    <row r="11" spans="1:3" ht="10.15">
      <c r="A11" s="103"/>
      <c r="B11" s="103"/>
      <c r="C11" s="103"/>
    </row>
    <row r="12" spans="1:3" ht="15.4">
      <c r="A12" s="176" t="s">
        <v>266</v>
      </c>
      <c r="B12" s="163">
        <v>14000</v>
      </c>
      <c r="C12" s="163">
        <v>14000</v>
      </c>
    </row>
    <row r="13" spans="1:3" ht="15.4">
      <c r="A13" s="176" t="s">
        <v>117</v>
      </c>
      <c r="B13" s="205">
        <v>0.2</v>
      </c>
      <c r="C13" s="205">
        <v>0.2</v>
      </c>
    </row>
    <row r="14" spans="1:3" ht="15.4">
      <c r="A14" s="176" t="s">
        <v>267</v>
      </c>
      <c r="B14" s="181">
        <v>14000</v>
      </c>
      <c r="C14" s="181">
        <v>14000</v>
      </c>
    </row>
    <row r="15" spans="1:3" ht="15.4">
      <c r="A15" s="176" t="s">
        <v>322</v>
      </c>
      <c r="B15" s="187">
        <v>40179</v>
      </c>
      <c r="C15" s="187">
        <v>40179</v>
      </c>
    </row>
    <row r="16" spans="1:3" ht="15.4">
      <c r="A16" s="176"/>
      <c r="B16" s="103"/>
      <c r="C16" s="103"/>
    </row>
    <row r="17" spans="1:3" ht="15.4">
      <c r="A17" s="176" t="s">
        <v>321</v>
      </c>
      <c r="B17" s="2">
        <v>0</v>
      </c>
      <c r="C17" s="2">
        <v>0</v>
      </c>
    </row>
    <row r="18" spans="1:3" ht="15.4">
      <c r="A18" s="176" t="s">
        <v>201</v>
      </c>
      <c r="B18" s="168">
        <v>0</v>
      </c>
      <c r="C18" s="168">
        <v>0</v>
      </c>
    </row>
    <row r="19" spans="1:3" ht="15.4">
      <c r="A19" s="176" t="s">
        <v>0</v>
      </c>
      <c r="B19" s="58">
        <v>0.2</v>
      </c>
      <c r="C19" s="58">
        <v>0.2</v>
      </c>
    </row>
    <row r="20" spans="1:3" ht="15.4">
      <c r="A20" s="176" t="s">
        <v>154</v>
      </c>
      <c r="B20" s="8">
        <v>42095</v>
      </c>
      <c r="C20" s="8">
        <v>42095</v>
      </c>
    </row>
    <row r="21" spans="1:3" ht="15.4">
      <c r="A21" s="176"/>
      <c r="B21" s="103"/>
      <c r="C21" s="103"/>
    </row>
    <row r="22" spans="1:3" ht="15.4">
      <c r="A22" s="176" t="s">
        <v>302</v>
      </c>
      <c r="B22" s="9">
        <v>0</v>
      </c>
      <c r="C22" s="9">
        <v>0</v>
      </c>
    </row>
    <row r="23" spans="1:3" ht="15.4">
      <c r="A23" s="176" t="s">
        <v>283</v>
      </c>
      <c r="B23" s="180">
        <v>0</v>
      </c>
      <c r="C23" s="180">
        <v>0</v>
      </c>
    </row>
    <row r="24" spans="1:3" ht="15.4">
      <c r="A24" s="176" t="s">
        <v>140</v>
      </c>
      <c r="B24" s="188">
        <v>0</v>
      </c>
      <c r="C24" s="188">
        <v>0</v>
      </c>
    </row>
    <row r="25" spans="1:3" ht="13.15">
      <c r="A25" s="282" t="s">
        <v>24</v>
      </c>
      <c r="B25" s="160">
        <v>41455</v>
      </c>
      <c r="C25" s="160">
        <v>41455</v>
      </c>
    </row>
    <row r="26" spans="1:3" ht="10.5" thickBot="1">
      <c r="A26" s="103"/>
      <c r="B26" s="103"/>
      <c r="C26" s="103"/>
    </row>
    <row r="27" spans="1:3" ht="15.75" thickBot="1">
      <c r="A27" s="176" t="s">
        <v>2</v>
      </c>
      <c r="B27" s="291"/>
    </row>
    <row r="28" spans="1:3" ht="10.15" thickBot="1"/>
    <row r="29" spans="1:3" ht="10.15" thickBot="1">
      <c r="A29" t="s">
        <v>26</v>
      </c>
      <c r="B29" s="210"/>
    </row>
    <row r="30" spans="1:3" ht="10.15" thickTop="1"/>
    <row r="31" spans="1:3"/>
    <row r="32" spans="1:3"/>
    <row r="33" customFormat="1"/>
    <row r="34" customFormat="1"/>
    <row r="35" customFormat="1"/>
    <row r="36" customFormat="1"/>
    <row r="37" customFormat="1"/>
    <row r="38" customFormat="1"/>
    <row r="39" customFormat="1"/>
    <row r="40" customFormat="1"/>
    <row r="41" customFormat="1"/>
    <row r="42" customFormat="1"/>
    <row r="43" customFormat="1"/>
    <row r="44" customFormat="1" hidden="1"/>
    <row r="45" customFormat="1" hidden="1"/>
    <row r="46" customFormat="1" hidden="1"/>
    <row r="47" customFormat="1" hidden="1"/>
    <row r="48" customFormat="1" hidden="1"/>
    <row r="49" customFormat="1" hidden="1"/>
    <row r="50" customFormat="1" hidden="1"/>
    <row r="51" customFormat="1" hidden="1"/>
    <row r="52" customFormat="1" hidden="1"/>
    <row r="53" customFormat="1" hidden="1"/>
    <row r="54" customFormat="1" hidden="1"/>
    <row r="55" customFormat="1" hidden="1"/>
    <row r="56" customFormat="1" hidden="1"/>
    <row r="57" customFormat="1" hidden="1"/>
    <row r="58" customFormat="1" hidden="1"/>
    <row r="59" customFormat="1" hidden="1"/>
    <row r="60" customFormat="1" hidden="1"/>
    <row r="61" customFormat="1" hidden="1"/>
    <row r="62" customFormat="1" hidden="1"/>
    <row r="63" customFormat="1" hidden="1"/>
    <row r="64" customFormat="1" hidden="1"/>
    <row r="65" customFormat="1" hidden="1"/>
    <row r="66" customFormat="1" hidden="1"/>
    <row r="67" customFormat="1" hidden="1"/>
    <row r="68" customFormat="1" hidden="1"/>
    <row r="69" customFormat="1" hidden="1"/>
    <row r="70" customFormat="1" hidden="1"/>
    <row r="71" customFormat="1" hidden="1"/>
    <row r="72" customFormat="1" hidden="1"/>
    <row r="73" customFormat="1" hidden="1"/>
    <row r="74" customFormat="1" hidden="1"/>
    <row r="75" customFormat="1" hidden="1"/>
    <row r="76" customFormat="1" hidden="1"/>
    <row r="77" customFormat="1" hidden="1"/>
    <row r="78" customFormat="1" hidden="1"/>
    <row r="79" customFormat="1" hidden="1"/>
    <row r="80" customFormat="1" hidden="1"/>
    <row r="81" customFormat="1" hidden="1"/>
    <row r="82" customFormat="1" hidden="1"/>
    <row r="83" customFormat="1" hidden="1"/>
    <row r="84" customFormat="1" hidden="1"/>
    <row r="85" customFormat="1" hidden="1"/>
    <row r="86" customFormat="1" hidden="1"/>
    <row r="87" customFormat="1" hidden="1"/>
    <row r="88" customFormat="1" hidden="1"/>
    <row r="89" customFormat="1" hidden="1"/>
    <row r="90" customFormat="1" hidden="1"/>
    <row r="91" customFormat="1" hidden="1"/>
    <row r="92" customFormat="1" hidden="1"/>
    <row r="93" customFormat="1" hidden="1"/>
    <row r="94" customFormat="1" hidden="1"/>
    <row r="95" customFormat="1" hidden="1"/>
    <row r="96" customFormat="1" hidden="1"/>
    <row r="97" customFormat="1" hidden="1"/>
    <row r="98" customFormat="1" hidden="1"/>
    <row r="99" customFormat="1" hidden="1"/>
    <row r="100" customFormat="1" hidden="1"/>
    <row r="101" customFormat="1" hidden="1"/>
    <row r="102" customFormat="1" hidden="1"/>
    <row r="103" customFormat="1" hidden="1"/>
    <row r="104" customFormat="1" hidden="1"/>
    <row r="105" customFormat="1" hidden="1"/>
    <row r="106" customFormat="1" hidden="1"/>
    <row r="107" customFormat="1" hidden="1"/>
    <row r="108" customFormat="1" hidden="1"/>
    <row r="109" customFormat="1" hidden="1"/>
    <row r="110" customFormat="1" hidden="1"/>
    <row r="111" customFormat="1" hidden="1"/>
    <row r="112" customFormat="1" hidden="1"/>
    <row r="113" customFormat="1" hidden="1"/>
    <row r="114" customFormat="1" hidden="1"/>
    <row r="115" customFormat="1" hidden="1"/>
    <row r="116" customFormat="1" hidden="1"/>
    <row r="117" customFormat="1" hidden="1"/>
    <row r="118" customFormat="1" hidden="1"/>
    <row r="119" customFormat="1" hidden="1"/>
    <row r="120" customFormat="1" hidden="1"/>
    <row r="121" customFormat="1" hidden="1"/>
    <row r="122" customFormat="1" hidden="1"/>
    <row r="123" customFormat="1" hidden="1"/>
    <row r="124" customFormat="1" hidden="1"/>
    <row r="125" customFormat="1" hidden="1"/>
    <row r="126" customFormat="1" hidden="1"/>
    <row r="127" customFormat="1" hidden="1"/>
    <row r="128" customFormat="1" hidden="1"/>
    <row r="129" customFormat="1" hidden="1"/>
    <row r="130" customFormat="1" hidden="1"/>
    <row r="131" customFormat="1" hidden="1"/>
    <row r="132" customFormat="1" hidden="1"/>
    <row r="133" customFormat="1" hidden="1"/>
  </sheetData>
  <pageMargins left="0.7" right="0.7" top="0.75" bottom="0.75" header="0.3" footer="0.3"/>
  <pageSetup paperSize="9" orientation="portrait"/>
  <customProperties>
    <customPr name="MMSheetType"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ModelMaker>
<![CDATA[{
  "$id": "1",
  "$type": "ModelMaker.Models.Project, ModelMaker",
  "CanShowCompletionItems": true,
  "HistoricResults": null,
  "SelectedEquationNodes": {
    "$type": "System.Collections.Generic.List`1[[ModelMakerEngine.IEquationNode, ModelMakerEngine]], mscorlib",
    "$values": []
  },
  "HasMultipleTimelines": false,
  "Dimensions": {
    "$type": "ModelMakerEngine.MMDimensions, ModelMakerEngine",
    "$values": []
  },
  "HasDimensions": false,
  "DefaultUnit": {
    "$id": "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FileVersion": 2,
  "FilePath": "C:\\Users\\andyd\\OneDrive\\Documents\\Financial Models\\AQR\\Aquarate.obz",
  "Nodes": {
    "$type": "ModelMaker.Models.ProjectItemSet`1[[ModelMakerEngine.INode, ModelMakerEngine]], ModelMaker",
    "$values": [
      {
        "$id": "3",
        "$type": "ModelMaker.GroupNode, ModelMaker",
        "TabOrHeaderColour": "",
        "Comment": "",
        "NameOfGroup": null,
        "YPosition": 0,
        "Folded": false,
        "Font": null,
        "Children": {
          "$type": "ModelMaker.GroupNodeChildCollection, ModelMaker",
          "$values": [
            {
              "$id": "4",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9d0fa2ce-c5c6-4e6c-b391-3b2bdd75a7cd",
              "Dimensions": {
                "$type": "ModelMakerEngine.MMDimensions, ModelMakerEngine",
                "$values": []
              },
              "EquationOBXInternal": "",
              "NameOfGroup": "Unallocated",
              "EquationToParse": "",
              "MostRecentExpectedUnitErrors": null,
              "Units": {
                "$ref": "2"
              },
              "Name": "Net Cashflow",
              "ReportLines": {
                "$type": "ModelMaker.UndoableCollection`1[[ModelMakerEngine.IReportLine, ModelMakerEngine]], ModelMaker.Undo",
                "$values": [
                  {
                    "$id": "5",
                    "$type": "ModelMaker.ReportLine, ModelMaker",
                    "ActualsItemName": null,
                    "ActualsInput": null,
                    "AssociatedSchematicNode": {
                      "$ref": "4"
                    },
                    "OpeningBalanceFlagAppliedName": "",
                    "SumOfAboveIncludesPreviousTotal": true,
                    "LastNameUsed": null,
                    "SwitchSignForReport": false,
                    "IsSumOfAbove": true,
                    "ParentReport": {
                      "$id": "6",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7",
                            "$type": "ModelMaker.ReportLine, ModelMaker",
                            "ActualsItemName": null,
                            "ActualsInput": null,
                            "AssociatedSchematicNode": {
                              "$id": "8",
                              "$type": "ModelMaker.VariableNode, ModelMaker",
                              "RowTotalDependent": null,
                              "PutCalculationOnReport": false,
                              "CalculateOnThisReport": null,
                              "PivotTableLink": null,
                              "NumberFormatOverride": null,
                              "HasOpeningBalanceFlag": false,
                              "OpeningBalanceFlagAppliedName": "",
                              "ToolTip": "\n Is on Working Capital=DELAY([New Deferred Income from customer orders], [Customer payment terms (months)],0) + DELAY([Output VAT], [Customer payment terms (months)],0)  (GBP)",
                              "Deletable": true,
                              "Comment": "",
                              "HasSwitchSignLine": false,
                              "SwitchSignForReport": false,
                              "MultipleInputValues": null,
                              "NonPrimaryInput": false,
                              "Max": "NaN",
                              "Min": "NaN",
                              "IsBalanceButNotCorkscrew": false,
                              "IsEditable": true,
                              "IsConstant": false,
                              "UniqueID": "2b9bd91c-c9f9-468c-9f42-1e4be3f63d52",
                              "Dimensions": {
                                "$type": "ModelMakerEngine.MMDimensions, ModelMakerEngine",
                                "$values": []
                              },
                              "EquationOBXInternal": "DELAY([New Deferred Income from customer orders], [Customer payment terms (months)],0) + DELAY([Output VAT], [Customer payment terms (months)],0) ",
                              "NameOfGroup": "Unallocated",
                              "EquationToParse": "DELAY([New Deferred Income from customer orders], [Customer payment terms (months)],0) + DELAY([Output VAT], [Customer payment terms (months)],0) ",
                              "MostRecentExpectedUnitErrors": null,
                              "Units": {
                                "$id": "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in from Sales",
                              "ReportLines": {
                                "$type": "ModelMaker.UndoableCollection`1[[ModelMakerEngine.IReportLine, ModelMakerEngine]], ModelMaker.Undo",
                                "$values": [
                                  {
                                    "$ref": "7"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
                            "$type": "ModelMaker.ReportLine, ModelMaker",
                            "ActualsItemName": null,
                            "ActualsInput": null,
                            "AssociatedSchematicNode": {
                              "$id": "11",
                              "$type": "ModelMaker.VariableNode, ModelMaker",
                              "RowTotalDependent": null,
                              "PutCalculationOnReport": false,
                              "CalculateOnThisReport": null,
                              "PivotTableLink": null,
                              "NumberFormatOverride": null,
                              "HasOpeningBalanceFlag": false,
                              "OpeningBalanceFlagAppliedName": "",
                              "ToolTip": "\n Is on Working Capital= [Fixed operating expense] + [Variable Operating expense] +[VAT on operating expense] (GBP)",
                              "Deletable": true,
                              "Comment": "",
                              "HasSwitchSignLine": true,
                              "SwitchSignForReport": true,
                              "MultipleInputValues": null,
                              "NonPrimaryInput": false,
                              "Max": "NaN",
                              "Min": "NaN",
                              "IsBalanceButNotCorkscrew": false,
                              "IsEditable": true,
                              "IsConstant": false,
                              "UniqueID": "45385125-19fd-4544-8a61-650e3957975a",
                              "Dimensions": {
                                "$type": "ModelMakerEngine.MMDimensions, ModelMakerEngine",
                                "$values": []
                              },
                              "EquationOBXInternal": " [Fixed operating expense] + [Variable Operating expense] +[VAT on operating expense]",
                              "NameOfGroup": "Working Capital",
                              "EquationToParse": " [Fixed operating expense] + [Variable Operating expense] +[VAT on operating expense]",
                              "MostRecentExpectedUnitErrors": null,
                              "Units": {
                                "$ref": "2"
                              },
                              "Name": "Cash out on Operating Expense",
                              "ReportLines": {
                                "$type": "ModelMaker.UndoableCollection`1[[ModelMakerEngine.IReportLine, ModelMakerEngine]], ModelMaker.Undo",
                                "$values": [
                                  {
                                    "$ref": "1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Working Capital",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2",
                            "$type": "ModelMaker.ReportLine, ModelMaker",
                            "ActualsItemName": null,
                            "ActualsInput": null,
                            "AssociatedSchematicNode": {
                              "$id": "13",
                              "$type": "ModelMaker.VariableNode, ModelMaker",
                              "RowTotalDependent": null,
                              "PutCalculationOnReport": false,
                              "CalculateOnThisReport": null,
                              "PivotTableLink": null,
                              "NumberFormatOverride": null,
                              "HasOpeningBalanceFlag": false,
                              "OpeningBalanceFlagAppliedName": "",
                              "ToolTip": "\n Is on VAT=DELAY([VAT quarterly return],[VAT payment delay],0) (GBP)",
                              "Deletable": true,
                              "Comment": "",
                              "HasSwitchSignLine": true,
                              "SwitchSignForReport": true,
                              "MultipleInputValues": null,
                              "NonPrimaryInput": false,
                              "Max": "NaN",
                              "Min": "NaN",
                              "IsBalanceButNotCorkscrew": false,
                              "IsEditable": true,
                              "IsConstant": false,
                              "UniqueID": "0d099c95-2e41-43fe-a128-528f9580b9e8",
                              "Dimensions": {
                                "$type": "ModelMakerEngine.MMDimensions, ModelMakerEngine",
                                "$values": []
                              },
                              "EquationOBXInternal": "DELAY([VAT quarterly return],[VAT payment delay],0)",
                              "NameOfGroup": "VAT",
                              "EquationToParse": "DELAY([VAT quarterly return],[VAT payment delay],0)",
                              "MostRecentExpectedUnitErrors": null,
                              "Units": {
                                "$id": "1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paid",
                              "ReportLines": {
                                "$type": "ModelMaker.UndoableCollection`1[[ModelMakerEngine.IReportLine, ModelMakerEngine]], ModelMaker.Undo",
                                "$values": [
                                  {
                                    "$ref": "1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
                            "$type": "ModelMaker.ReportLine, ModelMaker",
                            "ActualsItemName": null,
                            "ActualsInput": null,
                            "AssociatedSchematicNode": {
                              "$id": "16",
                              "$type": "ModelMaker.VariableNode, ModelMaker",
                              "RowTotalDependent": null,
                              "PutCalculationOnReport": false,
                              "CalculateOnThisReport": null,
                              "PivotTableLink": null,
                              "NumberFormatOverride": null,
                              "HasOpeningBalanceFlag": false,
                              "OpeningBalanceFlagAppliedName": "",
                              "ToolTip": "\n Is on Corporation tax.Corporation tax creditor=BEG([Corporation tax creditor]) * [Corporation tax paid this period] (GBP)\r\nMeaning: Tax payable",
                              "Deletable": true,
                              "Comment": "",
                              "HasSwitchSignLine": true,
                              "SwitchSignForReport": true,
                              "MultipleInputValues": null,
                              "NonPrimaryInput": false,
                              "Max": "NaN",
                              "Min": "NaN",
                              "IsBalanceButNotCorkscrew": false,
                              "IsEditable": true,
                              "IsConstant": false,
                              "UniqueID": "c2da1c85-0620-441d-b968-1fcd2c03215a",
                              "Dimensions": {
                                "$type": "ModelMakerEngine.MMDimensions, ModelMakerEngine",
                                "$values": []
                              },
                              "EquationOBXInternal": "BEG([Corporation tax creditor]) * [Corporation tax paid this period]",
                              "NameOfGroup": "Corporation tax.Corporation tax creditor",
                              "EquationToParse": "[Corporation tax creditor!!BEG] * [Corporation tax paid this period]",
                              "MostRecentExpectedUnitErrors": null,
                              "Units": {
                                "$id": "1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paid",
                              "ReportLines": {
                                "$type": "ModelMaker.UndoableCollection`1[[ModelMakerEngine.IReportLine, ModelMakerEngine]], ModelMaker.Undo",
                                "$values": [
                                  {
                                    "$ref": "1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18",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9",
                            "$type": "ModelMaker.ReportLine, ModelMaker",
                            "ActualsItemName": null,
                            "ActualsInput": null,
                            "AssociatedSchematicNode": {
                              "$id": "20",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cb7a8feb-3e3e-44bd-821d-95d2087c41f2",
                              "Dimensions": {
                                "$type": "ModelMakerEngine.MMDimensions, ModelMakerEngine",
                                "$values": []
                              },
                              "EquationOBXInternal": "",
                              "NameOfGroup": "Unallocated",
                              "EquationToParse": "",
                              "MostRecentExpectedUnitErrors": null,
                              "Units": {
                                "$ref": "2"
                              },
                              "Name": "Operating Cashflow",
                              "ReportLines": {
                                "$type": "ModelMaker.UndoableCollection`1[[ModelMakerEngine.IReportLine, ModelMakerEngine]], ModelMaker.Undo",
                                "$values": [
                                  {
                                    "$ref": "1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6"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1",
                            "$type": "ModelMaker.ReportLine, ModelMaker",
                            "ActualsItemName": null,
                            "ActualsInput": null,
                            "AssociatedSchematicNode": {
                              "$id": "22",
                              "$type": "ModelMaker.VariableNode, ModelMaker",
                              "RowTotalDependent": null,
                              "PutCalculationOnReport": false,
                              "CalculateOnThisReport": null,
                              "PivotTableLink": null,
                              "NumberFormatOverride": null,
                              "HasOpeningBalanceFlag": false,
                              "OpeningBalanceFlagAppliedName": "",
                              "ToolTip": "\n Is on Working Capital=(1 + [VAT rate]) * (DELAY([Units ordered], [Order lead time (months)],0) * [Supplier price per unit] * (1-[Supplier order deposit]))+([Units ordered] * [Supplier price per unit] * [Supplier order deposit]) (GBP)",
                              "Deletable": true,
                              "Comment": "",
                              "HasSwitchSignLine": true,
                              "SwitchSignForReport": true,
                              "MultipleInputValues": null,
                              "NonPrimaryInput": false,
                              "Max": "NaN",
                              "Min": "NaN",
                              "IsBalanceButNotCorkscrew": false,
                              "IsEditable": true,
                              "IsConstant": false,
                              "UniqueID": "d670170f-0d3a-4dec-94c0-652f1b0ebfc0",
                              "Dimensions": {
                                "$type": "ModelMakerEngine.MMDimensions, ModelMakerEngine",
                                "$values": []
                              },
                              "EquationOBXInternal": "(1 + [VAT rate]) * (DELAY([Units ordered], [Order lead time (months)],0) * [Supplier price per unit] * (1-[Supplier order deposit]))+([Units ordered] * [Supplier price per unit] * [Supplier order deposit])",
                              "NameOfGroup": "Unallocated",
                              "EquationToParse": "(1 + [VAT rate]) * (DELAY([Units ordered], [Order lead time (months)],0) * [Supplier price per unit] * (1-[Supplier order deposit]))+([Units ordered] * [Supplier price per unit] * [Supplier order deposit])",
                              "MostRecentExpectedUnitErrors": null,
                              "Units": {
                                "$id": "2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ash out on Inventory",
                              "ReportLines": {
                                "$type": "ModelMaker.UndoableCollection`1[[ModelMakerEngine.IReportLine, ModelMakerEngine]], ModelMaker.Undo",
                                "$values": [
                                  {
                                    "$ref": "2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4",
                            "$type": "ModelMaker.ReportLine, ModelMaker",
                            "ActualsItemName": null,
                            "ActualsInput": null,
                            "AssociatedSchematicNode": {
                              "$id": "25",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572d3b20-6aa7-467e-b1f0-6d5dff491c78",
                              "Dimensions": {
                                "$type": "ModelMakerEngine.MMDimensions, ModelMakerEngine",
                                "$values": []
                              },
                              "EquationOBXInternal": "",
                              "NameOfGroup": "Unallocated",
                              "EquationToParse": "",
                              "MostRecentExpectedUnitErrors": null,
                              "Units": {
                                "$ref": "2"
                              },
                              "Name": "CF after capex",
                              "ReportLines": {
                                "$type": "ModelMaker.UndoableCollection`1[[ModelMakerEngine.IReportLine, ModelMakerEngine]], ModelMaker.Undo",
                                "$values": [
                                  {
                                    "$ref": "2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6",
                            "$type": "ModelMaker.ReportLine, ModelMaker",
                            "ActualsItemName": null,
                            "ActualsInput": null,
                            "AssociatedSchematicNode": {
                              "$id": "27",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enabled flag]*([Units ordered]*[Supplier price per unit]*[Supply Chain Finance Advance %]) (GBP)",
                              "Deletable": true,
                              "Comment": "",
                              "HasSwitchSignLine": false,
                              "SwitchSignForReport": false,
                              "MultipleInputValues": null,
                              "NonPrimaryInput": false,
                              "Max": "NaN",
                              "Min": "NaN",
                              "IsBalanceButNotCorkscrew": false,
                              "IsEditable": true,
                              "IsConstant": false,
                              "UniqueID": "9959c918-750d-478c-a538-f28266d1cbf2",
                              "Dimensions": {
                                "$type": "ModelMakerEngine.MMDimensions, ModelMakerEngine",
                                "$values": []
                              },
                              "EquationOBXInternal": "[Supply Chain Finance enabled flag]*([Units ordered]*[Supplier price per unit]*[Supply Chain Finance Advance %])",
                              "NameOfGroup": "Trade Finance",
                              "EquationToParse": "[Supply Chain Finance enabled flag]*([Units ordered]*[Supplier price per unit]*[Supply Chain Finance Advance %])",
                              "MostRecentExpectedUnitErrors": null,
                              "Units": {
                                "$id": "2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drawdown",
                              "ReportLines": {
                                "$type": "ModelMaker.UndoableCollection`1[[ModelMakerEngine.IReportLine, ModelMakerEngine]], ModelMaker.Undo",
                                "$values": [
                                  {
                                    "$ref": "2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29",
                            "$type": "ModelMaker.ReportLine, ModelMaker",
                            "ActualsItemName": null,
                            "ActualsInput": null,
                            "AssociatedSchematicNode": {
                              "$id": "30",
                              "$type": "ModelMaker.VariableNode, ModelMaker",
                              "RowTotalDependent": null,
                              "PutCalculationOnReport": false,
                              "CalculateOnThisReport": null,
                              "PivotTableLink": null,
                              "NumberFormatOverride": null,
                              "HasOpeningBalanceFlag": false,
                              "OpeningBalanceFlagAppliedName": "",
                              "ToolTip": "\n Is on Supply Chain finance=DELAY([Supply Chain Finance drawdown],[Order lead time (months)],0) (GBP)",
                              "Deletable": true,
                              "Comment": "",
                              "HasSwitchSignLine": true,
                              "SwitchSignForReport": true,
                              "MultipleInputValues": null,
                              "NonPrimaryInput": false,
                              "Max": "NaN",
                              "Min": "NaN",
                              "IsBalanceButNotCorkscrew": false,
                              "IsEditable": true,
                              "IsConstant": false,
                              "UniqueID": "ab41aa23-93c9-43a5-982d-0bd48f8758c2",
                              "Dimensions": {
                                "$type": "ModelMakerEngine.MMDimensions, ModelMakerEngine",
                                "$values": []
                              },
                              "EquationOBXInternal": "DELAY([Supply Chain Finance drawdown],[Order lead time (months)],0)",
                              "NameOfGroup": "Trade Finance",
                              "EquationToParse": "DELAY([Supply Chain Finance drawdown],[Order lead time (months)],0)",
                              "MostRecentExpectedUnitErrors": null,
                              "Units": {
                                "$id": "3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principal repayment",
                              "ReportLines": {
                                "$type": "ModelMaker.UndoableCollection`1[[ModelMakerEngine.IReportLine, ModelMakerEngine]], ModelMaker.Undo",
                                "$values": [
                                  {
                                    "$ref": "2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2",
                            "$type": "ModelMaker.ReportLine, ModelMaker",
                            "ActualsItemName": null,
                            "ActualsInput": null,
                            "AssociatedSchematicNode": {
                              "$id": "33",
                              "$type": "ModelMaker.VariableNode, ModelMaker",
                              "RowTotalDependent": null,
                              "PutCalculationOnReport": false,
                              "CalculateOnThisReport": null,
                              "PivotTableLink": null,
                              "NumberFormatOverride": null,
                              "HasOpeningBalanceFlag": false,
                              "OpeningBalanceFlagAppliedName": "",
                              "ToolTip": "\n Is on Invoice finance=[Invoice Finance Enabled flag] *[Income]*[Invoice Finance Advance %] (GBP)",
                              "Deletable": true,
                              "Comment": "",
                              "HasSwitchSignLine": false,
                              "SwitchSignForReport": false,
                              "MultipleInputValues": null,
                              "NonPrimaryInput": false,
                              "Max": "NaN",
                              "Min": "NaN",
                              "IsBalanceButNotCorkscrew": false,
                              "IsEditable": true,
                              "IsConstant": false,
                              "UniqueID": "473d2aad-0c8f-48d4-a3f8-1bfa5d46e567",
                              "Dimensions": {
                                "$type": "ModelMakerEngine.MMDimensions, ModelMakerEngine",
                                "$values": []
                              },
                              "EquationOBXInternal": "[Invoice Finance Enabled flag] *[Income]*[Invoice Finance Advance %]",
                              "NameOfGroup": "Invoice finance",
                              "EquationToParse": "[Invoice Finance Enabled flag] *[Income]*[Invoice Finance Advance %]",
                              "MostRecentExpectedUnitErrors": null,
                              "Units": {
                                "$id": "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drawdown",
                              "ReportLines": {
                                "$type": "ModelMaker.UndoableCollection`1[[ModelMakerEngine.IReportLine, ModelMakerEngine]], ModelMaker.Undo",
                                "$values": [
                                  {
                                    "$ref": "3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5",
                            "$type": "ModelMaker.ReportLine, ModelMaker",
                            "ActualsItemName": null,
                            "ActualsInput": null,
                            "AssociatedSchematicNode": {
                              "$id": "36",
                              "$type": "ModelMaker.VariableNode, ModelMaker",
                              "RowTotalDependent": null,
                              "PutCalculationOnReport": false,
                              "CalculateOnThisReport": null,
                              "PivotTableLink": null,
                              "NumberFormatOverride": null,
                              "HasOpeningBalanceFlag": false,
                              "OpeningBalanceFlagAppliedName": "",
                              "ToolTip": "\n Is on Invoice finance=DELAY([Invoice finance drawdown],[Customer payment terms (months)],0) (GBP)",
                              "Deletable": true,
                              "Comment": "",
                              "HasSwitchSignLine": true,
                              "SwitchSignForReport": true,
                              "MultipleInputValues": null,
                              "NonPrimaryInput": false,
                              "Max": "NaN",
                              "Min": "NaN",
                              "IsBalanceButNotCorkscrew": false,
                              "IsEditable": true,
                              "IsConstant": false,
                              "UniqueID": "178dac0c-f2da-4bd6-ad90-04494c771017",
                              "Dimensions": {
                                "$type": "ModelMakerEngine.MMDimensions, ModelMakerEngine",
                                "$values": []
                              },
                              "EquationOBXInternal": "DELAY([Invoice finance drawdown],[Customer payment terms (months)],0)",
                              "NameOfGroup": "Invoice finance",
                              "EquationToParse": "DELAY([Invoice finance drawdown],[Customer payment terms (months)],0)",
                              "MostRecentExpectedUnitErrors": null,
                              "Units": {
                                "$id": "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principal repayment",
                              "ReportLines": {
                                "$type": "ModelMaker.UndoableCollection`1[[ModelMakerEngine.IReportLine, ModelMakerEngine]], ModelMaker.Undo",
                                "$values": [
                                  {
                                    "$ref": "3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
                            "$type": "ModelMaker.ReportLine, ModelMaker",
                            "ActualsItemName": null,
                            "ActualsInput": null,
                            "AssociatedSchematicNode": {
                              "$id": "39",
                              "$type": "ModelMaker.VariableNode, ModelMaker",
                              "RowTotalDependent": null,
                              "PutCalculationOnReport": false,
                              "CalculateOnThisReport": null,
                              "PivotTableLink": null,
                              "NumberFormatOverride": null,
                              "HasOpeningBalanceFlag": false,
                              "OpeningBalanceFlagAppliedName": "",
                              "ToolTip": "\n Is on Asset Finance=[Asset Finance Enabled flag]*[Units ordered]*[Supplier price per unit]*[Asset Finance Advance %] (GBP)",
                              "Deletable": true,
                              "Comment": "",
                              "HasSwitchSignLine": false,
                              "SwitchSignForReport": false,
                              "MultipleInputValues": null,
                              "NonPrimaryInput": false,
                              "Max": "NaN",
                              "Min": "NaN",
                              "IsBalanceButNotCorkscrew": false,
                              "IsEditable": true,
                              "IsConstant": false,
                              "UniqueID": "3b950a00-0f76-4e2d-b539-60cdeaa0c154",
                              "Dimensions": {
                                "$type": "ModelMakerEngine.MMDimensions, ModelMakerEngine",
                                "$values": []
                              },
                              "EquationOBXInternal": "[Asset Finance Enabled flag]*[Units ordered]*[Supplier price per unit]*[Asset Finance Advance %]",
                              "NameOfGroup": "Trade Finance",
                              "EquationToParse": "[Asset Finance Enabled flag]*[Units ordered]*[Supplier price per unit]*[Asset Finance Advance %]",
                              "MostRecentExpectedUnitErrors": null,
                              "Units": {
                                "$id": "4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drawdown",
                              "ReportLines": {
                                "$type": "ModelMaker.UndoableCollection`1[[ModelMakerEngine.IReportLine, ModelMakerEngine]], ModelMaker.Undo",
                                "$values": [
                                  {
                                    "$ref": "3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1",
                            "$type": "ModelMaker.ReportLine, ModelMaker",
                            "ActualsItemName": null,
                            "ActualsInput": null,
                            "AssociatedSchematicNode": {
                              "$id": "42",
                              "$type": "ModelMaker.VariableNode, ModelMaker",
                              "RowTotalDependent": null,
                              "PutCalculationOnReport": false,
                              "CalculateOnThisReport": null,
                              "PivotTableLink": null,
                              "NumberFormatOverride": null,
                              "HasOpeningBalanceFlag": false,
                              "OpeningBalanceFlagAppliedName": "",
                              "ToolTip": "\n Is on Asset Finance=BEG([Asset Finance balance])/[Asset Finance Period] (GBP)",
                              "Deletable": true,
                              "Comment": "",
                              "HasSwitchSignLine": true,
                              "SwitchSignForReport": true,
                              "MultipleInputValues": null,
                              "NonPrimaryInput": false,
                              "Max": "NaN",
                              "Min": "NaN",
                              "IsBalanceButNotCorkscrew": false,
                              "IsEditable": true,
                              "IsConstant": false,
                              "UniqueID": "332b55c9-4cf3-42f1-a010-0db28e5bc438",
                              "Dimensions": {
                                "$type": "ModelMakerEngine.MMDimensions, ModelMakerEngine",
                                "$values": []
                              },
                              "EquationOBXInternal": "BEG([Asset Finance balance])/[Asset Finance Period]",
                              "NameOfGroup": "Trade Finance",
                              "EquationToParse": "[Asset Finance balance!!BEG]/[Asset Finance Period]",
                              "MostRecentExpectedUnitErrors": null,
                              "Units": {
                                "$id": "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principal repayment",
                              "ReportLines": {
                                "$type": "ModelMaker.UndoableCollection`1[[ModelMakerEngine.IReportLine, ModelMakerEngine]], ModelMaker.Undo",
                                "$values": [
                                  {
                                    "$ref": "4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4",
                            "$type": "ModelMaker.ReportLine, ModelMaker",
                            "ActualsItemName": null,
                            "ActualsInput": null,
                            "AssociatedSchematicNode": {
                              "$id": "45",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 (GBP)",
                              "Deletable": true,
                              "Comment": "",
                              "HasSwitchSignLine": true,
                              "SwitchSignForReport": true,
                              "MultipleInputValues": null,
                              "NonPrimaryInput": false,
                              "Max": "NaN",
                              "Min": "NaN",
                              "IsBalanceButNotCorkscrew": false,
                              "IsEditable": true,
                              "IsConstant": false,
                              "UniqueID": "985451dc-7bee-4e45-bcd0-7649da2c13a9",
                              "Dimensions": {
                                "$type": "ModelMakerEngine.MMDimensions, ModelMakerEngine",
                                "$values": []
                              },
                              "EquationOBXInternal": "[Supply Chain Finance interest]",
                              "NameOfGroup": "Trade Finance",
                              "EquationToParse": "[Supply Chain Finance interest]",
                              "MostRecentExpectedUnitErrors": null,
                              "Units": {
                                "$id": "4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paid",
                              "ReportLines": {
                                "$type": "ModelMaker.UndoableCollection`1[[ModelMakerEngine.IReportLine, ModelMakerEngine]], ModelMaker.Undo",
                                "$values": [
                                  {
                                    "$ref": "4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
                            "$type": "ModelMaker.ReportLine, ModelMaker",
                            "ActualsItemName": null,
                            "ActualsInput": null,
                            "AssociatedSchematicNode": {
                              "$id": "48",
                              "$type": "ModelMaker.VariableNode, ModelMaker",
                              "RowTotalDependent": null,
                              "PutCalculationOnReport": false,
                              "CalculateOnThisReport": null,
                              "PivotTableLink": null,
                              "NumberFormatOverride": null,
                              "HasOpeningBalanceFlag": false,
                              "OpeningBalanceFlagAppliedName": "",
                              "ToolTip": "\n Is on Invoice finance=[Invoice finance interest] (GBP)",
                              "Deletable": true,
                              "Comment": "",
                              "HasSwitchSignLine": true,
                              "SwitchSignForReport": true,
                              "MultipleInputValues": null,
                              "NonPrimaryInput": false,
                              "Max": "NaN",
                              "Min": "NaN",
                              "IsBalanceButNotCorkscrew": false,
                              "IsEditable": true,
                              "IsConstant": false,
                              "UniqueID": "3cadd42d-aaa0-49e5-8dc8-3e1305b99c19",
                              "Dimensions": {
                                "$type": "ModelMakerEngine.MMDimensions, ModelMakerEngine",
                                "$values": []
                              },
                              "EquationOBXInternal": "[Invoice finance interest]",
                              "NameOfGroup": "Invoice finance",
                              "EquationToParse": "[Invoice finance interest]",
                              "MostRecentExpectedUnitErrors": null,
                              "Units": {
                                "$id": "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paid",
                              "ReportLines": {
                                "$type": "ModelMaker.UndoableCollection`1[[ModelMakerEngine.IReportLine, ModelMakerEngine]], ModelMaker.Undo",
                                "$values": [
                                  {
                                    "$ref": "4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0",
                            "$type": "ModelMaker.ReportLine, ModelMaker",
                            "ActualsItemName": null,
                            "ActualsInput": null,
                            "AssociatedSchematicNode": {
                              "$id": "51",
                              "$type": "ModelMaker.VariableNode, ModelMaker",
                              "RowTotalDependent": null,
                              "PutCalculationOnReport": false,
                              "CalculateOnThisReport": null,
                              "PivotTableLink": null,
                              "NumberFormatOverride": null,
                              "HasOpeningBalanceFlag": false,
                              "OpeningBalanceFlagAppliedName": "",
                              "ToolTip": "\n Is on Asset Finance=[Asset Finance interest] (GBP)",
                              "Deletable": true,
                              "Comment": "",
                              "HasSwitchSignLine": true,
                              "SwitchSignForReport": true,
                              "MultipleInputValues": null,
                              "NonPrimaryInput": false,
                              "Max": "NaN",
                              "Min": "NaN",
                              "IsBalanceButNotCorkscrew": false,
                              "IsEditable": true,
                              "IsConstant": false,
                              "UniqueID": "884c5c8f-22a1-4ff4-aecb-44e710172146",
                              "Dimensions": {
                                "$type": "ModelMakerEngine.MMDimensions, ModelMakerEngine",
                                "$values": []
                              },
                              "EquationOBXInternal": "[Asset Finance interest]",
                              "NameOfGroup": "Trade Finance",
                              "EquationToParse": "[Asset Finance interest]",
                              "MostRecentExpectedUnitErrors": null,
                              "Units": {
                                "$id": "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paid",
                              "ReportLines": {
                                "$type": "ModelMaker.UndoableCollection`1[[ModelMakerEngine.IReportLine, ModelMakerEngine]], ModelMaker.Undo",
                                "$values": [
                                  {
                                    "$ref": "50"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6"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3",
                            "$type": "ModelMaker.ReportLine, ModelMaker",
                            "ActualsItemName": null,
                            "ActualsInput": null,
                            "AssociatedSchematicNode": {
                              "$id": "54",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177abbdb-cf89-4e44-89d1-549447825438",
                              "Dimensions": {
                                "$type": "ModelMakerEngine.MMDimensions, ModelMakerEngine",
                                "$values": []
                              },
                              "EquationOBXInternal": "",
                              "NameOfGroup": "Unallocated",
                              "EquationToParse": "",
                              "MostRecentExpectedUnitErrors": null,
                              "Units": {
                                "$ref": "2"
                              },
                              "Name": "CF after financing",
                              "ReportLines": {
                                "$type": "ModelMaker.UndoableCollection`1[[ModelMakerEngine.IReportLine, ModelMakerEngine]], ModelMaker.Undo",
                                "$values": [
                                  {
                                    "$ref": "5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6"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55",
                            "$type": "ModelMaker.ReportLine, ModelMaker",
                            "ActualsItemName": null,
                            "ActualsInput": null,
                            "AssociatedSchematicNode": {
                              "$id": "56",
                              "$type": "ModelMaker.VariableNode, ModelMaker",
                              "RowTotalDependent": null,
                              "PutCalculationOnReport": false,
                              "CalculateOnThisReport": null,
                              "PivotTableLink": null,
                              "NumberFormatOverride": null,
                              "HasOpeningBalanceFlag": false,
                              "OpeningBalanceFlagAppliedName": "",
                              "ToolTip": "\n Is on Inputs.Equity= (GBP)",
                              "Deletable": true,
                              "Comment": "",
                              "HasSwitchSignLine": false,
                              "SwitchSignForReport": false,
                              "MultipleInputValues": null,
                              "NonPrimaryInput": false,
                              "Max": "NaN",
                              "Min": "NaN",
                              "IsBalanceButNotCorkscrew": false,
                              "IsEditable": true,
                              "IsConstant": false,
                              "UniqueID": "0e64bd55-063d-4c28-b7f3-066ee1369cd2",
                              "Dimensions": {
                                "$type": "ModelMakerEngine.MMDimensions, ModelMakerEngine",
                                "$values": []
                              },
                              "EquationOBXInternal": null,
                              "NameOfGroup": "Equity",
                              "EquationToParse": "",
                              "MostRecentExpectedUnitErrors": null,
                              "Units": {
                                "$ref": "2"
                              },
                              "Name": "New share capital issued",
                              "ReportLines": {
                                "$type": "ModelMaker.UndoableCollection`1[[ModelMakerEngine.IReportLine, ModelMakerEngine]], ModelMaker.Undo",
                                "$values": [
                                  {
                                    "$ref": "5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6"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5"
                          }
                        ]
                      },
                      "YPosition": -1,
                      "Name": "Cashflow",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20"
            },
            {
              "$ref": "25"
            },
            {
              "$ref": "54"
            },
            {
              "$id": "5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73b402a3-35a5-4810-a922-4ea828e258b2",
              "Dimensions": {
                "$type": "ModelMakerEngine.MMDimensions, ModelMakerEngine",
                "$values": []
              },
              "EquationOBXInternal": "",
              "NameOfGroup": "Unallocated",
              "EquationToParse": "",
              "MostRecentExpectedUnitErrors": null,
              "Units": {
                "$ref": "2"
              },
              "Name": "Retained Earnings this period",
              "ReportLines": {
                "$type": "ModelMaker.UndoableCollection`1[[ModelMakerEngine.IReportLine, ModelMakerEngine]], ModelMaker.Undo",
                "$values": [
                  {
                    "$id": "58",
                    "$type": "ModelMaker.ReportLine, ModelMaker",
                    "ActualsItemName": null,
                    "ActualsInput": null,
                    "AssociatedSchematicNode": {
                      "$ref": "57"
                    },
                    "OpeningBalanceFlagAppliedName": "",
                    "SumOfAboveIncludesPreviousTotal": true,
                    "LastNameUsed": null,
                    "SwitchSignForReport": false,
                    "IsSumOfAbove": true,
                    "ParentReport": {
                      "$id": "59",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60",
                            "$type": "ModelMaker.ReportLine, ModelMaker",
                            "ActualsItemName": null,
                            "ActualsInput": null,
                            "AssociatedSchematicNode": {
                              "$id": "61",
                              "$type": "ModelMaker.VariableNode, ModelMaker",
                              "RowTotalDependent": null,
                              "PutCalculationOnReport": false,
                              "CalculateOnThisReport": null,
                              "PivotTableLink": null,
                              "NumberFormatOverride": null,
                              "HasOpeningBalanceFlag": false,
                              "OpeningBalanceFlagAppliedName": "",
                              "ToolTip": "\n Is on Income=[Sales Price Unit] * [Units in use] (GBP)",
                              "Deletable": true,
                              "Comment": "",
                              "HasSwitchSignLine": false,
                              "SwitchSignForReport": false,
                              "MultipleInputValues": null,
                              "NonPrimaryInput": false,
                              "Max": "NaN",
                              "Min": "NaN",
                              "IsBalanceButNotCorkscrew": false,
                              "IsEditable": true,
                              "IsConstant": false,
                              "UniqueID": "3446ee2b-db85-47fc-a4ee-f3e1c5845637",
                              "Dimensions": {
                                "$type": "ModelMakerEngine.MMDimensions, ModelMakerEngine",
                                "$values": []
                              },
                              "EquationOBXInternal": "[Sales Price Unit] * [Units in use]",
                              "NameOfGroup": "Financials",
                              "EquationToParse": "[Sales Price Unit] * [Units in use]",
                              "MostRecentExpectedUnitErrors": null,
                              "Units": {
                                "$id": "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come",
                              "ReportLines": {
                                "$type": "ModelMaker.UndoableCollection`1[[ModelMakerEngine.IReportLine, ModelMakerEngine]], ModelMaker.Undo",
                                "$values": [
                                  {
                                    "$ref": "60"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59"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3",
                            "$type": "ModelMaker.ReportLine, ModelMaker",
                            "ActualsItemName": null,
                            "ActualsInput": null,
                            "AssociatedSchematicNode": {
                              "$id": "64",
                              "$type": "ModelMaker.VariableNode, ModelMaker",
                              "RowTotalDependent": null,
                              "PutCalculationOnReport": false,
                              "CalculateOnThisReport": null,
                              "PivotTableLink": null,
                              "NumberFormatOverride": null,
                              "HasOpeningBalanceFlag": false,
                              "OpeningBalanceFlagAppliedName": "",
                              "ToolTip": "\n Is on Expense= [Sales] * [Variable Operating Costs as a % of sales] (GBP)",
                              "Deletable": true,
                              "Comment": "",
                              "HasSwitchSignLine": true,
                              "SwitchSignForReport": true,
                              "MultipleInputValues": null,
                              "NonPrimaryInput": false,
                              "Max": "NaN",
                              "Min": "NaN",
                              "IsBalanceButNotCorkscrew": false,
                              "IsEditable": true,
                              "IsConstant": false,
                              "UniqueID": "d7074818-ab51-4173-9594-9842d9d72185",
                              "Dimensions": {
                                "$type": "ModelMakerEngine.MMDimensions, ModelMakerEngine",
                                "$values": []
                              },
                              "EquationOBXInternal": " [Sales] * [Variable Operating Costs as a % of sales]",
                              "NameOfGroup": "Expense",
                              "EquationToParse": " [Sales] * [Variable Operating Costs as a % of sales]",
                              "MostRecentExpectedUnitErrors": null,
                              "Units": {
                                "$ref": "2"
                              },
                              "Name": "Variable Operating expense",
                              "ReportLines": {
                                "$type": "ModelMaker.UndoableCollection`1[[ModelMakerEngine.IReportLine, ModelMakerEngine]], ModelMaker.Undo",
                                "$values": [
                                  {
                                    "$ref": "6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5",
                            "$type": "ModelMaker.ReportLine, ModelMaker",
                            "ActualsItemName": null,
                            "ActualsInput": null,
                            "AssociatedSchematicNode": {
                              "$id": "66",
                              "$type": "ModelMaker.VariableNode, ModelMaker",
                              "RowTotalDependent": null,
                              "PutCalculationOnReport": false,
                              "CalculateOnThisReport": null,
                              "PivotTableLink": null,
                              "NumberFormatOverride": null,
                              "HasOpeningBalanceFlag": false,
                              "OpeningBalanceFlagAppliedName": "",
                              "ToolTip": "\n Is on Expense=[Fixed Operating Cost Growth Rate escalation indexation factor] * [Fixed operating cost base] (GBP)",
                              "Deletable": true,
                              "Comment": "",
                              "HasSwitchSignLine": true,
                              "SwitchSignForReport": true,
                              "MultipleInputValues": null,
                              "NonPrimaryInput": false,
                              "Max": "NaN",
                              "Min": "NaN",
                              "IsBalanceButNotCorkscrew": false,
                              "IsEditable": true,
                              "IsConstant": false,
                              "UniqueID": "f0043eb3-f98c-418e-b492-81689f60ac1c",
                              "Dimensions": {
                                "$type": "ModelMakerEngine.MMDimensions, ModelMakerEngine",
                                "$values": []
                              },
                              "EquationOBXInternal": "[Fixed Operating Cost Growth Rate escalation indexation factor] * [Fixed operating cost base]",
                              "NameOfGroup": "Expense",
                              "EquationToParse": "[Fixed Operating Cost Growth Rate escalation indexation factor] * [Fixed operating cost base]",
                              "MostRecentExpectedUnitErrors": null,
                              "Units": {
                                "$ref": "2"
                              },
                              "Name": "Fixed operating expense",
                              "ReportLines": {
                                "$type": "ModelMaker.UndoableCollection`1[[ModelMakerEngine.IReportLine, ModelMakerEngine]], ModelMaker.Undo",
                                "$values": [
                                  {
                                    "$ref": "6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Expens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7",
                            "$type": "ModelMaker.ReportLine, ModelMaker",
                            "ActualsItemName": null,
                            "ActualsInput": null,
                            "AssociatedSchematicNode": {
                              "$id": "68",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8ff7a554-d680-4622-b009-abd02f507e85",
                              "Dimensions": {
                                "$type": "ModelMakerEngine.MMDimensions, ModelMakerEngine",
                                "$values": []
                              },
                              "EquationOBXInternal": "",
                              "NameOfGroup": "Unallocated",
                              "EquationToParse": "",
                              "MostRecentExpectedUnitErrors": null,
                              "Units": {
                                "$ref": "2"
                              },
                              "Name": "EBITDA",
                              "ReportLines": {
                                "$type": "ModelMaker.UndoableCollection`1[[ModelMakerEngine.IReportLine, ModelMakerEngine]], ModelMaker.Undo",
                                "$values": [
                                  {
                                    "$ref": "6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69",
                            "$type": "ModelMaker.ReportLine, ModelMaker",
                            "ActualsItemName": null,
                            "ActualsInput": null,
                            "AssociatedSchematicNode": {
                              "$id": "70",
                              "$type": "ModelMaker.VariableNode, ModelMaker",
                              "RowTotalDependent": null,
                              "PutCalculationOnReport": false,
                              "CalculateOnThisReport": null,
                              "PivotTableLink": null,
                              "NumberFormatOverride": null,
                              "HasOpeningBalanceFlag": false,
                              "OpeningBalanceFlagAppliedName": "",
                              "ToolTip": "\n Is on Assets=BEG([Inventory]) / [Depreciation Term]  (GBP)",
                              "Deletable": true,
                              "Comment": "",
                              "HasSwitchSignLine": true,
                              "SwitchSignForReport": true,
                              "MultipleInputValues": null,
                              "NonPrimaryInput": false,
                              "Max": "NaN",
                              "Min": "NaN",
                              "IsBalanceButNotCorkscrew": false,
                              "IsEditable": true,
                              "IsConstant": false,
                              "UniqueID": "1369c463-cf16-44bf-bf2d-ac4f1478e268",
                              "Dimensions": {
                                "$type": "ModelMakerEngine.MMDimensions, ModelMakerEngine",
                                "$values": []
                              },
                              "EquationOBXInternal": "BEG([Inventory]) / [Depreciation Term] ",
                              "NameOfGroup": "Assets",
                              "EquationToParse": "[Inventory!!BEG] / [Depreciation Term] ",
                              "MostRecentExpectedUnitErrors": null,
                              "Units": {
                                "$ref": "2"
                              },
                              "Name": "Depreciation this period",
                              "ReportLines": {
                                "$type": "ModelMaker.UndoableCollection`1[[ModelMakerEngine.IReportLine, ModelMakerEngine]], ModelMaker.Undo",
                                "$values": [
                                  {
                                    "$ref": "6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1",
                            "$type": "ModelMaker.ReportLine, ModelMaker",
                            "ActualsItemName": null,
                            "ActualsInput": null,
                            "AssociatedSchematicNode": {
                              "$id": "72",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749cc99c-953a-4314-941e-cedac2638528",
                              "Dimensions": {
                                "$type": "ModelMakerEngine.MMDimensions, ModelMakerEngine",
                                "$values": []
                              },
                              "EquationOBXInternal": "",
                              "NameOfGroup": "Unallocated",
                              "EquationToParse": "",
                              "MostRecentExpectedUnitErrors": null,
                              "Units": {
                                "$ref": "2"
                              },
                              "Name": "EBIT",
                              "ReportLines": {
                                "$type": "ModelMaker.UndoableCollection`1[[ModelMakerEngine.IReportLine, ModelMakerEngine]], ModelMaker.Undo",
                                "$values": [
                                  {
                                    "$ref": "7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3",
                            "$type": "ModelMaker.ReportLine, ModelMaker",
                            "ActualsItemName": null,
                            "ActualsInput": null,
                            "AssociatedSchematicNode": {
                              "$id": "74",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period interest rate]*BEG([Supply Chain Finance balance]) (GBP)",
                              "Deletable": true,
                              "Comment": "",
                              "HasSwitchSignLine": true,
                              "SwitchSignForReport": true,
                              "MultipleInputValues": null,
                              "NonPrimaryInput": false,
                              "Max": "NaN",
                              "Min": "NaN",
                              "IsBalanceButNotCorkscrew": false,
                              "IsEditable": true,
                              "IsConstant": false,
                              "UniqueID": "2d99e179-4d9f-4a39-91a8-b34b62b7d3cd",
                              "Dimensions": {
                                "$type": "ModelMakerEngine.MMDimensions, ModelMakerEngine",
                                "$values": []
                              },
                              "EquationOBXInternal": "[Supply Chain Finance period interest rate]*BEG([Supply Chain Finance balance])",
                              "NameOfGroup": "Trade Finance",
                              "EquationToParse": "[Supply Chain Finance period interest rate]*[Supply Chain Finance balance!!BEG]",
                              "MostRecentExpectedUnitErrors": null,
                              "Units": {
                                "$id": "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interest",
                              "ReportLines": {
                                "$type": "ModelMaker.UndoableCollection`1[[ModelMakerEngine.IReportLine, ModelMakerEngine]], ModelMaker.Undo",
                                "$values": [
                                  {
                                    "$ref": "7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6",
                            "$type": "ModelMaker.ReportLine, ModelMaker",
                            "ActualsItemName": null,
                            "ActualsInput": null,
                            "AssociatedSchematicNode": {
                              "$id": "77",
                              "$type": "ModelMaker.VariableNode, ModelMaker",
                              "RowTotalDependent": null,
                              "PutCalculationOnReport": false,
                              "CalculateOnThisReport": null,
                              "PivotTableLink": null,
                              "NumberFormatOverride": null,
                              "HasOpeningBalanceFlag": false,
                              "OpeningBalanceFlagAppliedName": "",
                              "ToolTip": "\n Is on Invoice finance=[Invoice finance period interest rate]*BEG([Invoice finance balance]) (GBP)",
                              "Deletable": true,
                              "Comment": "",
                              "HasSwitchSignLine": true,
                              "SwitchSignForReport": true,
                              "MultipleInputValues": null,
                              "NonPrimaryInput": false,
                              "Max": "NaN",
                              "Min": "NaN",
                              "IsBalanceButNotCorkscrew": false,
                              "IsEditable": true,
                              "IsConstant": false,
                              "UniqueID": "d5721d03-34b9-4c00-b0a3-5e74e548f5ba",
                              "Dimensions": {
                                "$type": "ModelMakerEngine.MMDimensions, ModelMakerEngine",
                                "$values": []
                              },
                              "EquationOBXInternal": "[Invoice finance period interest rate]*BEG([Invoice finance balance])",
                              "NameOfGroup": "Invoice finance",
                              "EquationToParse": "[Invoice finance period interest rate]*[Invoice finance balance!!BEG]",
                              "MostRecentExpectedUnitErrors": null,
                              "Units": {
                                "$id": "7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interest",
                              "ReportLines": {
                                "$type": "ModelMaker.UndoableCollection`1[[ModelMakerEngine.IReportLine, ModelMakerEngine]], ModelMaker.Undo",
                                "$values": [
                                  {
                                    "$ref": "7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79",
                            "$type": "ModelMaker.ReportLine, ModelMaker",
                            "ActualsItemName": null,
                            "ActualsInput": null,
                            "AssociatedSchematicNode": {
                              "$id": "80",
                              "$type": "ModelMaker.VariableNode, ModelMaker",
                              "RowTotalDependent": null,
                              "PutCalculationOnReport": false,
                              "CalculateOnThisReport": null,
                              "PivotTableLink": null,
                              "NumberFormatOverride": null,
                              "HasOpeningBalanceFlag": false,
                              "OpeningBalanceFlagAppliedName": "",
                              "ToolTip": "\n Is on Asset Finance=[Asset Finance period interest rate]*BEG([Asset Finance balance]) (GBP)",
                              "Deletable": true,
                              "Comment": "",
                              "HasSwitchSignLine": true,
                              "SwitchSignForReport": true,
                              "MultipleInputValues": null,
                              "NonPrimaryInput": false,
                              "Max": "NaN",
                              "Min": "NaN",
                              "IsBalanceButNotCorkscrew": false,
                              "IsEditable": true,
                              "IsConstant": false,
                              "UniqueID": "3790a874-6c9a-40ca-9355-14ab6a7fb4a3",
                              "Dimensions": {
                                "$type": "ModelMakerEngine.MMDimensions, ModelMakerEngine",
                                "$values": []
                              },
                              "EquationOBXInternal": "[Asset Finance period interest rate]*BEG([Asset Finance balance])",
                              "NameOfGroup": "Trade Finance",
                              "EquationToParse": "[Asset Finance period interest rate]*[Asset Finance balance!!BEG]",
                              "MostRecentExpectedUnitErrors": null,
                              "Units": {
                                "$id": "8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interest",
                              "ReportLines": {
                                "$type": "ModelMaker.UndoableCollection`1[[ModelMakerEngine.IReportLine, ModelMakerEngine]], ModelMaker.Undo",
                                "$values": [
                                  {
                                    "$ref": "7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2",
                            "$type": "ModelMaker.ReportLine, ModelMaker",
                            "ActualsItemName": null,
                            "ActualsInput": null,
                            "AssociatedSchematicNode": {
                              "$id": "83",
                              "$type": "ModelMaker.VariableNode, ModelMaker",
                              "RowTotalDependent": null,
                              "PutCalculationOnReport": false,
                              "CalculateOnThisReport": null,
                              "PivotTableLink": null,
                              "NumberFormatOverride": null,
                              "HasOpeningBalanceFlag": false,
                              "OpeningBalanceFlagAppliedName": "",
                              "ToolTip": "\n Is on Corporation tax(Sub total or total of the items above it)",
                              "Deletable": true,
                              "Comment": "",
                              "HasSwitchSignLine": false,
                              "SwitchSignForReport": false,
                              "MultipleInputValues": null,
                              "NonPrimaryInput": false,
                              "Max": "NaN",
                              "Min": "NaN",
                              "IsBalanceButNotCorkscrew": false,
                              "IsEditable": false,
                              "IsConstant": false,
                              "UniqueID": "f0c38bd3-d35e-4346-a4c7-4b6498396801",
                              "Dimensions": {
                                "$type": "ModelMakerEngine.MMDimensions, ModelMakerEngine",
                                "$values": []
                              },
                              "EquationOBXInternal": "",
                              "NameOfGroup": "Corporation tax",
                              "EquationToParse": "",
                              "MostRecentExpectedUnitErrors": null,
                              "Units": {
                                "$id": "8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Profit before tax",
                              "ReportLines": {
                                "$type": "ModelMaker.UndoableCollection`1[[ModelMakerEngine.IReportLine, ModelMakerEngine]], ModelMaker.Undo",
                                "$values": [
                                  {
                                    "$ref": "82"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true,
                            "LastNameUsed": null,
                            "SwitchSignForReport": false,
                            "IsSumOfAbove": true,
                            "ParentReport": {
                              "$ref": "59"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85",
                            "$type": "ModelMaker.ReportLine, ModelMaker",
                            "ActualsItemName": null,
                            "ActualsInput": null,
                            "AssociatedSchematicNode": {
                              "$id": "86",
                              "$type": "ModelMaker.VariableNode, ModelMaker",
                              "RowTotalDependent": null,
                              "PutCalculationOnReport": false,
                              "CalculateOnThisReport": null,
                              "PivotTableLink": null,
                              "NumberFormatOverride": null,
                              "HasOpeningBalanceFlag": false,
                              "OpeningBalanceFlagAppliedName": "",
                              "ToolTip": "\n Is on Corporation tax=[Corporation tax rate]*[Taxable income net of tax losses utilised] (GBP)\r\nMeaning: Tax payable",
                              "Deletable": true,
                              "Comment": "",
                              "HasSwitchSignLine": true,
                              "SwitchSignForReport": true,
                              "MultipleInputValues": null,
                              "NonPrimaryInput": false,
                              "Max": "NaN",
                              "Min": "NaN",
                              "IsBalanceButNotCorkscrew": false,
                              "IsEditable": true,
                              "IsConstant": false,
                              "UniqueID": "6d2113f7-498b-4c55-816d-32f7656650d4",
                              "Dimensions": {
                                "$type": "ModelMakerEngine.MMDimensions, ModelMakerEngine",
                                "$values": []
                              },
                              "EquationOBXInternal": "[Corporation tax rate]*[Taxable income net of tax losses utilised]",
                              "NameOfGroup": "Corporation tax",
                              "EquationToParse": "[Corporation tax rate]*[Taxable income net of tax losses utilised]",
                              "MostRecentExpectedUnitErrors": null,
                              "Units": {
                                "$id": "8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Corporation tax",
                              "ReportLines": {
                                "$type": "ModelMaker.UndoableCollection`1[[ModelMakerEngine.IReportLine, ModelMakerEngine]], ModelMaker.Undo",
                                "$values": [
                                  {
                                    "$ref": "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
                                "$id": "88",
                                "$type": "ModelMaker.NodeMeaning, ModelMaker",
                                "IsAbstract": false,
                                "SubMeanings": {
                                  "$type": "System.Collections.Generic.List`1[[ModelMakerEngine.INodeMeaning, ModelMakerEngine]], mscorlib",
                                  "$values": []
                                },
                                "Synonyms": {
                                  "$type": "System.Collections.Generic.List`1[[ModelMakerEngine.INodeMeaning, ModelMakerEngine]], mscorlib",
                                  "$values": []
                                },
                                "Parent": null,
                                "Name": "Tax payable"
                              },
                              "HasStandardDescription": tru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59"
                            },
                            "HeadingLevel": 0,
                            "ReportFormatName": null,
                            "NameOfGroup": "Corporation tax",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58"
                          }
                        ]
                      },
                      "YPosition": -1,
                      "Name": "Income Statemen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89",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03d4d63-c602-4caf-980e-e11e1ea6e0f6",
              "Dimensions": {
                "$type": "ModelMakerEngine.MMDimensions, ModelMakerEngine",
                "$values": []
              },
              "EquationOBXInternal": "",
              "NameOfGroup": "Unallocated",
              "EquationToParse": "",
              "MostRecentExpectedUnitErrors": null,
              "Units": {
                "$ref": "2"
              },
              "Name": "Assets",
              "ReportLines": {
                "$type": "ModelMaker.UndoableCollection`1[[ModelMakerEngine.IReportLine, ModelMakerEngine]], ModelMaker.Undo",
                "$values": [
                  {
                    "$id": "90",
                    "$type": "ModelMaker.ReportLine, ModelMaker",
                    "ActualsItemName": null,
                    "ActualsInput": null,
                    "AssociatedSchematicNode": {
                      "$ref": "89"
                    },
                    "OpeningBalanceFlagAppliedName": "",
                    "SumOfAboveIncludesPreviousTotal": true,
                    "LastNameUsed": null,
                    "SwitchSignForReport": false,
                    "IsSumOfAbove": true,
                    "ParentReport": {
                      "$id": "91",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2",
                            "$type": "ModelMaker.ReportLine, ModelMaker",
                            "ActualsItemName": null,
                            "ActualsInput": null,
                            "AssociatedSchematicNode": {
                              "$id": "93",
                              "$type": "ModelMaker.StockNode, ModelMaker",
                              "OpeningOrActualsName": "",
                              "InFlows": {
                                "$type": "System.Collections.Generic.List`1[[ModelMakerEngine.IEquationNode, ModelMakerEngine]], mscorlib",
                                "$values": [
                                  {
                                    "$id": "94",
                                    "$type": "ModelMaker.VariableNode, ModelMaker",
                                    "RowTotalDependent": null,
                                    "PutCalculationOnReport": false,
                                    "CalculateOnThisReport": null,
                                    "PivotTableLink": null,
                                    "NumberFormatOverride": null,
                                    "HasOpeningBalanceFlag": false,
                                    "OpeningBalanceFlagAppliedName": "",
                                    "ToolTip": "\n Is on Inventory=IF([Customer Orders Awaiting Fullfilment] + [Minimum quantity before reorder] - BEG([Units on order]) > 0, [Minimum supplier order quantity],0)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"e41e098d-e538-498e-8af8-8154d95ee565",
                                    "Dimensions": {
                                      "$type": "ModelMakerEngine.MMDimensions, ModelMakerEngine",
                                      "$values": []
                                    },
                                    "EquationOBXInternal": "IF([Customer Orders Awaiting Fullfilment] + [Minimum quantity before reorder] - BEG([Units on order]) > 0, [Minimum supplier order quantity],0)",
                                    "NameOfGroup": "Inventory",
                                    "EquationToParse": "IF([Customer Orders Awaiting Fullfilment] + [Minimum quantity before reorder] - [Units on order!!BEG] > 0, [Minimum supplier order quantity],0)",
                                    "MostRecentExpectedUnitErrors": null,
                                    "Units": {
                                      "$id": "95",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ordered",
                                    "ReportLines": {
                                      "$type": "ModelMaker.UndoableCollection`1[[ModelMakerEngine.IReportLine, ModelMakerEngine]], ModelMaker.Undo",
                                      "$values": [
                                        {
                                          "$id": "96",
                                          "$type": "ModelMaker.ReportLine, ModelMaker",
                                          "ActualsItemName": null,
                                          "ActualsInput": null,
                                          "AssociatedSchematicNode": {
                                            "$ref": "94"
                                          },
                                          "OpeningBalanceFlagAppliedName": "",
                                          "SumOfAboveIncludesPreviousTotal": false,
                                          "LastNameUsed": null,
                                          "SwitchSignForReport": false,
                                          "IsSumOfAbove": false,
                                          "ParentReport": {
                                            "$id": "97",
                                            "$type": "ModelMaker.Report, ModelMaker",
                                            "TimeStep": 8,
                                            "YearEndBasis": 1003,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"$id": "98",
                                                  "$type": "ModelMaker.ReportLine, ModelMaker",
                                                  "ActualsItemName": null,
                                                  "ActualsInput": null,
                                                  "AssociatedSchematicNode": {
                                                    "$id": "99",
                                                    "$type": "ModelMaker.VariableNode, ModelMaker",
                                                    "RowTotalDependent": null,
                                                    "PutCalculationOnReport": false,
                                                    "CalculateOnThisReport": null,
                                                    "PivotTableLink": null,
                                                    "NumberFormatOverride": null,
                                                    "HasOpeningBalanceFlag": false,
                                                    "OpeningBalanceFlagAppliedName": "",
                                                    "ToolTip": "\n Is on Customers=[Customer base order number] * [Customer Order Growth escalation indexation factor] (Units)",
                                                    "Deletable": true,
                                                    "Comment": "",
                                                    "HasSwitchSignLine": false,
                                                    "SwitchSignForReport": false,
                                                    "MultipleInputValues": {
                                                      "$type": "System.Collections.Generic.List`1[[ModelMaker.DimensionedArrayValues, ModelMaker]], mscorlib",
                                                      "$values": []
                                                    },
                                                    "NonPrimaryInput": false,
                                                    "Max": "NaN",
                                                    "Min": "NaN",
                                                    "IsBalanceButNotCorkscrew": false,
                                                    "IsEditable": true,
                                                    "IsConstant": false,
                                                    "UniqueID": "e31d51ab-e845-4ef2-9763-7a3c72e42432",
                                                    "Dimensions": {
                                                      "$type": "ModelMakerEngine.MMDimensions, ModelMakerEngine",
                                                      "$values": []
                                                    },
                                                    "EquationOBXInternal": "[Customer base order number] * [Customer Order Growth escalation indexation factor]",
                                                    "NameOfGroup": "Customers",
                                                    "EquationToParse": "[Customer base order number] * [Customer Order Growth escalation indexation factor]",
                                                    "MostRecentExpectedUnitErrors": null,
                                                    "Units": {
                                                      "$id": "100",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"New customers orders",
                                                    "ReportLines": {
                                                      "$type": "ModelMaker.UndoableCollection`1[[ModelMakerEngine.IReportLine, ModelMakerEngine]], ModelMaker.Undo",
                                                      "$values": [
                                                        {
                                                          "$ref": "98"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"101",
                                                  "$type": "ModelMaker.ReportLine, ModelMaker",
                                                  "ActualsItemName": null,
                                                  "ActualsInput": null,
                                                  "AssociatedSchematicNode": {
                                                    "$id": "102",
                                                    "$type": "ModelMaker.VariableNode, ModelMaker",
                                                    "RowTotalDependent": null,
                                                    "PutCalculationOnReport": false,
                                                    "CalculateOnThisReport": null,
                                                    "PivotTableLink": null,
                                                    "NumberFormatOverride": null,
                                                    "HasOpeningBalanceFlag": false,
                                                    "OpeningBalanceFlagAppliedName": "",
                                                    "ToolTip": "\n Is on Customers= [Customer Retention] * DELAY([New customers orders],24,0) (Units)",
                                                    "Deletable": true,
                                                    "Comment": "",
                                                    "HasSwitchSignLine": false,
                                                    "SwitchSignForReport": false,
                                                    "MultipleInputValues": null,
                                                    "NonPrimaryInput": false,
                                                    "Max": "NaN",
                                                    "Min": "NaN",
                                                    "IsBalanceButNotCorkscrew": false,
                                                    "IsEditable": true,
                                                    "IsConstant": false,
                                                    "UniqueID": "d8156617-2867-4794-aae8-1eb8417b712b",
                                                    "Dimensions": {
                                                      "$type": "ModelMakerEngine.MMDimensions, ModelMakerEngine",
                                                      "$values": []
                                                    },
                                                    "EquationOBXInternal": " [Customer Retention] * DELAY([New customers orders],24,0)",
                                                    "NameOfGroup": "Customers",
                                                    "EquationToParse": " [Customer Retention] * DELAY([New customers orders],24,0)",
                                                    "MostRecentExpectedUnitErrors": null,
                                                    "Units": {
                                                      "$id": "103",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"Renewing Customer Orders",
                                                    "ReportLines": {
                                                      "$type": "ModelMaker.UndoableCollection`1[[ModelMakerEngine.IReportLine, ModelMakerEngine]], ModelMaker.Undo",
                                                      "$values": [
                                                        {
                                                          "$ref": "101"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"104",
                                                  "$type": "ModelMaker.ReportLine, ModelMaker",
                                                  "ActualsItemName": null,
                                                  "ActualsInput": null,
                                                  "AssociatedSchematicNode": {
                                                    "$id": "105",
                                                    "$type": "ModelMaker.StockNode, ModelMaker",
                                                    "OpeningOrActualsName": "",
                                                    "InFlows": {
                                                      "$type": "System.Collections.Generic.List`1[[ModelMakerEngine.IEquationNode, ModelMakerEngine]], mscorlib",
                                                      "$values": [
                                                        {
                                                          "$ref": "99"
                                                        },
                                                        {
                                                          "$ref": "102"
                                                        }
                                                      ]
                                                    },
                                                    "OutFlows": {
                                                      "$type": "System.Collections.Generic.List`1[[ModelMakerEngine.IEquationNode, ModelMakerEngine]], mscorlib",
                                                      "$values": [
                                                        {
                                                          "$id": "106",
                                                          "$type": "ModelMaker.VariableNode, ModelMaker",
                                                          "RowTotalDependent": null,
                                                          "PutCalculationOnReport": false,
                                                          "CalculateOnThisReport": null,
                                                          "PivotTableLink": null,
                                                          "NumberFormatOverride": null,
                                                          "HasOpeningBalanceFlag": false,
                                                          "OpeningBalanceFlagAppliedName": "",
                                                          "ToolTip": "\n Is on Customers=IF(BEG([Units in stock]) >0, IF(BEG([Customer Orders Awaiting Fullfilment]) > BEG([Units in stock]), BEG([Units in stock]), BEG([Customer Orders Awaiting Fullfilment])),0) (Units)",
                                                          "Deletable": true,
                                                          "Comment": "",
                                                          "HasSwitchSignLine": false,
                                                          "SwitchSignForReport": false,
                                                          "MultipleInputValues": null,
                                                          "NonPrimaryInput": false,
                                                          "Max": "NaN",
                                                          "Min": "NaN",
                                                          "IsBalanceButNotCorkscrew": false,
                                                          "IsEditable": true,
                                                          "IsConstant": false,
                                                          "UniqueID": "5d700309-1dcc-4169-a8df-b720538561b1",
                                                          "Dimensions": {
                                                            "$type": "ModelMakerEngine.MMDimensions, ModelMakerEngine",
                                                            "$values": []
                                                          },
                                                          "EquationOBXInternal": "IF(BEG([Units in stock]) >0, IF(BEG([Customer Orders Awaiting Fullfilment]) > BEG([Units in stock]), BEG([Units in stock]), BEG([Customer Orders Awaiting Fullfilment])),0)",
                                                          "NameOfGroup": "Customers",
                                                          "EquationToParse": "IF([Units in stock!!BEG] >0, IF([Customer Orders Awaiting Fullfilment!!BEG] > [Units in stock!!BEG], [Units in stock!!BEG], [Customer Orders Awaiting Fullfilment!!BEG]),0)",
                                                          "MostRecentExpectedUnitErrors": null,
                                                          "Units": {
                                                            "$id": "107",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orders fullfilled",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"Customer Orders Awaiting Fullfilment",
                                                    "HasDefaultEquation": false,
                                                    "NonStandardBalanceFormula": false,
                                                    "EquationOBXInternal": "IF([Period number]=0,[Opening Customer Orders Awaiting Fullfilment],BEG() + [New customers orders] + [Renewing Customer Orders] - [Customer orders fullfilled]) ",
                                                    "InitialOpeningVariable": null,
                                                    "Units": {
                                                      "$id": "108",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Customers=IF([Period number]=0,[Opening Customer Orders Awaiting Fullfilment],BEG() + [New customers orders] + [Renewing Customer Orders] - [Customer orders fullfilled])  (Units)",
                                                    "Deletable": true,
                                                    "Comment": "",
                                                    "HasSwitchSignLine": false,
                                                    "SwitchSignForReport": false,
                                                    "MultipleInputValues": null,
                                                    "NonPrimaryInput": false,
                                                    "Max": "NaN",
                                                    "Min": "NaN",
                                                    "IsBalanceButNotCorkscrew": false,
                                                    "IsEditable": true,
                                                    "IsConstant": false,
                                                    "UniqueID": "99d62d84-d6fd-48c8-a654-56e222c37468",
                                                    "Dimensions": {
                                                      "$type": "ModelMakerEngine.MMDimensions, ModelMakerEngine",
                                                      "$values": []
                                                    },
                                                    "NameOfGroup": "Customers",
                                                    "EquationToParse": "IF([Period number]=0,[Opening Customer Orders Awaiting Fullfilment],BEG() + [New customers orders] + [Renewing Customer Orders] - [Customer orders fullfilled]) ",
                                                    "MostRecentExpectedUnitErrors": null,
                                                    "ReportLines": {
                                                      "$type": "ModelMaker.UndoableCollection`1[[ModelMakerEngine.IReportLine, ModelMakerEngine]], ModelMaker.Undo",
                                                      "$values": [
                                                        {
                                                          "$ref": "104"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"Customers",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"96"
                                                },
                                                {
                                                  "$id": "109",
                                                  "$type": "ModelMaker.ReportLine, ModelMaker",
                                                  "ActualsItemName": null,
                                                  "ActualsInput": null,
                                                  "AssociatedSchematicNode": {
                                                    "$id": "110",
                                                    "$type": "ModelMaker.StockNode, ModelMaker",
                                                    "OpeningOrActualsName": "",
                                                    "InFlows": {
                                                      "$type": "System.Collections.Generic.List`1[[ModelMakerEngine.IEquationNode, ModelMakerEngine]], mscorlib",
                                                      "$values": [
                                                        {
                                                          "$ref": "94"
                                                        }
                                                      ]
                                                    },
                                                    "OutFlows": {
                                                      "$type": "System.Collections.Generic.List`1[[ModelMakerEngine.IEquationNode, ModelMakerEngine]], mscorlib",
                                                      "$values": [
                                                        {
                                                          "$id": "111",
                                                          "$type": "ModelMaker.VariableNode, ModelMaker",
                                                          "RowTotalDependent": null,
                                                          "PutCalculationOnReport": false,
                                                          "CalculateOnThisReport": null,
                                                          "PivotTableLink": null,
                                                          "NumberFormatOverride": null,
                                                          "HasOpeningBalanceFlag": false,
                                                          "OpeningBalanceFlagAppliedName": "",
                                                          "ToolTip": "\n Is on Inventory=DELAY([Units ordered], [Order lead time (months)],0) (Units)",
                                                          "Deletable": true,
                                                          "Comment": "",
                                                          "HasSwitchSignLine": false,
                                                          "SwitchSignForReport": false,
                                                          "MultipleInputValues": null,
                                                          "NonPrimaryInput": false,
                                                          "Max": "NaN",
                                                          "Min": "NaN",
                                                          "IsBalanceButNotCorkscrew": false,
                                                          "IsEditable": true,
                                                          "IsConstant": false,
                                                          "UniqueID": "76842bf4-c00d-485e-9640-aadfa077ef61",
                                                          "Dimensions": {
                                                            "$type": "ModelMakerEngine.MMDimensions, ModelMakerEngine",
                                                            "$values": []
                                                          },
                                                          "EquationOBXInternal": "DELAY([Units ordered], [Order lead time (months)],0)",
                                                          "NameOfGroup": "Inventory",
                                                          "EquationToParse": "DELAY([Units ordered], [Order lead time (months)],0)",
                                                          "MostRecentExpectedUnitErrors": null,
                                                          "Units": {
                                                            "$id": "112",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delivered",
                                                          "ReportLines": {
                                                            "$type": "ModelMaker.UndoableCollection`1[[ModelMakerEngine.IReportLine, ModelMakerEngine]], ModelMaker.Undo",
                                                            "$values": [
                                                              {
                                                                "$id": "113",
                                                                "$type": "ModelMaker.ReportLine, ModelMaker",
                                                                "ActualsItemName": null,
                                                                "ActualsInput": null,
                                                                "AssociatedSchematicNode": {
                                                                  "$ref": "111"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on order",
                                                    "HasDefaultEquation": false,
                                                    "NonStandardBalanceFormula": false,
                                                    "EquationOBXInternal": "IF([Period number]=0,[Opening Units on order],BEG() + [Units ordered] - [Units delivered]) ",
                                                    "InitialOpeningVariable": null,
                                                    "Units": {
                                                      "$id": "114",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on order],BEG() + [Units ordered] - [Units delivered])  (Units)",
                                                    "Deletable": true,
                                                    "Comment": "",
                                                    "HasSwitchSignLine": false,
                                                    "SwitchSignForReport": false,
                                                    "MultipleInputValues": null,
                                                    "NonPrimaryInput": false,
                                                    "Max": "NaN",
                                                    "Min": "NaN",
                                                    "IsBalanceButNotCorkscrew": false,
                                                    "IsEditable": true,
                                                    "IsConstant": false,
                                                    "UniqueID": "8bca931a-189a-406b-af29-e40ca4ec851f",
                                                    "Dimensions": {
                                                      "$type": "ModelMakerEngine.MMDimensions, ModelMakerEngine",
                                                      "$values": []
                                                    },
                                                    "NameOfGroup": "Inventory",
                                                    "EquationToParse": "IF([Period number]=0,[Opening Units on order],BEG() + [Units ordered] - [Units delivered]) ",
                                                    "MostRecentExpectedUnitErrors": null,
                                                    "ReportLines": {
                                                      "$type": "ModelMaker.UndoableCollection`1[[ModelMakerEngine.IReportLine, ModelMakerEngine]], ModelMaker.Undo",
                                                      "$values": [
                                                        {
                                                          "$ref": "109"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"113"
                                                },
                                                {
                                                  "$id": "115",
                                                  "$type": "ModelMaker.ReportLine, ModelMaker",
                                                  "ActualsItemName": null,
                                                  "ActualsInput": null,
                                                  "AssociatedSchematicNode": {
                                                    "$id": "116",
                                                    "$type": "ModelMaker.VariableNode, ModelMaker",
                                                    "RowTotalDependent": null,
                                                    "PutCalculationOnReport": false,
                                                    "CalculateOnThisReport": null,
                                                    "PivotTableLink": null,
                                                    "NumberFormatOverride": null,
                                                    "HasOpeningBalanceFlag": false,
                                                    "OpeningBalanceFlagAppliedName": "",
                                                    "ToolTip": "\n Is on Inventory=DELAY([New customers orders], [Contract Length],0) + DELAY([Renewing Customer Orders],[Contract Length],0) (Units)",
                                                    "Deletable": true,
                                                    "Comment": "",
                                                    "HasSwitchSignLine": false,
                                                    "SwitchSignForReport": false,
                                                    "MultipleInputValues": null,
                                                    "NonPrimaryInput": false,
                                                    "Max": "NaN",
                                                    "Min": "NaN",
                                                    "IsBalanceButNotCorkscrew": false,
                                                    "IsEditable": true,
                                                    "IsConstant": false,
                                                    "UniqueID": "1be3029f-cfef-4781-91e8-9a1ab3c36af8",
                                                    "Dimensions": {
                                                      "$type": "ModelMakerEngine.MMDimensions, ModelMakerEngine",
                                                      "$values": []
                                                    },
                                                    "EquationOBXInternal": "DELAY([New customers orders], [Contract Length],0) + DELAY([Renewing Customer Orders],[Contract Length],0)",
                                                    "NameOfGroup": "Inventory",
                                                    "EquationToParse": "DELAY([New customers orders], [Contract Length],0) + DELAY([Renewing Customer Orders],[Contract Length],0)",
                                                    "MostRecentExpectedUnitErrors": null,
                                                    "Units": {
                                                      "$id": "117",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"Deployed units returned",
                                                    "ReportLines": {
                                                      "$type": "ModelMaker.UndoableCollection`1[[ModelMakerEngine.IReportLine, ModelMakerEngine]], ModelMaker.Undo",
                                                      "$values": [
                                                        {
                                                          "$ref": "115"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"118",
                                                  "$type": "ModelMaker.ReportLine, ModelMaker",
                                                  "ActualsItemName": null,
                                                  "ActualsInput": null,
                                                  "AssociatedSchematicNode": {
                                                    "$id": "119",
                                                    "$type": "ModelMaker.StockNode, ModelMaker",
                                                    "OpeningOrActualsName": "",
                                                    "InFlows": {
                                                      "$type": "System.Collections.Generic.List`1[[ModelMakerEngine.IEquationNode, ModelMakerEngine]], mscorlib",
                                                      "$values": [
                                                        {
                                                          "$ref": "111"
                                                        }
                                                      ]
                                                    },
                                                    "OutFlows": {
                                                      "$type": "System.Collections.Generic.List`1[[ModelMakerEngine.IEquationNode, ModelMakerEngine]], mscorlib",
                                                      "$values": [
                                                        {
                                                          "$id": "120",
                                                          "$type": "ModelMaker.VariableNode, ModelMaker",
                                                          "RowTotalDependent": null,
                                                          "PutCalculationOnReport": false,
                                                          "CalculateOnThisReport": null,
                                                          "PivotTableLink": null,
                                                          "NumberFormatOverride": null,
                                                          "HasOpeningBalanceFlag": false,
                                                          "OpeningBalanceFlagAppliedName": "",
                                                          "ToolTip": "\n Is on Inventory=[Customer orders fullfilled] (Units)",
                                                          "Deletable": true,
                                                          "Comment": "",
                                                          "HasSwitchSignLine": false,
                                                          "SwitchSignForReport": false,
                                                          "MultipleInputValues": null,
                                                          "NonPrimaryInput": false,
                                                          "Max": "NaN",
                                                          "Min": "NaN",
                                                          "IsBalanceButNotCorkscrew": false,
                                                          "IsEditable": true,
                                                          "IsConstant": false,
                                                          "UniqueID": "7772597b-8eda-41b0-b6f4-d9d7c2b7eb6e",
                                                          "Dimensions": {
                                                            "$type": "ModelMakerEngine.MMDimensions, ModelMakerEngine",
                                                            "$values": []
                                                          },
                                                          "EquationOBXInternal": "[Customer orders fullfilled]",
                                                          "NameOfGroup": "Inventory",
                                                          "EquationToParse": "[Customer orders fullfilled]",
                                                          "MostRecentExpectedUnitErrors": null,
                                                          "Units": {
                                                            "$id": "121",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deployed",
                                                          "ReportLines": {
                                                            "$type": "ModelMaker.UndoableCollection`1[[ModelMakerEngine.IReportLine, ModelMakerEngine]], ModelMaker.Undo",
                                                            "$values": [
                                                              {
                                                                "$id": "122",
                                                                "$type": "ModelMaker.ReportLine, ModelMaker",
                                                                "ActualsItemName": null,
                                                                "ActualsInput": null,
                                                                "AssociatedSchematicNode": {
                                                                  "$ref": "120"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"116"
                                                        },
                                                        {
                                                          "$id": "123",
                                                          "$type": "ModelMaker.VariableNode, ModelMaker",
                                                          "RowTotalDependent": null,
                                                          "PutCalculationOnReport": false,
                                                          "CalculateOnThisReport": null,
                                                          "PivotTableLink": null,
                                                          "NumberFormatOverride": null,
                                                          "HasOpeningBalanceFlag": false,
                                                          "OpeningBalanceFlagAppliedName": "",
                                                          "ToolTip": "\n Is on Inventory=[Deployed units returned] (Units)",
                                                          "Deletable": true,
                                                          "Comment": "",
                                                          "HasSwitchSignLine": false,
                                                          "SwitchSignForReport": false,
                                                          "MultipleInputValues": null,
                                                          "NonPrimaryInput": false,
                                                          "Max": "NaN",
                                                          "Min": "NaN",
                                                          "IsBalanceButNotCorkscrew": false,
                                                          "IsEditable": true,
                                                          "IsConstant": false,
                                                          "UniqueID": "9dfbfe60-46e4-4a12-96b4-31a86f98a738",
                                                          "Dimensions": {
                                                            "$type": "ModelMakerEngine.MMDimensions, ModelMakerEngine",
                                                            "$values": []
                                                          },
                                                          "EquationOBXInternal": "[Deployed units returned]",
                                                          "NameOfGroup": "Inventory",
                                                          "EquationToParse": "[Deployed units returned]",
                                                          "MostRecentExpectedUnitErrors": null,
                                                          "Units": {
                                                            "$id": "124",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"Units retired",
                                                          "ReportLines": {
                                                            "$type": "ModelMaker.UndoableCollection`1[[ModelMakerEngine.IReportLine, ModelMakerEngine]], ModelMaker.Undo",
                                                            "$values": [
                                                              {
                                                                "$id": "125",
                                                                "$type": "ModelMaker.ReportLine, ModelMaker",
                                                                "ActualsItemName": null,
                                                                "ActualsInput": null,
                                                                "AssociatedSchematicNode": {
                                                                  "$ref": "123"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"Units in stock",
                                                    "HasDefaultEquation": false,
                                                    "NonStandardBalanceFormula": false,
                                                    "EquationOBXInternal": "IF([Period number]=0,[Opening Units in stock],BEG() + [Units delivered] - [Units deployed] + [Deployed units returned] + [Units retired]) ",
                                                    "InitialOpeningVariable": null,
                                                    "Units": {
                                                      "$id": "126",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stock],BEG() + [Units delivered] - [Units deployed] + [Deployed units returned] + [Units retired])  (Units)",
                                                    "Deletable": true,
                                                    "Comment": "",
                                                    "HasSwitchSignLine": false,
                                                    "SwitchSignForReport": false,
                                                    "MultipleInputValues": null,
                                                    "NonPrimaryInput": false,
                                                    "Max": "NaN",
                                                    "Min": "NaN",
                                                    "IsBalanceButNotCorkscrew": false,
                                                    "IsEditable": true,
                                                    "IsConstant": false,
                                                    "UniqueID": "e348bb1b-f4a8-4fb7-add7-cca8d5ae8100",
                                                    "Dimensions": {
                                                      "$type": "ModelMakerEngine.MMDimensions, ModelMakerEngine",
                                                      "$values": []
                                                    },
                                                    "NameOfGroup": "Inventory",
                                                    "EquationToParse": "IF([Period number]=0,[Opening Units in stock],BEG() + [Units delivered] - [Units deployed] + [Deployed units returned] + [Units retired]) ",
                                                    "MostRecentExpectedUnitErrors": null,
                                                    "ReportLines": {
                                                      "$type": "ModelMaker.UndoableCollection`1[[ModelMakerEngine.IReportLine, ModelMakerEngine]], ModelMaker.Undo",
                                                      "$values": [
                                                        {
                                                          "$ref": "118"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"122"
                                                },
                                                {
                                                  "$id": "127",
                                                  "$type": "ModelMaker.ReportLine, ModelMaker",
                                                  "ActualsItemName": null,
                                                  "ActualsInput": null,
                                                  "AssociatedSchematicNode": {
                                                    "$id": "128",
                                                    "$type": "ModelMaker.StockNode, ModelMaker",
                                                    "OpeningOrActualsName": "",
                                                    "InFlows": {
                                                      "$type": "System.Collections.Generic.List`1[[ModelMakerEngine.IEquationNode, ModelMakerEngine]], mscorlib",
                                                      "$values": [
                                                        {
                                                          "$ref": "120"
                                                        }
                                                      ]
                                                    },
                                                    "OutFlows": {
                                                      "$type": "System.Collections.Generic.List`1[[ModelMakerEngine.IEquationNode, ModelMakerEngine]], mscorlib",
                                                      "$values": [
                                                        {
                                                          "$ref": "116"
                                                        }
                                                      ]
                                                    },
                                                    "FlagApplied": null,
                                                    "ActualsFlag": null,
                                                    "Name": "Units in use",
                                                    "HasDefaultEquation": false,
                                                    "NonStandardBalanceFormula": false,
                                                    "EquationOBXInternal": "IF([Period number]=0,[Opening Units in use],BEG()+[Units deployed] - [Deployed units returned]) ",
                                                    "InitialOpeningVariable": null,
                                                    "Units": {
                                                      "$id": "129",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Inventory=IF([Period number]=0,[Opening Units in use],BEG()+[Units deployed] - [Deployed units returned])  (Units)",
                                                    "Deletable": true,
                                                    "Comment": "",
                                                    "HasSwitchSignLine": false,
                                                    "SwitchSignForReport": false,
                                                    "MultipleInputValues": null,
                                                    "NonPrimaryInput": false,
                                                    "Max": "NaN",
                                                    "Min": "NaN",
                                                    "IsBalanceButNotCorkscrew": false,
                                                    "IsEditable": true,
                                                    "IsConstant": false,
                                                    "UniqueID": "967d6b7e-1c22-4ec5-83c5-4fac3e8fe538",
                                                    "Dimensions": {
                                                      "$type": "ModelMakerEngine.MMDimensions, ModelMakerEngine",
                                                      "$values": []
                                                    },
                                                    "NameOfGroup": "Inventory",
                                                    "EquationToParse": "IF([Period number]=0,[Opening Units in use],BEG()+[Units deployed] - [Deployed units returned]) ",
                                                    "MostRecentExpectedUnitErrors": null,
                                                    "ReportLines": {
                                                      "$type": "ModelMaker.UndoableCollection`1[[ModelMakerEngine.IReportLine, ModelMakerEngine]], ModelMaker.Undo",
                                                      "$values": [
                                                        {
                                                          "$ref": "127"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"97"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"125"
                                                }
                                              ]
                                            },
                                            "YPosition": -1,
                                            "Name": "Inventory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"Inventory",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"123"
                                  }
                                ]
                              },
                              "FlagApplied": null,
                              "ActualsFlag": null,
                              "Name": "Inventory",
                              "HasDefaultEquation": false,
                              "NonStandardBalanceFormula": true,
                              "EquationOBXInternal": "IF([Period number]=0,[Opening Inventory],BEG() + (([Units ordered] - [Units retired] ) * [Supplier price per unit]))",
                              "InitialOpeningVariable": null,
                              "Units": {
                                "$id": "130",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Inventory],BEG() + (([Units ordered] - [Units retired] ) * [Supplier price per unit])) (GBP)",
                              "Deletable": true,
                              "Comment": "",
                              "HasSwitchSignLine": false,
                              "SwitchSignForReport": false,
                              "MultipleInputValues": null,
                              "NonPrimaryInput": false,
                              "Max": "NaN",
                              "Min": "NaN",
                              "IsBalanceButNotCorkscrew": false,
                              "IsEditable": true,
                              "IsConstant": false,
                              "UniqueID": "f967055d-baa4-4ab3-88b5-c9a7e6f7a44f",
                              "Dimensions": {
                                "$type": "ModelMakerEngine.MMDimensions, ModelMakerEngine",
                                "$values": []
                              },
                              "NameOfGroup": "Unallocated",
                              "EquationToParse": "IF([Period number]=0,[Opening Inventory],BEG() + (([Units ordered] - [Units retired] ) * [Supplier price per unit]))",
                              "MostRecentExpectedUnitErrors": {
                                "$type": "System.Collections.Generic.List`1[[System.String, mscorlib]], mscorlib",
                                "$values": [
                                  "The TRUE part of the IF function measured in GBP but the FALSE part measured in UNITS * GBP"
                                ]
                              },
                              "ReportLines": {
                                "$type": "ModelMaker.UndoableCollection`1[[ModelMakerEngine.IReportLine, ModelMakerEngine]], ModelMaker.Undo",
                                "$values": [
                                  {
                                    "$ref": "92"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"131",
                            "$type": "ModelMaker.ReportLine, ModelMaker",
                            "ActualsItemName": null,
                            "ActualsInput": null,
                            "AssociatedSchematicNode": {
                              "$id": "132",
                              "$type": "ModelMaker.StockNode, ModelMaker",
                              "OpeningOrActualsName": "",
                              "InFlows": {
                                "$type": "System.Collections.Generic.List`1[[ModelMakerEngine.IEquationNode, ModelMakerEngine]], mscorlib",
                                "$values": [
                                  {
                                    "$ref": "70"
                                  }
                                ]
                              },
                              "OutFlows": {
                                "$type": "System.Collections.Generic.List`1[[ModelMakerEngine.IEquationNode, ModelMakerEngine]], mscorlib",
                                "$values": [
                                  {
                                    "$ref": "123"
                                  }
                                ]
                              },
                              "FlagApplied": null,
                              "ActualsFlag": null,
                              "Name": "Depreciation",
                              "HasDefaultEquation": false,
                              "NonStandardBalanceFormula": true,
                              "EquationOBXInternal": "IF([Period number]=0,[Opening Depreciation], BEG() + [Depreciation this period] - ([Units retired]*[Supplier price per unit])) ",
                              "InitialOpeningVariable": null,
                              "Units": {
                                "$id": "133",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Assets=IF([Period number]=0,[Opening Depreciation], BEG() + [Depreciation this period] - ([Units retired]*[Supplier price per unit]))  (GBP)",
                              "Deletable": true,
                              "Comment": "",
                              "HasSwitchSignLine": true,
                              "SwitchSignForReport": true,
                              "MultipleInputValues": null,
                              "NonPrimaryInput": false,
                              "Max": "NaN",
                              "Min": "NaN",
                              "IsBalanceButNotCorkscrew": false,
                              "IsEditable": true,
                              "IsConstant": false,
                              "UniqueID": "1efc7f92-2b8b-48a0-a114-a86bdc72e22e",
                              "Dimensions": {
                                "$type": "ModelMakerEngine.MMDimensions, ModelMakerEngine",
                                "$values": []
                              },
                              "NameOfGroup": "Assets",
                              "EquationToParse": "IF([Period number]=0,[Opening Depreciation], BEG() + [Depreciation this period] - ([Units retired]*[Supplier price per unit])) ",
                              "MostRecentExpectedUnitErrors": null,
                              "ReportLines": {
                                "$type": "ModelMaker.UndoableCollection`1[[ModelMakerEngine.IReportLine, ModelMakerEngine]], ModelMaker.Undo",
                                "$values": [
                                  {
                                    "$ref": "131"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true,
                            "IsSumOfAbove": false,
                            "ParentReport": {
                              "$ref": "91"
                            },
                            "HeadingLevel": 0,
                            "ReportFormatName": null,
                            "NameOfGroup": "Assets",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"134",
                            "$type": "ModelMaker.ReportLine, ModelMaker",
                            "ActualsItemName": null,
                            "ActualsInput": null,
                            "AssociatedSchematicNode": {
                              "$id": "135",
                              "$type": "ModelMaker.StockNode, ModelMaker",
                              "OpeningOrActualsName": "",
                              "InFlows": {
                                "$type": "System.Collections.Generic.List`1[[ModelMakerEngine.IEquationNode, ModelMakerEngine]], mscorlib",
                                "$values": [
                                  {
                                    "$id": "136",
                                    "$type": "ModelMaker.VariableNode, ModelMaker",
                                    "RowTotalDependent": null,
                                    "PutCalculationOnReport": false,
                                    "CalculateOnThisReport": null,
                                    "PivotTableLink": null,
                                    "NumberFormatOverride": null,
                                    "HasOpeningBalanceFlag": false,
                                    "OpeningBalanceFlagAppliedName": "",
                                    "ToolTip": "\n Is on Income=([Customer orders fullfilled] * [Invoice Term] * [Sales Price Unit]) + (DELAY([Customer orders fullfilled], [Invoice Term],0 ) * [Invoice Term] * [Sales Price Unit]) (GBP)",
                                    "Deletable": true,
                                    "Comment": "",
                                    "HasSwitchSignLine": false,
                                    "SwitchSignForReport": false,
                                    "MultipleInputValues": null,
                                    "NonPrimaryInput": false,
                                    "Max": "NaN",
                                    "Min": "NaN",
                                    "IsBalanceButNotCorkscrew": false,
                                    "IsEditable": true,
                                    "IsConstant": false,
                                    "UniqueID": "35129ead-dca1-4d2f-9e6b-d14315cd45c0",
                                    "Dimensions": {
                                      "$type": "ModelMakerEngine.MMDimensions, ModelMakerEngine",
                                      "$values": []
                                    },
                                    "EquationOBXInternal": "([Customer orders fullfilled] * [Invoice Term] * [Sales Price Unit]) + (DELAY([Customer orders fullfilled], [Invoice Term],0 ) * [Invoice Term] * [Sales Price Unit])",
                                    "NameOfGroup": "Financials",
                                    "EquationToParse": "([Customer orders fullfilled] * [Invoice Term] * [Sales Price Unit]) + (DELAY([Customer orders fullfilled], [Invoice Term],0 ) * [Invoice Term] * [Sales Price Unit])",
                                    "MostRecentExpectedUnitErrors": null,
                                    "Units": {
                                      "$id": "137",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"New Deferred Income from customer orders",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"138",
                                    "$type": "ModelMaker.VariableNode, ModelMaker",
                                    "RowTotalDependent": null,
                                    "PutCalculationOnReport": false,
                                    "CalculateOnThisReport": null,
                                    "PivotTableLink": null,
                                    "NumberFormatOverride": null,
                                    "HasOpeningBalanceFlag": false,
                                    "OpeningBalanceFlagAppliedName": "",
                                    "ToolTip": "\n Is on VAT= [New Deferred Income from customer orders] * [VAT rate] (GBP)",
                                    "Deletable": true,
                                    "Comment": "",
                                    "HasSwitchSignLine": false,
                                    "SwitchSignForReport": false,
                                    "MultipleInputValues": null,
                                    "NonPrimaryInput": false,
                                    "Max": "NaN",
                                    "Min": "NaN",
                                    "IsBalanceButNotCorkscrew": false,
                                    "IsEditable": true,
                                    "IsConstant": false,
                                    "UniqueID": "bf256f01-be00-4330-903c-160475a9a6d7",
                                    "Dimensions": {
                                      "$type": "ModelMakerEngine.MMDimensions, ModelMakerEngine",
                                      "$values": []
                                    },
                                    "EquationOBXInternal": " [New Deferred Income from customer orders] * [VAT rate]",
                                    "NameOfGroup": "VAT",
                                    "EquationToParse": " [New Deferred Income from customer orders] * [VAT rate]",
                                    "MostRecentExpectedUnitErrors": null,
                                    "Units": {
                                      "$id": "139",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"Output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"8"
                                  }
                                ]
                              },
                              "FlagApplied": null,
                              "ActualsFlag": null,
                              "Name": "Debtors",
                              "HasDefaultEquation": false,
                              "NonStandardBalanceFormula": false,
                              "EquationOBXInternal": "IF([Period number]=0,[Opening Debtors],BEG()  + [New Deferred Income from customer orders] + [Output VAT]- [Cash in from Sales])  ",
                              "InitialOpeningVariable": null,
                              "Units": {
                                "$id": "140",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Debtors],BEG()  + [New Deferred Income from customer orders] + [Output VAT]- [Cash in from Sales])   (GBP)",
                              "Deletable": true,
                              "Comment": "",
                              "HasSwitchSignLine": false,
                              "SwitchSignForReport": false,
                              "MultipleInputValues": null,
                              "NonPrimaryInput": false,
                              "Max": "NaN",
                              "Min": "NaN",
                              "IsBalanceButNotCorkscrew": false,
                              "IsEditable": true,
                              "IsConstant": false,
                              "UniqueID": "0329d11b-4710-4d9a-8e13-1970703b0d03",
                              "Dimensions": {
                                "$type": "ModelMakerEngine.MMDimensions, ModelMakerEngine",
                                "$values": []
                              },
                              "NameOfGroup": "Financials",
                              "EquationToParse": "IF([Period number]=0,[Opening Debtors],BEG()  + [New Deferred Income from customer orders] + [Output VAT]- [Cash in from Sales])  ",
                              "MostRecentExpectedUnitErrors": null,
                              "ReportLines": {
                                "$type": "ModelMaker.UndoableCollection`1[[ModelMakerEngine.IReportLine, ModelMakerEngine]], ModelMaker.Undo",
                                "$values": [
                                  {
                                    "$ref": "134"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"141",
                            "$type": "ModelMaker.ReportLine, ModelMaker",
                            "ActualsItemName": null,
                            "ActualsInput": null,
                            "AssociatedSchematicNode": {
                              "$id": "142",
                              "$type": "ModelMaker.StockNode, ModelMaker",
                              "OpeningOrActualsName": "",
                              "InFlows": {
                                "$type": "System.Collections.Generic.List`1[[ModelMakerEngine.IEquationNode, ModelMakerEngine]], mscorlib",
                                "$values": [
                                  {
                                    "$ref": "4"
                                  }
                                ]
                              },
                              "OutFlows": {
                                "$type": "System.Collections.Generic.List`1[[ModelMakerEngine.IEquationNode, ModelMakerEngine]], mscorlib",
                                "$values": []
                              },
                              "FlagApplied": null,
                              "ActualsFlag": null,
                              "Name": "Cash",
                              "HasDefaultEquation": false,
                              "NonStandardBalanceFormula": false,
                              "EquationOBXInternal": "IF([Period number]=0,[Opening Cash],BEG() + [Net Cashflow] ) ",
                              "InitialOpeningVariable": null,
                              "Units": {
                                "$ref": "2"
                              },
                              "Visible": true,
                              "RowTotalDependent": null,
                              "PutCalculationOnReport": false,
                              "CalculateOnThisReport": null,
                              "PivotTableLink": null,
                              "NumberFormatOverride": null,
                              "ToolTip": "\n Is on Financials=IF([Period number]=0,[Opening Cash],BEG() + [Net Cashflow] )  (GBP)",
                              "Deletable": true,
                              "Comment": "",
                              "HasSwitchSignLine": false,
                              "SwitchSignForReport": false,
                              "MultipleInputValues": null,
                              "NonPrimaryInput": false,
                              "Max": "NaN",
                              "Min": "NaN",
                              "IsBalanceButNotCorkscrew": false,
                              "IsEditable": true,
                              "IsConstant": false,
                              "UniqueID": "a32824bc-25f2-4e39-b08d-90ae995c021a",
                              "Dimensions": {
                                "$type": "ModelMakerEngine.MMDimensions, ModelMakerEngine",
                                "$values": []
                              },
                              "NameOfGroup": "Unallocated",
                              "EquationToParse": "IF([Period number]=0,[Opening Cash],BEG() + [Net Cashflow] ) ",
                              "MostRecentExpectedUnitErrors": null,
                              "ReportLines": {
                                "$type": "ModelMaker.UndoableCollection`1[[ModelMakerEngine.IReportLine, ModelMakerEngine]], ModelMaker.Undo",
                                "$values": [
                                  {
                                    "$ref": "141"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"90"
                          },
                          {
                            "$id": "143",
                            "$type": "ModelMaker.ReportLine, ModelMaker",
                            "ActualsItemName": null,
                            "ActualsInput": null,
                            "AssociatedSchematicNode": {
                              "$id": "144",
                              "$type": "ModelMaker.StockNode, ModelMaker",
                              "OpeningOrActualsName": "",
                              "InFlows": {
                                "$type": "System.Collections.Generic.List`1[[ModelMakerEngine.IEquationNode, ModelMakerEngine]], mscorlib",
                                "$values": [
                                  {
                                    "$ref": "136"
                                  }
                                ]
                              },
                              "OutFlows": {
                                "$type": "System.Collections.Generic.List`1[[ModelMakerEngine.IEquationNode, ModelMakerEngine]], mscorlib",
                                "$values": [
                                  {
                                    "$ref": "61"
                                  }
                                ]
                              },
                              "FlagApplied": null,
                              "ActualsFlag": null,
                              "Name": "Deferred Income",
                              "HasDefaultEquation": false,
                              "NonStandardBalanceFormula": false,
                              "EquationOBXInternal": "IF([Period number]=0,[Opening Deferred Income],BEG()+ [New Deferred Income from customer orders] - [Income] )",
                              "InitialOpeningVariable": null,
                              "Units": {
                                "$id": "145",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Income=IF([Period number]=0,[Opening Deferred Income],BEG()+ [New Deferred Income from customer orders] - [Income] ) (GBP)",
                              "Deletable": true,
                              "Comment": "",
                              "HasSwitchSignLine": false,
                              "SwitchSignForReport": false,
                              "MultipleInputValues": null,
                              "NonPrimaryInput": false,
                              "Max": "NaN",
                              "Min": "NaN",
                              "IsBalanceButNotCorkscrew": false,
                              "IsEditable": true,
                              "IsConstant": false,
                              "UniqueID": "b1b9302a-4483-4784-86e8-63e179c0b316",
                              "Dimensions": {
                                "$type": "ModelMakerEngine.MMDimensions, ModelMakerEngine",
                                "$values": []
                              },
                              "NameOfGroup": "Financials",
                              "EquationToParse": "IF([Period number]=0,[Opening Deferred Income],BEG()+ [New Deferred Income from customer orders] - [Income] )",
                              "MostRecentExpectedUnitErrors": null,
                              "ReportLines": {
                                "$type": "ModelMaker.UndoableCollection`1[[ModelMakerEngine.IReportLine, ModelMakerEngine]], ModelMaker.Undo",
                                "$values": [
                                  {
                                    "$ref": "143"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"146",
                            "$type": "ModelMaker.ReportLine, ModelMaker",
                            "ActualsItemName": null,
                            "ActualsInput": null,
                            "AssociatedSchematicNode": {
                              "$id": "147",
                              "$type": "ModelMaker.StockNode, ModelMaker",
                              "OpeningOrActualsName": "",
                              "InFlows": {
                                "$type": "System.Collections.Generic.List`1[[ModelMakerEngine.IEquationNode, ModelMakerEngine]], mscorlib",
                                "$values": [
                                  {
                                    "$id": "148",
                                    "$type": "ModelMaker.VariableNode, ModelMaker",
                                    "RowTotalDependent": null,
                                    "PutCalculationOnReport": false,
                                    "CalculateOnThisReport": null,
                                    "PivotTableLink": null,
                                    "NumberFormatOverride": null,
                                    "HasOpeningBalanceFlag": false,
                                    "OpeningBalanceFlagAppliedName": "",
                                    "ToolTip": "\n Is on Financials=[Units ordered]*[Supplier price per unit] (GBP)",
                                    "Deletable": true,
                                    "Comment": "",
                                    "HasSwitchSignLine": false,
                                    "SwitchSignForReport": false,
                                    "MultipleInputValues": null,
                                    "NonPrimaryInput": false,
                                    "Max": "NaN",
                                    "Min": "NaN",
                                    "IsBalanceButNotCorkscrew": false,
                                    "IsEditable": true,
                                    "IsConstant": false,
                                    "UniqueID": "38d361e3-9bde-4d30-ac1a-e8aecc297287",
                                    "Dimensions": {
                                      "$type": "ModelMakerEngine.MMDimensions, ModelMakerEngine",
                                      "$values": []
                                    },
                                    "EquationOBXInternal": "[Units ordered]*[Supplier price per unit]",
                                    "NameOfGroup": "Financials",
                                    "EquationToParse": "[Units ordered]*[Supplier price per unit]",
                                    "MostRecentExpectedUnitErrors": null,
                                    "Units": {
                                      "$id": "149",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"Supplier Invoices",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"150",
                                    "$type": "ModelMaker.VariableNode, ModelMaker",
                                    "RowTotalDependent": null,
                                    "PutCalculationOnReport": false,
                                    "CalculateOnThisReport": null,
                                    "PivotTableLink": null,
                                    "NumberFormatOverride": null,
                                    "HasOpeningBalanceFlag": false,
                                    "OpeningBalanceFlagAppliedName": "",
                                    "ToolTip": "\n Is on Inventory=([Supplier Invoices] * [VAT rate]) (GBP)",
                                    "Deletable": true,
                                    "Comment": "",
                                    "HasSwitchSignLine": false,
                                    "SwitchSignForReport": false,
                                    "MultipleInputValues": null,
                                    "NonPrimaryInput": false,
                                    "Max": "NaN",
                                    "Min": "NaN",
                                    "IsBalanceButNotCorkscrew": false,
                                    "IsEditable": true,
                                    "IsConstant": false,
                                    "UniqueID": "45fc8f69-7bf0-4406-ad91-0207d2158d15",
                                    "Dimensions": {
                                      "$type": "ModelMakerEngine.MMDimensions, ModelMakerEngine",
                                      "$values": []
                                    },
                                    "EquationOBXInternal": "([Supplier Invoices] * [VAT rate])",
                                    "NameOfGroup": "Inventory",
                                    "EquationToParse": "([Supplier Invoices] * [VAT rate])",
                                    "MostRecentExpectedUnitErrors": null,
                                    "Units": {
                                      "$ref": "2"
                                    },
                                    "Name": "VAT on inventory",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"11"
                                  }
                                ]
                              },
                              "OutFlows": {
                                "$type": "System.Collections.Generic.List`1[[ModelMakerEngine.IEquationNode, ModelMakerEngine]], mscorlib",
                                "$values": [
                                  {
                                    "$ref": "22"
                                  },
                                  {
                                    "$ref": "66"
                                  },
                                  {
                                    "$ref": "64"
                                  },
                                  {
                                    "$id": "151",
                                    "$type": "ModelMaker.VariableNode, ModelMaker",
                                    "RowTotalDependent": null,
                                    "PutCalculationOnReport": false,
                                    "CalculateOnThisReport": null,
                                    "PivotTableLink": null,
                                    "NumberFormatOverride": null,
                                    "HasOpeningBalanceFlag": false,
                                    "OpeningBalanceFlagAppliedName": "",
                                    "ToolTip": "\n Is on Expense=[VAT rate] * [Percentage of expense subject to VAT] * ([Fixed operating expense] + [Variable Operating expense])  (GBP)",
                                    "Deletable": true,
                                    "Comment": "",
                                    "HasSwitchSignLine": false,
                                    "SwitchSignForReport": false,
                                    "MultipleInputValues": null,
                                    "NonPrimaryInput": false,
                                    "Max": "NaN",
                                    "Min": "NaN",
                                    "IsBalanceButNotCorkscrew": false,
                                    "IsEditable": true,
                                    "IsConstant": false,
                                    "UniqueID": "99f4c678-3884-4066-9367-59bcf9b5f0bb",
                                    "Dimensions": {
                                      "$type": "ModelMakerEngine.MMDimensions, ModelMakerEngine",
                                      "$values": []
                                    },
                                    "EquationOBXInternal": "[VAT rate] * [Percentage of expense subject to VAT] * ([Fixed operating expense] + [Variable Operating expense]) ",
                                    "NameOfGroup": "Expense",
                                    "EquationToParse": "[VAT rate] * [Percentage of expense subject to VAT] * ([Fixed operating expense] + [Variable Operating expense]) ",
                                    "MostRecentExpectedUnitErrors": null,
                                    "Units": {
                                      "$ref": "2"
                                    },
                                    "Name": "VAT on operating expense",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"FlagApplied": null,
                              "ActualsFlag": null,
                              "Name": "Creditors",
                              "HasDefaultEquation": false,
                              "NonStandardBalanceFormula": false,
                              "EquationOBXInternal": "IF([Period number]=0,[Opening Creditors],BEG() + [Supplier Invoices] + [VAT on inventory] - [Cash out on Inventory] + [Fixed operating expense] + [Variable Operating expense] + [VAT on operating expense] - [Cash out on Operating Expense]   ) ",
                              "InitialOpeningVariable": null,
                              "Units": {
                                "$id": "152",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Working Capital=IF([Period number]=0,[Opening Creditors],BEG() + [Supplier Invoices] + [VAT on inventory] - [Cash out on Inventory] + [Fixed operating expense] + [Variable Operating expense] + [VAT on operating expense] - [Cash out on Operating Expense]   )  (GBP)",
                              "Deletable": true,
                              "Comment": "",
                              "HasSwitchSignLine": false,
                              "SwitchSignForReport": false,
                              "MultipleInputValues": null,
                              "NonPrimaryInput": false,
                              "Max": "NaN",
                              "Min": "NaN",
                              "IsBalanceButNotCorkscrew": false,
                              "IsEditable": true,
                              "IsConstant": false,
                              "UniqueID": "eb885aa9-02e7-462d-b65f-2351a38af880",
                              "Dimensions": {
                                "$type": "ModelMakerEngine.MMDimensions, ModelMakerEngine",
                                "$values": []
                              },
                              "NameOfGroup": "Financials",
                              "EquationToParse": "IF([Period number]=0,[Opening Creditors],BEG() + [Supplier Invoices] + [VAT on inventory] - [Cash out on Inventory] + [Fixed operating expense] + [Variable Operating expense] + [VAT on operating expense] - [Cash out on Operating Expense]   ) ",
                              "MostRecentExpectedUnitErrors": null,
                              "ReportLines": {
                                "$type": "ModelMaker.UndoableCollection`1[[ModelMakerEngine.IReportLine, ModelMakerEngine]], ModelMaker.Undo",
                                "$values": [
                                  {
                                    "$ref": "146"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"153",
                            "$type": "ModelMaker.ReportLine, ModelMaker",
                            "ActualsItemName": null,
                            "ActualsInput": null,
                            "AssociatedSchematicNode": {
                              "$id": "154",
                              "$type": "ModelMaker.StockNode, ModelMaker",
                              "OpeningOrActualsName": "",
                              "InFlows": {
                                "$type": "System.Collections.Generic.List`1[[ModelMakerEngine.IEquationNode, ModelMakerEngine]], mscorlib",
                                "$values": [
                                  {
                                    "$ref": "27"
                                  },
                                  {
                                    "$id": "155",
                                    "$type": "ModelMaker.VariableNode, ModelMaker",
                                    "RowTotalDependent": null,
                                    "PutCalculationOnReport": false,
                                    "CalculateOnThisReport": null,
                                    "PivotTableLink": null,
                                    "NumberFormatOverride": null,
                                    "HasOpeningBalanceFlag": false,
                                    "OpeningBalanceFlagAppliedName": "",
                                    "ToolTip": "\n Is on Supply Chain finance=[Supply Chain Finance interest]-[Supply Chain Finance interest paid] (GBP)",
                                    "Deletable": true,
                                    "Comment": "",
                                    "HasSwitchSignLine": false,
                                    "SwitchSignForReport": false,
                                    "MultipleInputValues": null,
                                    "NonPrimaryInput": false,
                                    "Max": "NaN",
                                    "Min": "NaN",
                                    "IsBalanceButNotCorkscrew": false,
                                    "IsEditable": true,
                                    "IsConstant": false,
                                    "UniqueID": "f3874029-cea9-4b2e-89fb-657f7bc5b83f",
                                    "Dimensions": {
                                      "$type": "ModelMakerEngine.MMDimensions, ModelMakerEngine",
                                      "$values": []
                                    },
                                    "EquationOBXInternal": "[Supply Chain Finance interest]-[Supply Chain Finance interest paid]",
                                    "NameOfGroup": "Trade Finance",
                                    "EquationToParse": "[Supply Chain Finance interest]-[Supply Chain Finance interest paid]",
                                    "MostRecentExpectedUnitErrors": null,
                                    "Units": {
                                      "$id": "156",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"Supply Chain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"30"
                                  }
                                ]
                              },
                              "FlagApplied": null,
                              "ActualsFlag": null,
                              "Name": "Supply Chain Finance balance",
                              "HasDefaultEquation": false,
                              "NonStandardBalanceFormula": false,
                              "EquationOBXInternal": "IF([Period number]=0,[Opening Supply Chain Finance balance],BEG()+[Supply Chain Finance drawdown]+[Supply Chain Finance unpaid interest]-[Supply Chain Finance principal repayment])",
                              "InitialOpeningVariable": null,
                              "Units": {
                                "$id": "157",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Supply Chain finance=IF([Period number]=0,[Opening Supply Chain Finance balance],BEG()+[Supply Chain Finance drawdown]+[Supply Chain Finance unpaid interest]-[Supply Chain Finance principal repayment]) (GBP)",
                              "Deletable": true,
                              "Comment": "",
                              "HasSwitchSignLine": false,
                              "SwitchSignForReport": false,
                              "MultipleInputValues": null,
                              "NonPrimaryInput": false,
                              "Max": "NaN",
                              "Min": "NaN",
                              "IsBalanceButNotCorkscrew": false,
                              "IsEditable": true,
                              "IsConstant": false,
                              "UniqueID": "818b94b1-3f4e-404e-8b5b-b14fc8484060",
                              "Dimensions": {
                                "$type": "ModelMakerEngine.MMDimensions, ModelMakerEngine",
                                "$values": []
                              },
                              "NameOfGroup": "Trade Finance",
                              "EquationToParse": "IF([Period number]=0,[Opening Supply Chain Finance balance],BEG()+[Supply Chain Finance drawdown]+[Supply Chain Finance unpaid interest]-[Supply Chain Finance principal repayment])",
                              "MostRecentExpectedUnitErrors": null,
                              "ReportLines": {
                                "$type": "ModelMaker.UndoableCollection`1[[ModelMakerEngine.IReportLine, ModelMakerEngine]], ModelMaker.Undo",
                                "$values": [
                                  {
                                    "$ref": "153"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"158",
                            "$type": "ModelMaker.ReportLine, ModelMaker",
                            "ActualsItemName": null,
                            "ActualsInput": null,
                            "AssociatedSchematicNode": {
                              "$id": "159",
                              "$type": "ModelMaker.StockNode, ModelMaker",
                              "OpeningOrActualsName": "",
                              "InFlows": {
                                "$type": "System.Collections.Generic.List`1[[ModelMakerEngine.IEquationNode, ModelMakerEngine]], mscorlib",
                                "$values": [
                                  {
                                    "$ref": "33"
                                  },
                                  {
                                    "$id": "160",
                                    "$type": "ModelMaker.VariableNode, ModelMaker",
                                    "RowTotalDependent": null,
                                    "PutCalculationOnReport": false,
                                    "CalculateOnThisReport": null,
                                    "PivotTableLink": null,
                                    "NumberFormatOverride": null,
                                    "HasOpeningBalanceFlag": false,
                                    "OpeningBalanceFlagAppliedName": "",
                                    "ToolTip": "\n Is on Invoice finance=[Invoice finance interest]-[Invoice finance interest paid] (GBP)",
                                    "Deletable": true,
                                    "Comment": "",
                                    "HasSwitchSignLine": false,
                                    "SwitchSignForReport": false,
                                    "MultipleInputValues": null,
                                    "NonPrimaryInput": false,
                                    "Max": "NaN",
                                    "Min": "NaN",
                                    "IsBalanceButNotCorkscrew": false,
                                    "IsEditable": true,
                                    "IsConstant": false,
                                    "UniqueID": "975ecd23-a63a-4b06-941a-dabe71e235e9",
                                    "Dimensions": {
                                      "$type": "ModelMakerEngine.MMDimensions, ModelMakerEngine",
                                      "$values": []
                                    },
                                    "EquationOBXInternal": "[Invoice finance interest]-[Invoice finance interest paid]",
                                    "NameOfGroup": "Invoice finance",
                                    "EquationToParse": "[Invoice finance interest]-[Invoice finance interest paid]",
                                    "MostRecentExpectedUnitErrors": null,
                                    "Units": {
                                      "$id": "161",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"Invoice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"36"
                                  }
                                ]
                              },
                              "FlagApplied": null,
                              "ActualsFlag": null,
                              "Name": "Invoice finance balance",
                              "HasDefaultEquation": false,
                              "NonStandardBalanceFormula": false,
                              "EquationOBXInternal": " IF([Period number]=0,[Opening Invoice finance balance],BEG()+[Invoice finance drawdown]+[Invoice finance unpaid interest]-[Invoice finance principal repayment])",
                              "InitialOpeningVariable": null,
                              "Units": {
                                "$id": "162",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Invoice finance= IF([Period number]=0,[Opening Invoice finance balance],BEG()+[Invoice finance drawdown]+[Invoice finance unpaid interest]-[Invoice finance principal repayment]) (GBP)",
                              "Deletable": true,
                              "Comment": "",
                              "HasSwitchSignLine": false,
                              "SwitchSignForReport": false,
                              "MultipleInputValues": null,
                              "NonPrimaryInput": false,
                              "Max": "NaN",
                              "Min": "NaN",
                              "IsBalanceButNotCorkscrew": false,
                              "IsEditable": true,
                              "IsConstant": false,
                              "UniqueID": "04e675bd-c762-4cd6-a522-5b2dc671d206",
                              "Dimensions": {
                                "$type": "ModelMakerEngine.MMDimensions, ModelMakerEngine",
                                "$values": []
                              },
                              "NameOfGroup": "Invoice finance",
                              "EquationToParse": " IF([Period number]=0,[Opening Invoice finance balance],BEG()+[Invoice finance drawdown]+[Invoice finance unpaid interest]-[Invoice finance principal repayment])",
                              "MostRecentExpectedUnitErrors": null,
                              "ReportLines": {
                                "$type": "ModelMaker.UndoableCollection`1[[ModelMakerEngine.IReportLine, ModelMakerEngine]], ModelMaker.Undo",
                                "$values": [
                                  {
                                    "$ref": "158"
                                  }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"Invoice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"163",
                            "$type": "ModelMaker.ReportLine, ModelMaker",
                            "ActualsItemName": null,
                            "ActualsInput": null,
                            "AssociatedSchematicNode": {
                              "$id": "164",
                              "$type": "ModelMaker.StockNode, ModelMaker",
                              "OpeningOrActualsName": "",
                              "InFlows": {
                                "$type": "System.Collections.Generic.List`1[[ModelMakerEngine.IEquationNode, ModelMakerEngine]], mscorlib",
                                "$values": [
                                  {
                                    "$ref": "39"
                                  },
                                  {
                                    "$id": "165",
                                    "$type": "ModelMaker.VariableNode, ModelMaker",
                                    "RowTotalDependent": null,
                                    "PutCalculationOnReport": false,
                                    "CalculateOnThisReport": null,
                                    "PivotTableLink": null,
                                    "NumberFormatOverride": null,
                                    "HasOpeningBalanceFlag": false,
                                    "OpeningBalanceFlagAppliedName": "",
                                    "ToolTip": "\n Is on Asset Finance=[Asset Finance interest]-[Asset Finance interest paid] (GBP)",
                                    "Deletable": true,
                                    "Comment": "",
                                    "HasSwitchSignLine": false,
                                    "SwitchSignForReport": false,
                                    "MultipleInputValues": null,
                                    "NonPrimaryInput": false,
                                    "Max": "NaN",
                                    "Min": "NaN",
                                    "IsBalanceButNotCorkscrew": false,
                                    "IsEditable": true,
                                    "IsConstant": false,
                                    "UniqueID": "e94e4849-0010-42c1-90f2-c94cf6b1912c",
                                    "Dimensions": {
                                      "$type": "ModelMakerEngine.MMDimensions, ModelMakerEngine",
                                      "$values": []
                                    },
                                    "EquationOBXInternal": "[Asset Finance interest]-[Asset Finance interest paid]",
                                    "NameOfGroup": "Trade Finance",
                                    "EquationToParse": "[Asset Finance interest]-[Asset Finance interest paid]",
                                    "MostRecentExpectedUnitErrors": null,
                                    "Units": {
                                      "$id": "166",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"Asset Finance unpaid interest",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"42"
                                  }
                                ]
                              },
                              "FlagApplied": null,
                              "ActualsFlag": null,
                              "Name": "Asset Finance balance",
                              "HasDefaultEquation": false,
                              "NonStandardBalanceFormula": false,
                              "EquationOBXInternal": "IF([Period number]=0,[Opening Asset Finance balance],BEG()+[Asset Finance drawdown]+[Asset Finance unpaid interest]-[Asset Finance principal repayment])",
                              "InitialOpeningVariable": null,
                              "Units": {
                                "$id": "167",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Asset Finance=IF([Period number]=0,[Opening Asset Finance balance],BEG()+[Asset Finance drawdown]+[Asset Finance unpaid interest]-[Asset Finance principal repayment]) (GBP)",
                              "Deletable": true,
                              "Comment": "",
                              "HasSwitchSignLine": false,
                              "SwitchSignForReport": false,
                              "MultipleInputValues": null,
                              "NonPrimaryInput": false,
                              "Max": "NaN",
                              "Min": "NaN",
                              "IsBalanceButNotCorkscrew": false,
                              "IsEditable": true,
                              "IsConstant": false,
                              "UniqueID": "82d3b6b9-1443-4586-824b-afc046e58980",
                              "Dimensions": {
                                "$type": "ModelMakerEngine.MMDimensions, ModelMakerEngine",
                                "$values": []
                              },
                              "NameOfGroup": "Trade Finance",
                              "EquationToParse": "IF([Period number]=0,[Opening Asset Finance balance],BEG()+[Asset Finance drawdown]+[Asset Finance unpaid interest]-[Asset Finance principal repayment])",
                              "MostRecentExpectedUnitErrors": null,
                              "ReportLines": {
                                "$type": "ModelMaker.UndoableCollection`1[[ModelMakerEngine.IReportLine, ModelMakerEngine]], ModelMaker.Undo",
                                "$values": [
                                  {
                                    "$ref": "163"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"Trade Finance",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"168",
                            "$type": "ModelMaker.ReportLine, ModelMaker",
                            "ActualsItemName": null,
                            "ActualsInput": null,
                            "AssociatedSchematicNode": {
                              "$id": "169",
                              "$type": "ModelMaker.StockNode, ModelMaker",
                              "OpeningOrActualsName": "",
                              "InFlows": {
                                "$type": "System.Collections.Generic.List`1[[ModelMakerEngine.IEquationNode, ModelMakerEngine]], mscorlib",
                                "$values": [
                                  {
                                    "$id": "170",
                                    "$type": "ModelMaker.VariableNode, ModelMaker",
                                    "RowTotalDependent": null,
                                    "PutCalculationOnReport": false,
                                    "CalculateOnThisReport": null,
                                    "PivotTableLink": null,
                                    "NumberFormatOverride": null,
                                    "HasOpeningBalanceFlag": false,
                                    "OpeningBalanceFlagAppliedName": "",
                                    "ToolTip": "\n Is on VAT=[Output VAT] - [Input VAT] (GBP)",
                                    "Deletable": true,
                                    "Comment": "",
                                    "HasSwitchSignLine": false,
                                    "SwitchSignForReport": false,
                                    "MultipleInputValues": null,
                                    "NonPrimaryInput": false,
                                    "Max": "NaN",
                                    "Min": "NaN",
                                    "IsBalanceButNotCorkscrew": false,
                                    "IsEditable": true,
                                    "IsConstant": false,
                                    "UniqueID": "21c14180-cb08-486f-9fe1-ae07e3b5c7b5",
                                    "Dimensions": {
                                      "$type": "ModelMakerEngine.MMDimensions, ModelMakerEngine",
                                      "$values": []
                                    },
                                    "EquationOBXInternal": "[Output VAT] - [Input VAT]",
                                    "NameOfGroup": "VAT",
                                    "EquationToParse": "[Output VAT] - [Input VAT]",
                                    "MostRecentExpectedUnitErrors": null,
                                    "Units": {
                                      "$id": "171",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due",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"OutFlows": {
                                "$type": "System.Collections.Generic.List`1[[ModelMakerEngine.IEquationNode, ModelMakerEngine]], mscorlib",
                                "$values": [
                                  {
                                    "$ref": "13"
                                  }
                                ]
                              },
                              "FlagApplied": null,
                              "ActualsFlag": null,
                              "Name": "VAT balance",
                              "HasDefaultEquation": false,
                              "NonStandardBalanceFormula": false,
                              "EquationOBXInternal": "IF([Period number]=0,[Opening VAT balance],BEG()+[VAT due]-[VAT paid] )",
                              "InitialOpeningVariable": null,
                              "Units": {
                                "$id": "172",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VAT=IF([Period number]=0,[Opening VAT balance],BEG()+[VAT due]-[VAT paid] ) (GBP)",
                              "Deletable": true,
                              "Comment": "",
                              "HasSwitchSignLine": false,
                              "SwitchSignForReport": false,
                              "MultipleInputValues": null,
                              "NonPrimaryInput": false,
                              "Max": "NaN",
                              "Min": "NaN",
                              "IsBalanceButNotCorkscrew": false,
                              "IsEditable": true,
                              "IsConstant": false,
                              "UniqueID": "a48f3282-440a-4918-b3b1-f2ab2f687241",
                              "Dimensions": {
                                "$type": "ModelMakerEngine.MMDimensions, ModelMakerEngine",
                                "$values": []
                              },
                              "NameOfGroup": "VAT",
                              "EquationToParse": "IF([Period number]=0,[Opening VAT balance],BEG()+[VAT due]-[VAT paid] )",
                              "MostRecentExpectedUnitErrors": null,
                              "ReportLines": {
                                "$type": "ModelMaker.UndoableCollection`1[[ModelMakerEngine.IReportLine, ModelMakerEngine]], ModelMaker.Undo",
                                "$values": [
                                  {
                                    "$ref": "168"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"VAT",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"173",
                            "$type": "ModelMaker.ReportLine, ModelMaker",
                            "ActualsItemName": null,
                            "ActualsInput": null,
                            "AssociatedSchematicNode": {
                              "$id": "174",
                              "$type": "ModelMaker.StockNode, ModelMaker",
                              "OpeningOrActualsName": "",
                              "InFlows": {
                                "$type": "System.Collections.Generic.List`1[[ModelMakerEngine.IEquationNode, ModelMakerEngine]], mscorlib",
                                "$values": [
                                  {
                                    "$ref": "86"
                                  }
                                ]
                              },
                              "OutFlows": {
                                "$type": "System.Collections.Generic.List`1[[ModelMakerEngine.IEquationNode, ModelMakerEngine]], mscorlib",
                                "$values": [
                                  {
                                    "$ref": "16"
                                  }
                                ]
                              },
                              "FlagApplied": null,
                              "ActualsFlag": null,
                              "Name": "Corporation tax creditor",
                              "HasDefaultEquation": false,
                              "NonStandardBalanceFormula": false,
                              "EquationOBXInternal": "IF([Period number]=0,[Opening Corporation tax creditor],BEG() + [Corporation tax] - [Corporation tax paid] )",
                              "InitialOpeningVariable": null,
                              "Units": {
                                "$id": "175",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tax.Corporation tax creditor=IF([Period number]=0,[Opening Corporation tax creditor],BEG() + [Corporation tax] - [Corporation tax paid] ) (GBP)",
                              "Deletable": true,
                              "Comment": "",
                              "HasSwitchSignLine": false,
                              "SwitchSignForReport": false,
                              "MultipleInputValues": null,
                              "NonPrimaryInput": false,
                              "Max": "NaN",
                              "Min": "NaN",
                              "IsBalanceButNotCorkscrew": false,
                              "IsEditable": true,
                              "IsConstant": false,
                              "UniqueID": "aa0cb100-e000-4dee-b9aa-57679a3141f5",
                              "Dimensions": {
                                "$type": "ModelMakerEngine.MMDimensions, ModelMakerEngine",
                                "$values": []
                              },
                              "NameOfGroup": "Corporation tax.Corporation tax creditor",
                              "EquationToParse": "IF([Period number]=0,[Opening Corporation tax creditor],BEG() + [Corporation tax] - [Corporation tax paid] )",
                              "MostRecentExpectedUnitErrors": null,
                              "ReportLines": {
                                "$type": "ModelMaker.UndoableCollection`1[[ModelMakerEngine.IReportLine, ModelMakerEngine]], ModelMaker.Undo",
                                "$values": [
                                  {
                                    "$ref": "173"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"Corporation tax.Corporation tax creditor",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"176",
                            "$type": "ModelMaker.ReportLine, ModelMaker",
                            "ActualsItemName": null,
                            "ActualsInput": null,
                            "AssociatedSchematicNode": {
                              "$id": "177",
                              "$type": "ModelMaker.VariableNode, ModelMaker",
                              "RowTotalDependent": null,
                              "PutCalculationOnReport": false,
                              "CalculateOnThisReport": null,
                              "PivotTableLink": null,
                              "NumberFormatOverride": null,
                              "HasOpeningBalanceFlag": false,
                              "OpeningBalanceFlagAppliedName": "",
                              "ToolTip": "\n Is on Unallocated(Sub total or total of the items above it)",
                              "Deletable": true,
                              "Comment": "",
                              "HasSwitchSignLine": false,
                              "SwitchSignForReport": false,
                              "MultipleInputValues": null,
                              "NonPrimaryInput": false,
                              "Max": "NaN",
                              "Min": "NaN",
                              "IsBalanceButNotCorkscrew": false,
                              "IsEditable": false,
                              "IsConstant": false,
                              "UniqueID": "875b92c3-5ad6-4fcd-8868-8a47f4deb232",
                              "Dimensions": {
                                "$type": "ModelMakerEngine.MMDimensions, ModelMakerEngine",
                                "$values": []
                              },
                              "EquationOBXInternal": "",
                              "NameOfGroup": "Unallocated",
                              "EquationToParse": "",
                              "MostRecentExpectedUnitErrors": null,
                              "Units": {
                                "$ref": "2"
                              },
                              "Name": "Liabilities",
                              "ReportLines": {
                                "$type": "ModelMaker.UndoableCollection`1[[ModelMakerEngine.IReportLine, ModelMakerEngine]], ModelMaker.Undo",
                                "$values": [
                                  {
                                    "$ref": "176"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true,
                            "ParentReport": {
                              "$ref": "91"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"178",
                            "$type": "ModelMaker.ReportLine, ModelMaker",
                            "ActualsItemName": null,
                            "ActualsInput": null,
                            "AssociatedSchematicNode": {
                              "$id": "179",
                              "$type": "ModelMaker.VariableNode, ModelMaker",
                              "RowTotalDependent": null,
                              "PutCalculationOnReport": false,
                              "CalculateOnThisReport": null,
                              "PivotTableLink": null,
                              "NumberFormatOverride": null,
                              "HasOpeningBalanceFlag": false,
                              "OpeningBalanceFlagAppliedName": "",
                              "ToolTip": "\n Is on Financials=[Assets]-[Liabilities] (GBP)",
                              "Deletable": true,
                              "Comment": "",
                              "HasSwitchSignLine": false,
                              "SwitchSignForReport": false,
                              "MultipleInputValues": null,
                              "NonPrimaryInput": false,
                              "Max": "NaN",
                              "Min": "NaN",
                              "IsBalanceButNotCorkscrew": false,
                              "IsEditable": true,
                              "IsConstant": false,
                              "UniqueID": "628b8c02-ae0e-44dd-8238-5df310fe3a6b",
                              "Dimensions": {
                                "$type": "ModelMakerEngine.MMDimensions, ModelMakerEngine",
                                "$values": []
                              },
                              "EquationOBXInternal": "[Assets]-[Liabilities]",
                              "NameOfGroup": "Financials",
                              "EquationToParse": "[Assets]-[Liabilities]",
                              "MostRecentExpectedUnitErrors": null,
                              "Units": {
                                "$id": "180",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"Net Assets",
                              "ReportLines": {
                                "$type": "ModelMaker.UndoableCollection`1[[ModelMakerEngine.IReportLine, ModelMakerEngine]], ModelMaker.Undo",
                                "$values": [
                                  {
                                    "$ref": "178"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"ReportTotal",
                            "NameOfGroup": "Financials",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"181",
                            "$type": "ModelMaker.ReportLine, ModelMaker",
                            "ActualsItemName": null,
                            "ActualsInput": null,
                            "AssociatedSchematicNode": {
                              "$id": "182",
                              "$type": "ModelMaker.StockNode, ModelMaker",
                              "OpeningOrActualsName": "",
                              "InFlows": {
                                "$type": "System.Collections.Generic.List`1[[ModelMakerEngine.IEquationNode, ModelMakerEngine]], mscorlib",
                                "$values": [
                                  {
                                    "$ref": "57"
                                  }
                                ]
                              },
                              "OutFlows": {
                                "$type": "System.Collections.Generic.List`1[[ModelMakerEngine.IEquationNode, ModelMakerEngine]], mscorlib",
                                "$values": []
                              },
                              "FlagApplied": null,
                              "ActualsFlag": null,
                              "Name": "Retained Earnings",
                              "HasDefaultEquation": false,
                              "NonStandardBalanceFormula": false,
                              "EquationOBXInternal": "IF([Period number]=0,[Opening Retained Earnings],BEG() + [Retained Earnings this period] ) ",
                              "InitialOpeningVariable": null,
                              "Units": {
                                "$ref": "2"
                              },
                              "Visible": true,
                              "RowTotalDependent": null,
                              "PutCalculationOnReport": false,
                              "CalculateOnThisReport": null,
                              "PivotTableLink": null,
                              "NumberFormatOverride": null,
                              "ToolTip": "\n Is on Financials=IF([Period number]=0,[Opening Retained Earnings],BEG() + [Retained Earnings this period] )  (GBP)",
                              "Deletable": true,
                              "Comment": "",
                              "HasSwitchSignLine": false,
                              "SwitchSignForReport": false,
                              "MultipleInputValues": null,
                              "NonPrimaryInput": false,
                              "Max": "NaN",
                              "Min": "NaN",
                              "IsBalanceButNotCorkscrew": false,
                              "IsEditable": true,
                              "IsConstant": false,
                              "UniqueID": "e6e91963-610e-41ee-939b-9b095f55a003",
                              "Dimensions": {
                                "$type": "ModelMakerEngine.MMDimensions, ModelMakerEngine",
                                "$values": []
                              },
                              "NameOfGroup": "Unallocated",
                              "EquationToParse": "IF([Period number]=0,[Opening Retained Earnings],BEG() + [Retained Earnings this period] ) ",
                              "MostRecentExpectedUnitErrors": null,
                              "ReportLines": {
                                "$type": "ModelMaker.UndoableCollection`1[[ModelMakerEngine.IReportLine, ModelMakerEngine]], ModelMaker.Undo",
                                "$values": [
                                  {
                                    "$ref": "181"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"183",
                            "$type": "ModelMaker.ReportLine, ModelMaker",
                            "ActualsItemName": null,
                            "ActualsInput": null,
                            "AssociatedSchematicNode": {
                              "$id": "184",
                              "$type": "ModelMaker.StockNode, ModelMaker",
                              "OpeningOrActualsName": "",
                              "InFlows": {
                                "$type": "System.Collections.Generic.List`1[[ModelMakerEngine.IEquationNode, ModelMakerEngine]], mscorlib",
                                "$values": [
                                  {
                                    "$ref": "56"
                                  }
                                ]
                              },
                              "OutFlows": {
                                "$type": "System.Collections.Generic.List`1[[ModelMakerEngine.IEquationNode, ModelMakerEngine]], mscorlib",
                                "$values": []
                              },
                              "FlagApplied": null,
                              "ActualsFlag": null,
                              "Name": "Share Capital",
                              "HasDefaultEquation": false,
                              "NonStandardBalanceFormula": false,
                              "EquationOBXInternal": "IF([Period number]=0,[Opening Share Capital],BEG() +[New share capital issued] ) ",
                              "InitialOpeningVariable": null,
                              "Units": {
                                "$ref": "2"
                              },
                              "Visible": true,
                              "RowTotalDependent": null,
                              "PutCalculationOnReport": false,
                              "CalculateOnThisReport": null,
                              "PivotTableLink": null,
                              "NumberFormatOverride": null,
                              "ToolTip": "\n Is on Equity=IF([Period number]=0,[Opening Share Capital],BEG() +[New share capital issued] )  (GBP)",
                              "Deletable": true,
                              "Comment": "",
                              "HasSwitchSignLine": false,
                              "SwitchSignForReport": false,
                              "MultipleInputValues": null,
                              "NonPrimaryInput": false,
                              "Max": "NaN",
                              "Min": "NaN",
                              "IsBalanceButNotCorkscrew": false,
                              "IsEditable": true,
                              "IsConstant": false,
                              "UniqueID": "c3a16eb3-b029-45cd-a7a7-8841ee6dc435",
                              "Dimensions": {
                                "$type": "ModelMakerEngine.MMDimensions, ModelMakerEngine",
                                "$values": []
                              },
                              "NameOfGroup": "Equity",
                              "EquationToParse": "IF([Period number]=0,[Opening Share Capital],BEG() +[New share capital issued] ) ",
                              "MostRecentExpectedUnitErrors": null,
                              "ReportLines": {
                                "$type": "ModelMaker.UndoableCollection`1[[ModelMakerEngine.IReportLine, ModelMakerEngine]], ModelMaker.Undo",
                                "$values": [
                                  {
                                    "$ref": "183"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null,
                            "NameOfGroup": "Equity",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"185",
                            "$type": "ModelMaker.ReportLine, ModelMaker",
                            "ActualsItemName": null,
                            "ActualsInput": null,
                            "AssociatedSchematicNode": {
                              "$id": "186",
                              "$type": "ModelMaker.VariableNode, ModelMaker",
                              "RowTotalDependent": null,
                              "PutCalculationOnReport": false,
                              "CalculateOnThisReport": null,
                              "PivotTableLink": null,
                              "NumberFormatOverride": null,
                              "HasOpeningBalanceFlag": false,
                              "OpeningBalanceFlagAppliedName": "",
                              "ToolTip": "\n Is on Financials=[Retained Earnings]+[Share Capital] (GBP)",
                              "Deletable": true,
                              "Comment": "",
                              "HasSwitchSignLine": false,
                              "SwitchSignForReport": false,
                              "MultipleInputValues": null,
                              "NonPrimaryInput": false,
                              "Max": "NaN",
                              "Min": "NaN",
                              "IsBalanceButNotCorkscrew": false,
                              "IsEditable": true,
                              "IsConstant": false,
                              "UniqueID": "84324f15-8c7e-48eb-8f5c-06115c96392a",
                              "Dimensions": {
                                "$type": "ModelMakerEngine.MMDimensions, ModelMakerEngine",
                                "$values": []
                              },
                              "EquationOBXInternal": "[Retained Earnings]+[Share Capital]",
                              "NameOfGroup": "Unallocated",
                              "EquationToParse": "[Retained Earnings]+[Share Capital]",
                              "MostRecentExpectedUnitErrors": null,
                              "Units": {
                                "$ref": "2"
                              },
                              "Name": "Shareholder Equity",
                              "ReportLines": {
                                "$type": "ModelMaker.UndoableCollection`1[[ModelMakerEngine.IReportLine, ModelMakerEngine]], ModelMaker.Undo",
                                "$values": [
                                  {
                                    "$ref": "185"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"OpeningBalanceFlagAppliedName": "",
                            "SumOfAboveIncludesPreviousTotal": false,
                            "LastNameUsed": null,
                            "SwitchSignForReport": false,
                            "IsSumOfAbove": false,
                            "ParentReport": {
                              "$ref": "91"
                            },
                            "HeadingLevel": 0,
                            "ReportFormatName": "ReportTotal",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"YPosition": -1,
                      "Name": "Balance Sheet",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false,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"177"
            },
            {
              "$ref": "72"
            }
          ]
        },
        "AllowAddChildren": true,
        "AllowRemoveChildren": true,
        "IsImported": false,
        "IsChecksGroup": false,
        "IsAlertsGroup": false,
        "IsChecksAndAlertsGroup": false,
        "IsUnallocatedGroup": true,
        "IsInputsGroup": false,
        "IsFlag": false,
        "IsTimeAndFlagsGroup": false,
        "DimensionsAcross": {
          "$type": "ModelMakerEngine.MMDimensions, ModelMakerEngine",
          "$values": []
        },
        "TimeAxis": 0,
        "IndexInParent": 0,
        "Name": "Unallocated",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"187",
        "$type": "ModelMaker.GroupNode, ModelMaker",
        "TabOrHeaderColour": "",
        "Comment": "",
        "NameOfGroup": null,
        "YPosition": 0,
        "Folded": false,
        "Font": null,
        "Children": {
          "$type": "ModelMaker.GroupNodeChildCollection, ModelMaker",
          "$values": [
            {
              "$id": "188",
              "$type": "ModelMaker.GroupNode, ModelMaker",
              "TabOrHeaderColour": "",
              "Comment": "",
              "NameOfGroup": "Inputs",
              "YPosition": 0,
              "Folded": true,
              "Font": null,
              "Children": {
                "$type": "ModelMaker.GroupNodeChildCollection, ModelMaker",
                "$values": [
                  {
                    "$id": "189",
                    "$type": "ModelMaker.VariableNode, ModelMaker",
                    "RowTotalDependent": null,
                    "PutCalculationOnReport": false,
                    "CalculateOnThisReport": null,
                    "PivotTableLink": null,
                    "NumberFormatOverride": null,
                    "HasOpeningBalanceFlag": false,
                    "OpeningBalanceFlagAppliedName": "",
                    "ToolTip": "\n Is on Inputs.Model Constants=12 ()",
                    "Deletable": true,
                    "Comment": "",
                    "HasSwitchSignLine": false,
                    "SwitchSignForReport": false,
                    "MultipleInputValues": null,
                    "NonPrimaryInput": false,
                    "Max": "NaN",
                    "Min": "NaN",
                    "IsBalanceButNotCorkscrew": false,
                    "IsEditable": true,
                    "IsConstant": true,
                    "UniqueID": "de42c0ef-4dc5-4f48-804e-2e2a47bcc6a0",
                    "Dimensions": {
                      "$type": "ModelMakerEngine.MMDimensions, ModelMakerEngine",
                      "$values": []
                    },
                    "EquationOBXInternal": "12",
                    "NameOfGroup": "Inputs.Model Constants",
                    "EquationToParse": "12",
                    "MostRecentExpectedUnitErrors": null,
                    "Units": {
                      "$id": "190",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"Months in year",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"191",
                    "$type": "ModelMaker.VariableNode, ModelMaker",
                    "RowTotalDependent": null,
                    "PutCalculationOnReport": false,
                    "CalculateOnThisReport": null,
                    "PivotTableLink": null,
                    "NumberFormatOverride": null,
                    "HasOpeningBalanceFlag": false,
                    "OpeningBalanceFlagAppliedName": "",
                    "ToolTip": "\n Is on Inputs.Model Constants=1 (Months)",
                    "Deletable": false,
                    "Comment": "",
                    "HasSwitchSignLine": false,
                    "SwitchSignForReport": false,
                    "MultipleInputValues": null,
                    "NonPrimaryInput": false,
                    "Max": "NaN",
                    "Min": "NaN",
                    "IsBalanceButNotCorkscrew": false,
                    "IsEditable": true,
                    "IsConstant": true,
                    "UniqueID": "c44456d7-67b6-44e9-87db-6e3f1e1037a8",
                    "Dimensions": {
                      "$type": "ModelMakerEngine.MMDimensions, ModelMakerEngine",
                      "$values": []
                    },
                    "EquationOBXInternal": "1",
                    "NameOfGroup": "Inputs.Model Constants",
                    "EquationToParse": "1",
                    "MostRecentExpectedUnitErrors": null,
                    "Units": {
                      "$id": "192",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"Months per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11,
                    "IsStandardNode": true,
                    "WarnMessage": null,
                    "StandardDescription": null,
                    "HasStandardDescription": false,
                    "HasStandardName": true,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"193",
                    "$type": "ModelMaker.VariableNode, ModelMaker",
                    "RowTotalDependent": null,
                    "PutCalculationOnReport": false,
                    "CalculateOnThisReport": null,
                    "PivotTableLink": null,
                    "NumberFormatOverride": null,
                    "HasOpeningBalanceFlag": false,
                    "OpeningBalanceFlagAppliedName": "",
                    "ToolTip": "\n Is on Inputs.Model Constants=4 (Months)",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"1b840e5a-526e-4a76-9a63-150339d38f2e",
                    "Dimensions": {
                      "$type": "ModelMakerEngine.MMDimensions, ModelMakerEngine",
                      "$values": []
                    },
                    "EquationOBXInternal": "4",
                    "NameOfGroup": "Inputs.Model Constants",
                    "EquationToParse": "4",
                    "MostRecentExpectedUnitErrors": null,
                    "Units": {
                      "$id": "194",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"Financial year end month",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6,
                    "IsStandardNode": true,
                    "WarnMessage": null,
                    "StandardDescription": null,
                    "HasStandardDescription": false,
                    "HasStandardName": true,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"195",
                    "$type": "ModelMaker.VariableNode, ModelMaker",
                    "RowTotalDependent": null,
                    "PutCalculationOnReport": false,
                    "CalculateOnThisReport": null,
                    "PivotTableLink": null,
                    "NumberFormatOverride": null,
                    "HasOpeningBalanceFlag": false,
                    "OpeningBalanceFlagAppliedName": "",
                    "ToolTip": "\n Is on Inputs.Model Constants01/05/2023",
                    "Deletable": false,
                    "Comment": "",
                    "HasSwitchSignLine": false,
                    "SwitchSignForReport": false,
                    "MultipleInputValues": {
                      "$type": "System.Collections.Generic.List`1[[ModelMaker.DimensionedArrayValues, ModelMaker]], mscorlib",
                      "$values": []
                    },
                    "NonPrimaryInput": false,
                    "Max": "NaN",
                    "Min": "NaN",
                    "IsBalanceButNotCorkscrew": false,
                    "IsEditable": true,
                    "IsConstant": true,
                    "UniqueID": "d6f09cf0-d6ec-4213-876e-d37cfe9b6720",
                    "Dimensions": {
                      "$type": "ModelMakerEngine.MMDimensions, ModelMakerEngine",
                      "$values": []
                    },
                    "EquationOBXInternal": "45047",
                    "NameOfGroup": "Inputs.Model Constants",
                    "EquationToParse": "45047",
                    "MostRecentExpectedUnitErrors": null,
                    "Units": {
                      "$id": "196",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"Start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7,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"Model Constants",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"197",
              "$type": "ModelMaker.GroupNode, ModelMaker",
              "TabOrHeaderColour": "",
              "Comment": "",
              "NameOfGroup": "Inputs",
              "YPosition": 1,
              "Folded": true,
              "Font": null,
              "Children": {
                "$type": "ModelMaker.GroupNodeChildCollection, ModelMaker",
                "$values": [
                  {
                    "$id": "198",
                    "$type": "ModelMaker.VariableNode, ModelMaker",
                    "RowTotalDependent": null,
                    "PutCalculationOnReport": false,
                    "CalculateOnThisReport": null,
                    "PivotTableLink": null,
                    "NumberFormatOverride": null,
                    "HasOpeningBalanceFlag": false,
                    "OpeningBalanceFlagAppliedName": "",
                    "ToolTip": "\n Is on Inputs.Customer Orders=90% (%)",
                    "Deletable": true,
                    "Comment": "",
                    "HasSwitchSignLine": false,
                    "SwitchSignForReport": false,
                    "MultipleInputValues": null,
                    "NonPrimaryInput": false,
                    "Max": "NaN",
                    "Min": "NaN",
                    "IsBalanceButNotCorkscrew": false,
                    "IsEditable": true,
                    "IsConstant": true,
                    "UniqueID": "4aa6325f-3295-4d48-87f8-bebf93bc9e67",
                    "Dimensions": {
                      "$type": "ModelMakerEngine.MMDimensions, ModelMakerEngine",
                      "$values": []
                    },
                    "EquationOBXInternal": "90%",
                    "NameOfGroup": "Inputs.Customer Orders",
                    "EquationToParse": "90%",
                    "MostRecentExpectedUnitErrors": null,
                    "Units": {
                      "$id": "199",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Retention",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"200",
                    "$type": "ModelMaker.VariableNode, ModelMaker",
                    "RowTotalDependent": null,
                    "PutCalculationOnReport": false,
                    "CalculateOnThisReport": null,
                    "PivotTableLink": null,
                    "NumberFormatOverride": null,
                    "HasOpeningBalanceFlag": false,
                    "OpeningBalanceFlagAppliedName": "",
                    "ToolTip": "\n Is on Inputs.Customer Orders={500,500,,,,,,} (Units)",
                    "Deletable": true,
                    "Comment": "",
                    "HasSwitchSignLine": false,
                    "SwitchSignForReport": false,
                    "MultipleInputValues": {
                      "$type": "System.Collections.Generic.List`1[[ModelMaker.DimensionedArrayValues, ModelMaker]], mscorlib",
                      "$values": [
                        {
                          "$id": "201",
                          "$type": "ModelMaker.DimensionedArrayValues, ModelMaker",
                          "Elements": {
                            "$type": "ModelMakerEngine.MMElements, ModelMakerEngine",
                            "$values": []
                          },
                          "Values": {
                            "$type": "System.Collections.Generic.List`1[[System.Object, mscorlib]], mscorlib",
                            "$values": [
                              500.0,
                              500.0,
                              null,
                              null,
                              null,
                              null,
                              null,
                              null
                            ]
                          }
                        }
                      ]
                    },
                    "NonPrimaryInput": false,
                    "Max": "NaN",
                    "Min": "NaN",
                    "IsBalanceButNotCorkscrew": false,
                    "IsEditable": true,
                    "IsConstant": true,
                    "UniqueID": "4fba74b9-4d27-4a38-924c-08aa9927c12a",
                    "Dimensions": {
                      "$type": "ModelMakerEngine.MMDimensions, ModelMakerEngine",
                      "$values": []
                    },
                    "EquationOBXInternal": "{500,500,,,,,,}",
                    "NameOfGroup": "Inputs.Customer Orders",
                    "EquationToParse": "{500,500,,,,,,}",
                    "MostRecentExpectedUnitErrors": null,
                    "Units": {
                      "$id": "202",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"Customer base order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"203",
                    "$type": "ModelMaker.VariableNode, ModelMaker",
                    "RowTotalDependent": null,
                    "PutCalculationOnReport": false,
                    "CalculateOnThisReport": null,
                    "PivotTableLink": null,
                    "NumberFormatOverride": null,
                    "HasOpeningBalanceFlag": false,
                    "OpeningBalanceFlagAppliedName": "",
                    "ToolTip": "\n Is on Inputs.Customer Orders=100% (%)",
                    "Deletable": true,
                    "Comment": "",
                    "HasSwitchSignLine": false,
                    "SwitchSignForReport": false,
                    "MultipleInputValues": null,
                    "NonPrimaryInput": false,
                    "Max": "NaN",
                    "Min": "NaN",
                    "IsBalanceButNotCorkscrew": false,
                    "IsEditable": true,
                    "IsConstant": true,
                    "UniqueID": "63966daa-0868-4a79-857b-75f081718644",
                    "Dimensions": {
                      "$type": "ModelMakerEngine.MMDimensions, ModelMakerEngine",
                      "$values": []
                    },
                    "EquationOBXInternal": "100%",
                    "NameOfGroup": "Time.Customer Order Growth index",
                    "EquationToParse": "100%",
                    "MostRecentExpectedUnitErrors": null,
                    "Units": {
                      "$id": "204",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"Customer Order Growth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"205",
                    "$type": "ModelMaker.VariableNode, ModelMaker",
                    "RowTotalDependent": null,
                    "PutCalculationOnReport": false,
                    "CalculateOnThisReport": null,
                    "PivotTableLink": null,
                    "NumberFormatOverride": null,
                    "HasOpeningBalanceFlag": false,
                    "OpeningBalanceFlagAppliedName": "",
                    "ToolTip": "\n Is on Inputs.Customer Orders=1 ()",
                    "Deletable": true,
                    "Comment": "",
                    "HasSwitchSignLine": false,
                    "SwitchSignForReport": false,
                    "MultipleInputValues": null,
                    "NonPrimaryInput": false,
                    "Max": "NaN",
                    "Min": "NaN",
                    "IsBalanceButNotCorkscrew": false,
                    "IsEditable": true,
                    "IsConstant": true,
                    "UniqueID": "53da5bf3-d831-4020-b1c6-a01eeaa0e254",
                    "Dimensions": {
                      "$type": "ModelMakerEngine.MMDimensions, ModelMakerEngine",
                      "$values": []
                    },
                    "EquationOBXInternal": "1",
                    "NameOfGroup": "Time.Customer Order Growth index",
                    "EquationToParse": "1",
                    "MostRecentExpectedUnitErrors": null,
                    "Units": {
                      "$id": "206",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"207",
                    "$type": "ModelMaker.VariableNode, ModelMaker",
                    "RowTotalDependent": null,
                    "PutCalculationOnReport": false,
                    "CalculateOnThisReport": null,
                    "PivotTableLink": null,
                    "NumberFormatOverride": null,
                    "HasOpeningBalanceFlag": false,
                    "OpeningBalanceFlagAppliedName": "",
                    "ToolTip": "\n Is on Inputs.Customer Orders={0,0,0,0,0,0,0,} (Units)",
                    "Deletable": true,
                    "Comment": "",
                    "HasSwitchSignLine": false,
                    "SwitchSignForReport": false,
                    "MultipleInputValues": {
                      "$type": "System.Collections.Generic.List`1[[ModelMaker.DimensionedArrayValues, ModelMaker]], mscorlib",
                      "$values": [
                        {
                          "$id": "208",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"15493d5c-545e-4c5c-b46e-1b96e1eb367a",
                    "Dimensions": {
                      "$type": "ModelMakerEngine.MMDimensions, ModelMakerEngine",
                      "$values": []
                    },
                    "EquationOBXInternal": "{0,0,0,0,0,0,0,}",
                    "NameOfGroup": "Inputs.Customer Orders",
                    "EquationToParse": "{0,0,0,0,0,0,0,}",
                    "MostRecentExpectedUnitErrors": null,
                    "Units": {
                      "$ref": "108"
                    },
                    "Name": "Opening Customer Orders Awaiting Fullfilment",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"209",
                    "$type": "ModelMaker.VariableNode, ModelMaker",
                    "RowTotalDependent": null,
                    "PutCalculationOnReport": false,
                    "CalculateOnThisReport": null,
                    "PivotTableLink": null,
                    "NumberFormatOverride": null,
                    "HasOpeningBalanceFlag": false,
                    "OpeningBalanceFlagAppliedName": "",
                    "ToolTip": "\n Is on Inputs.Customer Orders={2,,,,,,,} (Months)",
                    "Deletable": true,
                    "Comment": "",
                    "HasSwitchSignLine": false,
                    "SwitchSignForReport": false,
                    "MultipleInputValues": {
                      "$type": "System.Collections.Generic.List`1[[ModelMaker.DimensionedArrayValues, ModelMaker]], mscorlib",
                      "$values": [
                        {
                          "$id": "210",
                          "$type": "ModelMaker.DimensionedArrayValues, ModelMaker",
                          "Elements": {
                            "$type": "ModelMakerEngine.MMElements, ModelMakerEngine",
                            "$values": []
                          },
                          "Values": {
                            "$type": "System.Collections.Generic.List`1[[System.Object, mscorlib]], mscorlib",
                            "$values": [
                              2.0,
                              null,
                              null,
                              null,
                              null,
                              null,
                              null,
                              null
                            ]
                          }
                        }
                      ]
                    },
                    "NonPrimaryInput": false,
                    "Max": "NaN",
                    "Min": "NaN",
                    "IsBalanceButNotCorkscrew": false,
                    "IsEditable": true,
                    "IsConstant": true,
                    "UniqueID": "9e31397d-5be1-4a4f-bd22-72c7eb7aac00",
                    "Dimensions": {
                      "$type": "ModelMakerEngine.MMDimensions, ModelMakerEngine",
                      "$values": []
                    },
                    "EquationOBXInternal": "{2,,,,,,,}",
                    "NameOfGroup": "Inputs.Inventory",
                    "EquationToParse": "{2,,,,,,,}",
                    "MostRecentExpectedUnitErrors": null,
                    "Units": {
                      "$id": "211",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"Customer payment terms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"212",
                    "$type": "ModelMaker.VariableNode, ModelMaker",
                    "RowTotalDependent": null,
                    "PutCalculationOnReport": false,
                    "CalculateOnThisReport": null,
                    "PivotTableLink": null,
                    "NumberFormatOverride": null,
                    "HasOpeningBalanceFlag": false,
                    "OpeningBalanceFlagAppliedName": "",
                    "ToolTip": "\n Is on Inputs.Customer Orders={12,,,,,,,} (GBP)",
                    "Deletable": true,
                    "Comment": "",
                    "HasSwitchSignLine": false,
                    "SwitchSignForReport": false,
                    "MultipleInputValues": {
                      "$type": "System.Collections.Generic.List`1[[ModelMaker.DimensionedArrayValues, ModelMaker]], mscorlib",
                      "$values": [
                        {
                          "$id": "213",
                          "$type": "ModelMaker.DimensionedArrayValues, ModelMaker",
                          "Elements": {
                            "$type": "ModelMakerEngine.MMElements, ModelMakerEngine",
                            "$values": []
                          },
                          "Values": {
                            "$type": "System.Collections.Generic.List`1[[System.Object, mscorlib]], mscorlib",
                            "$values": [
                              12.0,
                              null,
                              null,
                              null,
                              null,
                              null,
                              null,
                              null
                            ]
                          }
                        }
                      ]
                    },
                    "NonPrimaryInput": false,
                    "Max": "NaN",
                    "Min": "NaN",
                    "IsBalanceButNotCorkscrew": false,
                    "IsEditable": true,
                    "IsConstant": true,
                    "UniqueID": "ca812b0e-1431-471b-90b3-f522c2481a14",
                    "Dimensions": {
                      "$type": "ModelMakerEngine.MMDimensions, ModelMakerEngine",
                      "$values": []
                    },
                    "EquationOBXInternal": "{12,,,,,,,}",
                    "NameOfGroup": "Inputs.Customer Orders",
                    "EquationToParse": "{12,,,,,,,}",
                    "MostRecentExpectedUnitErrors": null,
                    "Units": {
                      "$ref": "2"
                    },
                    "Name": "Sales Price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"214",
                    "$type": "ModelMaker.VariableNode, ModelMaker",
                    "RowTotalDependent": null,
                    "PutCalculationOnReport": false,
                    "CalculateOnThisReport": null,
                    "PivotTableLink": null,
                    "NumberFormatOverride": null,
                    "HasOpeningBalanceFlag": false,
                    "OpeningBalanceFlagAppliedName": "",
                    "ToolTip": "\n Is on Inputs.Customer Orders={24,,,,,,,} (Months)",
                    "Deletable": true,
                    "Comment": "",
                    "HasSwitchSignLine": false,
                    "SwitchSignForReport": false,
                    "MultipleInputValues": {
                      "$type": "System.Collections.Generic.List`1[[ModelMaker.DimensionedArrayValues, ModelMaker]], mscorlib",
                      "$values": [
                        {
                          "$id": "215",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"fee7489b-3659-4a70-9021-23831f0a8f6a",
                    "Dimensions": {
                      "$type": "ModelMakerEngine.MMDimensions, ModelMakerEngine",
                      "$values": []
                    },
                    "EquationOBXInternal": "{24,,,,,,,}",
                    "NameOfGroup": "Inputs.Customer Orders",
                    "EquationToParse": "{24,,,,,,,}",
                    "MostRecentExpectedUnitErrors": null,
                    "Units": {
                      "$id": "216",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"Contract Length",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"217",
                    "$type": "ModelMaker.VariableNode, ModelMaker",
                    "RowTotalDependent": null,
                    "PutCalculationOnReport": false,
                    "CalculateOnThisReport": null,
                    "PivotTableLink": null,
                    "NumberFormatOverride": null,
                    "HasOpeningBalanceFlag": false,
                    "OpeningBalanceFlagAppliedName": "",
                    "ToolTip": "\n Is on Inputs.Customer Orders=12 (Months)",
                    "Deletable": true,
                    "Comment": "",
                    "HasSwitchSignLine": false,
                    "SwitchSignForReport": false,
                    "MultipleInputValues": null,
                    "NonPrimaryInput": false,
                    "Max": "NaN",
                    "Min": "NaN",
                    "IsBalanceButNotCorkscrew": false,
                    "IsEditable": true,
                    "IsConstant": true,
                    "UniqueID": "a3a8a277-aab2-48f6-baf6-c054913dc422",
                    "Dimensions": {
                      "$type": "ModelMakerEngine.MMDimensions, ModelMakerEngine",
                      "$values": []
                    },
                    "EquationOBXInternal": "12",
                    "NameOfGroup": "Inputs.Customer Orders",
                    "EquationToParse": "12",
                    "MostRecentExpectedUnitErrors": null,
                    "Units": {
                      "$id": "218",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"Invoice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"Customer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"219",
              "$type": "ModelMaker.GroupNode, ModelMaker",
              "TabOrHeaderColour": "",
              "Comment": "",
              "NameOfGroup": "Inputs",
              "YPosition": 2,
              "Folded": true,
              "Font": null,
              "Children": {
                "$type": "ModelMaker.GroupNodeChildCollection, ModelMaker",
                "$values": [
                  {
                    "$id": "220",
                    "$type": "ModelMaker.VariableNode, ModelMaker",
                    "RowTotalDependent": null,
                    "PutCalculationOnReport": false,
                    "CalculateOnThisReport": null,
                    "PivotTableLink": null,
                    "NumberFormatOverride": null,
                    "HasOpeningBalanceFlag": false,
                    "OpeningBalanceFlagAppliedName": "",
                    "ToolTip": "\n Is on Inputs.Expense={45000,25000,25000,25000,25000,25000,25000,} (GBP)",
                    "Deletable": true,
                    "Comment": "",
                    "HasSwitchSignLine": false,
                    "SwitchSignForReport": false,
                    "MultipleInputValues": {
                      "$type": "System.Collections.Generic.List`1[[ModelMaker.DimensionedArrayValues, ModelMaker]], mscorlib",
                      "$values": [
                        {
                          "$id": "221",
                          "$type": "ModelMaker.DimensionedArrayValues, ModelMaker",
                          "Elements": {
                            "$type": "ModelMakerEngine.MMElements, ModelMakerEngine",
                            "$values": []
                          },
                          "Values": {
                            "$type": "System.Collections.Generic.List`1[[System.Object, mscorlib]], mscorlib",
                            "$values": [
                              45000.0,
                              25000.0,
                              25000.0,
                              25000.0,
                              25000.0,
                              25000.0,
                              25000.0,
                              null
                            ]
                          }
                        }
                      ]
                    },
                    "NonPrimaryInput": false,
                    "Max": "NaN",
                    "Min": "NaN",
                    "IsBalanceButNotCorkscrew": false,
                    "IsEditable": true,
                    "IsConstant": true,
                    "UniqueID": "ff161850-29ca-48b6-bee2-f6e078166251",
                    "Dimensions": {
                      "$type": "ModelMakerEngine.MMDimensions, ModelMakerEngine",
                      "$values": []
                    },
                    "EquationOBXInternal": "{45000,25000,25000,25000,25000,25000,25000,}",
                    "NameOfGroup": "Inputs.Expense",
                    "EquationToParse": "{45000,25000,25000,25000,25000,25000,25000,}",
                    "MostRecentExpectedUnitErrors": null,
                    "Units": {
                      "$ref": "2"
                    },
                    "Name": "Fixed operating cost base",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"222",
                    "$type": "ModelMaker.VariableNode, ModelMaker",
                    "RowTotalDependent": null,
                    "PutCalculationOnReport": false,
                    "CalculateOnThisReport": null,
                    "PivotTableLink": null,
                    "NumberFormatOverride": null,
                    "HasOpeningBalanceFlag": false,
                    "OpeningBalanceFlagAppliedName": "",
                    "ToolTip": "\n Is on Inputs.Expense=10% (%)",
                    "Deletable": true,
                    "Comment": "",
                    "HasSwitchSignLine": false,
                    "SwitchSignForReport": false,
                    "MultipleInputValues": null,
                    "NonPrimaryInput": false,
                    "Max": "NaN",
                    "Min": "NaN",
                    "IsBalanceButNotCorkscrew": false,
                    "IsEditable": true,
                    "IsConstant": true,
                    "UniqueID": "bbf10701-3b1c-4a57-941c-e4d19697b179",
                    "Dimensions": {
                      "$type": "ModelMakerEngine.MMDimensions, ModelMakerEngine",
                      "$values": []
                    },
                    "EquationOBXInternal": "10%",
                    "NameOfGroup": "Inputs.Expense",
                    "EquationToParse": "10%",
                    "MostRecentExpectedUnitErrors": null,
                    "Units": {
                      "$id": "223",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"Fixed Operating Cost Growth Rate annual start escalation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"224",
                    "$type": "ModelMaker.VariableNode, ModelMaker",
                    "RowTotalDependent": null,
                    "PutCalculationOnReport": false,
                    "CalculateOnThisReport": null,
                    "PivotTableLink": null,
                    "NumberFormatOverride": null,
                    "HasOpeningBalanceFlag": false,
                    "OpeningBalanceFlagAppliedName": "",
                    "ToolTip": "\n Is on Inputs.Expense=3 (Months)",
                    "Deletable": true,
                    "Comment": "",
                    "HasSwitchSignLine": false,
                    "SwitchSignForReport": false,
                    "MultipleInputValues": null,
                    "NonPrimaryInput": false,
                    "Max": "NaN",
                    "Min": "NaN",
                    "IsBalanceButNotCorkscrew": false,
                    "IsEditable": true,
                    "IsConstant": true,
                    "UniqueID": "499b8f82-18ea-408a-a094-0a27fb52930b",
                    "Dimensions": {
                      "$type": "ModelMakerEngine.MMDimensions, ModelMakerEngine",
                      "$values": []
                    },
                    "EquationOBXInternal": "3",
                    "NameOfGroup": "Inputs.Expense",
                    "EquationToParse": "3",
                    "MostRecentExpectedUnitErrors": null,
                    "Units": {
                      "$id": "225",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"Fixed Operating Cost Growth Rate escalation frequency",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"226",
                    "$type": "ModelMaker.VariableNode, ModelMaker",
                    "RowTotalDependent": null,
                    "PutCalculationOnReport": false,
                    "CalculateOnThisReport": null,
                    "PivotTableLink": null,
                    "NumberFormatOverride": null,
                    "HasOpeningBalanceFlag": false,
                    "OpeningBalanceFlagAppliedName": "",
                    "ToolTip": "\n Is on Inputs.Expense=5% (%)",
                    "Deletable": true,
                    "Comment": "",
                    "HasSwitchSignLine": false,
                    "SwitchSignForReport": false,
                    "MultipleInputValues": null,
                    "NonPrimaryInput": false,
                    "Max": "NaN",
                    "Min": "NaN",
                    "IsBalanceButNotCorkscrew": false,
                    "IsEditable": true,
                    "IsConstant": true,
                    "UniqueID": "9ddebe75-e234-4202-b488-21f7102576e9",
                    "Dimensions": {
                      "$type": "ModelMakerEngine.MMDimensions, ModelMakerEngine",
                      "$values": []
                    },
                    "EquationOBXInternal": "5%",
                    "NameOfGroup": "Inputs.Expense",
                    "EquationToParse": "5%",
                    "MostRecentExpectedUnitErrors": null,
                    "Units": {
                      "$id": "227",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"Variable Operating Costs as a % of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"228",
              "$type": "ModelMaker.GroupNode, ModelMaker",
              "TabOrHeaderColour": "",
              "Comment": "",
              "NameOfGroup": "Inputs",
              "YPosition": 3,
              "Folded": true,
              "Font": null,
              "Children": {
                "$type": "ModelMaker.GroupNodeChildCollection, ModelMaker",
                "$values": [
                  {
                    "$id": "229",
                    "$type": "ModelMaker.VariableNode, ModelMaker",
                    "RowTotalDependent": null,
                    "PutCalculationOnReport": false,
                    "CalculateOnThisReport": null,
                    "PivotTableLink": null,
                    "NumberFormatOverride": null,
                    "HasOpeningBalanceFlag": false,
                    "OpeningBalanceFlagAppliedName": "",
                    "ToolTip": "\n Is on Inputs.Supplier orders={1000,1000,1000,1000,1000,1000,1000,} (Units)",
                    "Deletable": true,
                    "Comment": "",
                    "HasSwitchSignLine": false,
                    "SwitchSignForReport": false,
                    "MultipleInputValues": {
                      "$type": "System.Collections.Generic.List`1[[ModelMaker.DimensionedArrayValues, ModelMaker]], mscorlib",
                      "$values": [
                        {
                          "$id": "230",
                          "$type": "ModelMaker.DimensionedArrayValues, ModelMaker",
                          "Elements": {
                            "$type": "ModelMakerEngine.MMElements, ModelMakerEngine",
                            "$values": []
                          },
                          "Values": {
                            "$type": "System.Collections.Generic.List`1[[System.Object, mscorlib]], mscorlib",
                            "$values": [
                              1000.0,
                              1000.0,
                              1000.0,
                              1000.0,
                              1000.0,
                              1000.0,
                              1000.0,
                              null
                            ]
                          }
                        }
                      ]
                    },
                    "NonPrimaryInput": false,
                    "Max": "NaN",
                    "Min": "NaN",
                    "IsBalanceButNotCorkscrew": false,
                    "IsEditable": true,
                    "IsConstant": true,
                    "UniqueID": "82debd6f-0177-4423-bb82-5a2a9e8adc22",
                    "Dimensions": {
                      "$type": "ModelMakerEngine.MMDimensions, ModelMakerEngine",
                      "$values": []
                    },
                    "EquationOBXInternal": "{1000,1000,1000,1000,1000,1000,1000,}",
                    "NameOfGroup": "Inputs.Supplier orders",
                    "EquationToParse": "{1000,1000,1000,1000,1000,1000,1000,}",
                    "MostRecentExpectedUnitErrors": null,
                    "Units": {
                      "$id": "231",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quantity before reorder",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"232",
                    "$type": "ModelMaker.VariableNode, ModelMaker",
                    "RowTotalDependent": null,
                    "PutCalculationOnReport": false,
                    "CalculateOnThisReport": null,
                    "PivotTableLink": null,
                    "NumberFormatOverride": null,
                    "HasOpeningBalanceFlag": false,
                    "OpeningBalanceFlagAppliedName": "",
                    "ToolTip": "\n Is on Inputs.Supplier orders={0.3,,,,,,,} (%)",
                    "Deletable": true,
                    "Comment": "",
                    "HasSwitchSignLine": false,
                    "SwitchSignForReport": false,
                    "MultipleInputValues": {
                      "$type": "System.Collections.Generic.List`1[[ModelMaker.DimensionedArrayValues, ModelMaker]], mscorlib",
                      "$values": [
                        {
                          "$id": "233",
                          "$type": "ModelMaker.DimensionedArrayValues, ModelMaker",
                          "Elements": {
                            "$type": "ModelMakerEngine.MMElements, ModelMakerEngine",
                            "$values": []
                          },
                          "Values": {
                            "$type": "System.Collections.Generic.List`1[[System.Object, mscorlib]], mscorlib",
                            "$values": [
                              0.3,
                              null,
                              null,
                              null,
                              null,
                              null,
                              null,
                              null
                            ]
                          }
                        }
                      ]
                    },
                    "NonPrimaryInput": false,
                    "Max": "NaN",
                    "Min": "NaN",
                    "IsBalanceButNotCorkscrew": false,
                    "IsEditable": true,
                    "IsConstant": true,
                    "UniqueID": "82b5d5a8-9ee0-4f23-98f4-1bd4cecf555b",
                    "Dimensions": {
                      "$type": "ModelMakerEngine.MMDimensions, ModelMakerEngine",
                      "$values": []
                    },
                    "EquationOBXInternal": "{0.3,,,,,,,}",
                    "NameOfGroup": "Inputs",
                    "EquationToParse": "{0.3,,,,,,,}",
                    "MostRecentExpectedUnitErrors": null,
                    "Units": {
                      "$id": "234",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"Supplier order deposit",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"235",
                    "$type": "ModelMaker.VariableNode, ModelMaker",
                    "RowTotalDependent": null,
                    "PutCalculationOnReport": false,
                    "CalculateOnThisReport": null,
                    "PivotTableLink": null,
                    "NumberFormatOverride": null,
                    "HasOpeningBalanceFlag": false,
                    "OpeningBalanceFlagAppliedName": "",
                    "ToolTip": "\n Is on Inputs.Supplier orders={6,,,,,,,} (Months)",
                    "Deletable": true,
                    "Comment": "",
                    "HasSwitchSignLine": false,
                    "SwitchSignForReport": false,
                    "MultipleInputValues": {
                      "$type": "System.Collections.Generic.List`1[[ModelMaker.DimensionedArrayValues, ModelMaker]], mscorlib",
                      "$values": [
                        {
                          "$id": "236",
                          "$type": "ModelMaker.DimensionedArrayValues, ModelMaker",
                          "Elements": {
                            "$type": "ModelMakerEngine.MMElements, ModelMakerEngine",
                            "$values": []
                          },
                          "Values": {
                            "$type": "System.Collections.Generic.List`1[[System.Object, mscorlib]], mscorlib",
                            "$values": [
                              6.0,
                              null,
                              null,
                              null,
                              null,
                              null,
                              null,
                              null
                            ]
                          }
                        }
                      ]
                    },
                    "NonPrimaryInput": false,
                    "Max": "NaN",
                    "Min": "NaN",
                    "IsBalanceButNotCorkscrew": false,
                    "IsEditable": true,
                    "IsConstant": true,
                    "UniqueID": "0786eec7-1054-42fc-a51d-a658b8bc7bc1",
                    "Dimensions": {
                      "$type": "ModelMakerEngine.MMDimensions, ModelMakerEngine",
                      "$values": []
                    },
                    "EquationOBXInternal": "{6,,,,,,,}",
                    "NameOfGroup": "Inputs.Inventory",
                    "EquationToParse": "{6,,,,,,,}",
                    "MostRecentExpectedUnitErrors": null,
                    "Units": {
                      "$id": "237",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"Order lead time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"238",
                    "$type": "ModelMaker.VariableNode, ModelMaker",
                    "RowTotalDependent": null,
                    "PutCalculationOnReport": false,
                    "CalculateOnThisReport": null,
                    "PivotTableLink": null,
                    "NumberFormatOverride": null,
                    "HasOpeningBalanceFlag": false,
                    "OpeningBalanceFlagAppliedName": "",
                    "ToolTip": "\n Is on Inputs.Supplier orders={35,,,,,,,} (GBP)",
                    "Deletable": true,
                    "Comment": "",
                    "HasSwitchSignLine": false,
                    "SwitchSignForReport": false,
                    "MultipleInputValues": {
                      "$type": "System.Collections.Generic.List`1[[ModelMaker.DimensionedArrayValues, ModelMaker]], mscorlib",
                      "$values": [
                        {
                          "$id": "239",
                          "$type": "ModelMaker.DimensionedArrayValues, ModelMaker",
                          "Elements": {
                            "$type": "ModelMakerEngine.MMElements, ModelMakerEngine",
                            "$values": []
                          },
                          "Values": {
                            "$type": "System.Collections.Generic.List`1[[System.Object, mscorlib]], mscorlib",
                            "$values": [
                              35.0,
                              null,
                              null,
                              null,
                              null,
                              null,
                              null,
                              null
                            ]
                          }
                        }
                      ]
                    },
                    "NonPrimaryInput": false,
                    "Max": "NaN",
                    "Min": "NaN",
                    "IsBalanceButNotCorkscrew": false,
                    "IsEditable": true,
                    "IsConstant": true,
                    "UniqueID": "e4937e4c-7821-4ecd-9fd3-684d32db1fe8",
                    "Dimensions": {
                      "$type": "ModelMakerEngine.MMDimensions, ModelMakerEngine",
                      "$values": []
                    },
                    "EquationOBXInternal": "{35,,,,,,,}",
                    "NameOfGroup": "Inputs.Inventory",
                    "EquationToParse": "{35,,,,,,,}",
                    "MostRecentExpectedUnitErrors": null,
                    "Units": {
                      "$ref": "2"
                    },
                    "Name": "Supplier price per unit",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"240",
                    "$type": "ModelMaker.VariableNode, ModelMaker",
                    "RowTotalDependent": null,
                    "PutCalculationOnReport": false,
                    "CalculateOnThisReport": null,
                    "PivotTableLink": null,
                    "NumberFormatOverride": null,
                    "HasOpeningBalanceFlag": false,
                    "OpeningBalanceFlagAppliedName": "",
                    "ToolTip": "\n Is on Inputs.Supplier orders={5000,,,,,,,} (Units)",
                    "Deletable": true,
                    "Comment": "",
                    "HasSwitchSignLine": false,
                    "SwitchSignForReport": false,
                    "MultipleInputValues": {
                      "$type": "System.Collections.Generic.List`1[[ModelMaker.DimensionedArrayValues, ModelMaker]], mscorlib",
                      "$values": [
                        {
                          "$id": "241",
                          "$type": "ModelMaker.DimensionedArrayValues, ModelMaker",
                          "Elements": {
                            "$type": "ModelMakerEngine.MMElements, ModelMakerEngine",
                            "$values": []
                          },
                          "Values": {
                            "$type": "System.Collections.Generic.List`1[[System.Object, mscorlib]], mscorlib",
                            "$values": [
                              5000.0,
                              null,
                              null,
                              null,
                              null,
                              null,
                              null,
                              null
                            ]
                          }
                        }
                      ]
                    },
                    "NonPrimaryInput": false,
                    "Max": "NaN",
                    "Min": "NaN",
                    "IsBalanceButNotCorkscrew": false,
                    "IsEditable": true,
                    "IsConstant": true,
                    "UniqueID": "8d494d2f-cd76-49e6-9afc-d349286ab641",
                    "Dimensions": {
                      "$type": "ModelMakerEngine.MMDimensions, ModelMakerEngine",
                      "$values": []
                    },
                    "EquationOBXInternal": "{5000,,,,,,,}",
                    "NameOfGroup": "Inputs.Inventory",
                    "EquationToParse": "{5000,,,,,,,}",
                    "MostRecentExpectedUnitErrors": null,
                    "Units": {
                      "$id": "242",
                      "$type": "ModelMaker.Unit, ModelMaker",
                      "NumberFormatOverride": null,
                      "MatchAnything": false,
                      "ExternalRepresentation": "Units",
                      "ItemsOnTop": {
                        "$type": "System.Collections.Generic.List`1[[System.String, mscorlib]], mscorlib",
                        "$values": [
                          "UNITS"
                        ]
                      },
                      "ItemsOnBottom": {
                        "$type": "System.Collections.Generic.List`1[[System.String, mscorlib]], mscorlib",
                        "$values": []
                      },
                      "IsCurrency": false,
                      "ContainsSMU": false,
                      "IsDimensionless": false,
                      "InsertRowTotal": true,
                      "IgnoreWhenDeterminingExpectedUnits": false
                    },
                    "Name": "Minimum supplier order quantity",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"Supplier orders",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"243",
              "$type": "ModelMaker.GroupNode, ModelMaker",
              "TabOrHeaderColour": "",
              "Comment": "",
              "NameOfGroup": "Inputs",
              "YPosition": 4,
              "Folded": true,
              "Font": null,
              "Children": {
                "$type": "ModelMaker.GroupNodeChildCollection, ModelMaker",
                "$values": [
                  {
                    "$id": "244",
                    "$type": "ModelMaker.VariableNode, ModelMaker",
                    "RowTotalDependent": null,
                    "PutCalculationOnReport": false,
                    "CalculateOnThisReport": null,
                    "PivotTableLink": null,
                    "NumberFormatOverride": null,
                    "HasOpeningBalanceFlag": false,
                    "OpeningBalanceFlagAppliedName": "",
                    "ToolTip": "\n Is on Inputs.Inventory={24,,,,,,,} (Months)",
                    "Deletable": true,
                    "Comment": "",
                    "HasSwitchSignLine": false,
                    "SwitchSignForReport": false,
                    "MultipleInputValues": {
                      "$type": "System.Collections.Generic.List`1[[ModelMaker.DimensionedArrayValues, ModelMaker]], mscorlib",
                      "$values": [
                        {
                          "$id": "245",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"62feb60f-8e78-441e-aa2c-fa446a4920d7",
                    "Dimensions": {
                      "$type": "ModelMakerEngine.MMDimensions, ModelMakerEngine",
                      "$values": []
                    },
                    "EquationOBXInternal": "{24,,,,,,,}",
                    "NameOfGroup": "Inputs.Inventory",
                    "EquationToParse": "{24,,,,,,,}",
                    "MostRecentExpectedUnitErrors": null,
                    "Units": {
                      "$id": "246",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"Depreciation Term",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"247",
                    "$type": "ModelMaker.VariableNode, ModelMaker",
                    "RowTotalDependent": null,
                    "PutCalculationOnReport": false,
                    "CalculateOnThisReport": null,
                    "PivotTableLink": null,
                    "NumberFormatOverride": null,
                    "HasOpeningBalanceFlag": false,
                    "OpeningBalanceFlagAppliedName": "",
                    "ToolTip": "\n Is on Inputs.Inventory= (Units)",
                    "Deletable": true,
                    "Comment": "",
                    "HasSwitchSignLine": false,
                    "SwitchSignForReport": false,
                    "MultipleInputValues": null,
                    "NonPrimaryInput": false,
                    "Max": "NaN",
                    "Min": "NaN",
                    "IsBalanceButNotCorkscrew": false,
                    "IsEditable": true,
                    "IsConstant": true,
                    "UniqueID": "b1874f76-bb0c-4e0f-afab-2a32450c0519",
                    "Dimensions": {
                      "$type": "ModelMakerEngine.MMDimensions, ModelMakerEngine",
                      "$values": []
                    },
                    "EquationOBXInternal": null,
                    "NameOfGroup": "Inventory",
                    "EquationToParse": "",
                    "MostRecentExpectedUnitErrors": null,
                    "Units": {
                      "$ref": "114"
                    },
                    "Name": "Opening Units on order",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"248",
                    "$type": "ModelMaker.VariableNode, ModelMaker",
                    "RowTotalDependent": null,
                    "PutCalculationOnReport": false,
                    "CalculateOnThisReport": null,
                    "PivotTableLink": null,
                    "NumberFormatOverride": null,
                    "HasOpeningBalanceFlag": false,
                    "OpeningBalanceFlagAppliedName": "",
                    "ToolTip": "\n Is on Inputs.Inventory= (Units)",
                    "Deletable": true,
                    "Comment": "",
                    "HasSwitchSignLine": false,
                    "SwitchSignForReport": false,
                    "MultipleInputValues": null,
                    "NonPrimaryInput": false,
                    "Max": "NaN",
                    "Min": "NaN",
                    "IsBalanceButNotCorkscrew": false,
                    "IsEditable": true,
                    "IsConstant": true,
                    "UniqueID": "06305e10-239b-47df-8cbf-b1b8128e55f6",
                    "Dimensions": {
                      "$type": "ModelMakerEngine.MMDimensions, ModelMakerEngine",
                      "$values": []
                    },
                    "EquationOBXInternal": null,
                    "NameOfGroup": "Inventory",
                    "EquationToParse": "",
                    "MostRecentExpectedUnitErrors": null,
                    "Units": {
                      "$ref": "126"
                    },
                    "Name": "Opening Units in stock",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"249",
                    "$type": "ModelMaker.VariableNode, ModelMaker",
                    "RowTotalDependent": null,
                    "PutCalculationOnReport": false,
                    "CalculateOnThisReport": null,
                    "PivotTableLink": null,
                    "NumberFormatOverride": null,
                    "HasOpeningBalanceFlag": false,
                    "OpeningBalanceFlagAppliedName": "",
                    "ToolTip": "\n Is on Inputs.Inventory= (Units)",
                    "Deletable": true,
                    "Comment": "",
                    "HasSwitchSignLine": false,
                    "SwitchSignForReport": false,
                    "MultipleInputValues": null,
                    "NonPrimaryInput": false,
                    "Max": "NaN",
                    "Min": "NaN",
                    "IsBalanceButNotCorkscrew": false,
                    "IsEditable": true,
                    "IsConstant": true,
                    "UniqueID": "9cb72f25-4eea-47c4-a57a-182fa296ff60",
                    "Dimensions": {
                      "$type": "ModelMakerEngine.MMDimensions, ModelMakerEngine",
                      "$values": []
                    },
                    "EquationOBXInternal": null,
                    "NameOfGroup": "Inventory",
                    "EquationToParse": "",
                    "MostRecentExpectedUnitErrors": null,
                    "Units": {
                      "$ref": "129"
                    },
                    "Name": "Opening Units in use",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"250",
              "$type": "ModelMaker.GroupNode, ModelMaker",
              "TabOrHeaderColour": "",
              "Comment": "",
              "NameOfGroup": "Inputs",
              "YPosition": 5,
              "Folded": true,
              "Font": null,
              "Children": {
                "$type": "ModelMaker.GroupNodeChildCollection, ModelMaker",
                "$values": [
                  {
                    "$id": "251",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"30ec67d6-6322-476e-8563-fe178a3b887a",
                    "Dimensions": {
                      "$type": "ModelMakerEngine.MMDimensions, ModelMakerEngine",
                      "$values": []
                    },
                    "EquationOBXInternal": "0",
                    "NameOfGroup": "Inputs.Opening Balances",
                    "EquationToParse": "0",
                    "MostRecentExpectedUnitErrors": null,
                    "Units": {
                      "$id": "252",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VAT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"253",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"453c9152-f225-4b5f-938b-c2ce85de22d2",
                    "Dimensions": {
                      "$type": "ModelMakerEngine.MMDimensions, ModelMakerEngine",
                      "$values": []
                    },
                    "EquationOBXInternal": "0",
                    "NameOfGroup": "Inputs.Opening Balances",
                    "EquationToParse": "0",
                    "MostRecentExpectedUnitErrors": null,
                    "Units": {
                      "$ref": "2"
                    },
                    "Name": "Opening Depreciation",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"254",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"5fc267e6-006e-461c-91c7-69017e210f41",
                    "Dimensions": {
                      "$type": "ModelMakerEngine.MMDimensions, ModelMakerEngine",
                      "$values": []
                    },
                    "EquationOBXInternal": "0",
                    "NameOfGroup": "Equity",
                    "EquationToParse": "0",
                    "MostRecentExpectedUnitErrors": null,
                    "Units": {
                      "$ref": "2"
                    },
                    "Name": "Opening Share Capital",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"255",
                    "$type": "ModelMaker.VariableNode, ModelMaker",
                    "RowTotalDependent": null,
                    "PutCalculationOnReport": false,
                    "CalculateOnThisReport": null,
                    "PivotTableLink": null,
                    "NumberFormatOverride": null,
                    "HasOpeningBalanceFlag": false,
                    "OpeningBalanceFlagAppliedName": "",
                    "ToolTip": "\n Is on Inputs.Opening Balances= (GBP)",
                    "Deletable": true,
                    "Comment": "",
                    "HasSwitchSignLine": false,
                    "SwitchSignForReport": false,
                    "MultipleInputValues": null,
                    "NonPrimaryInput": false,
                    "Max": "NaN",
                    "Min": "NaN",
                    "IsBalanceButNotCorkscrew": false,
                    "IsEditable": true,
                    "IsConstant": true,
                    "UniqueID": "85247d10-d761-4980-bde0-fc4ac3affe28",
                    "Dimensions": {
                      "$type": "ModelMakerEngine.MMDimensions, ModelMakerEngine",
                      "$values": []
                    },
                    "EquationOBXInternal": null,
                    "NameOfGroup": "Financials",
                    "EquationToParse": "",
                    "MostRecentExpectedUnitErrors": null,
                    "Units": {
                      "$ref": "2"
                    },
                    "Name": "Opening Cash",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"256",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"f95fd513-178f-4f1f-8678-b0737286999e",
                    "Dimensions": {
                      "$type": "ModelMakerEngine.MMDimensions, ModelMakerEngine",
                      "$values": []
                    },
                    "EquationOBXInternal": "0",
                    "NameOfGroup": "Financials",
                    "EquationToParse": "0",
                    "MostRecentExpectedUnitErrors": null,
                    "Units": {
                      "$ref": "2"
                    },
                    "Name": "Opening Deferred Income",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"257",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"4a5f4380-acac-49b2-adfa-a2cacc950285",
                    "Dimensions": {
                      "$type": "ModelMakerEngine.MMDimensions, ModelMakerEngine",
                      "$values": []
                    },
                    "EquationOBXInternal": "0",
                    "NameOfGroup": "Unallocated",
                    "EquationToParse": "0",
                    "MostRecentExpectedUnitErrors": null,
                    "Units": {
                      "$ref": "2"
                    },
                    "Name": "Opening Inventory",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"258",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"4a0d8c40-a504-4ed5-b0aa-1a3239a0abdc",
                    "Dimensions": {
                      "$type": "ModelMakerEngine.MMDimensions, ModelMakerEngine",
                      "$values": []
                    },
                    "EquationOBXInternal": "0",
                    "NameOfGroup": "Inputs",
                    "EquationToParse": "0",
                    "MostRecentExpectedUnitErrors": null,
                    "Units": {
                      "$ref": "2"
                    },
                    "Name": "Opening Debtors",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"259",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"8e621bce-6650-4016-bf5f-f41b6e494c32",
                    "Dimensions": {
                      "$type": "ModelMakerEngine.MMDimensions, ModelMakerEngine",
                      "$values": []
                    },
                    "EquationOBXInternal": "0",
                    "NameOfGroup": "Inputs",
                    "EquationToParse": "0",
                    "MostRecentExpectedUnitErrors": null,
                    "Units": {
                      "$ref": "2"
                    },
                    "Name": "Opening Creditors",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"260",
                    "$type": "ModelMaker.VariableNode, ModelMaker",
                    "RowTotalDependent": null,
                    "PutCalculationOnReport": false,
                    "CalculateOnThisReport": null,
                    "PivotTableLink": null,
                    "NumberFormatOverride": null,
                    "HasOpeningBalanceFlag": false,
                    "OpeningBalanceFlagAppliedName": "",
                    "ToolTip": "\n Is on Inputs.Opening Balances=0 (GBP)",
                    "Deletable": true,
                    "Comment": "",
                    "HasSwitchSignLine": false,
                    "SwitchSignForReport": false,
                    "MultipleInputValues": null,
                    "NonPrimaryInput": false,
                    "Max": "NaN",
                    "Min": "NaN",
                    "IsBalanceButNotCorkscrew": false,
                    "IsEditable": true,
                    "IsConstant": true,
                    "UniqueID": "1817d022-a094-4ab0-885e-378cc7a7020b",
                    "Dimensions": {
                      "$type": "ModelMakerEngine.MMDimensions, ModelMakerEngine",
                      "$values": []
                    },
                    "EquationOBXInternal": "0",
                    "NameOfGroup": "Unallocated",
                    "EquationToParse": "0",
                    "MostRecentExpectedUnitErrors": null,
                    "Units": {
                      "$ref": "2"
                    },
                    "Name": "Opening Retained Earnings",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"Opening Balances",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"261",
              "$type": "ModelMaker.GroupNode, ModelMaker",
              "TabOrHeaderColour": "",
              "Comment": "",
              "NameOfGroup": "Inputs",
              "YPosition": 6,
              "Folded": true,
              "Font": null,
              "Children": {
                "$type": "ModelMaker.GroupNodeChildCollection, ModelMaker",
                "$values": [
                  {
                    "$id": "262",
                    "$type": "ModelMaker.VariableNode, ModelMaker",
                    "RowTotalDependent": null,
                    "PutCalculationOnReport": false,
                    "CalculateOnThisReport": null,
                    "PivotTableLink": null,
                    "NumberFormatOverride": null,
                    "HasOpeningBalanceFlag": false,
                    "OpeningBalanceFlagAppliedName": "",
                    "ToolTip": "\n Is on Inputs.Debt=30 (day)",
                    "Deletable": true,
                    "Comment": "",
                    "HasSwitchSignLine": false,
                    "SwitchSignForReport": false,
                    "MultipleInputValues": null,
                    "NonPrimaryInput": false,
                    "Max": "NaN",
                    "Min": "NaN",
                    "IsBalanceButNotCorkscrew": false,
                    "IsEditable": true,
                    "IsConstant": true,
                    "UniqueID": "48a20019-6620-4e70-bfb3-600defce38a2",
                    "Dimensions": {
                      "$type": "ModelMakerEngine.MMDimensions, ModelMakerEngine",
                      "$values": []
                    },
                    "EquationOBXInternal": "30",
                    "NameOfGroup": "Inputs.Debt",
                    "EquationToParse": "30",
                    "MostRecentExpectedUnitErrors": null,
                    "Units": {
                      "$id": "263",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"Days in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"264",
                    "$type": "ModelMaker.VariableNode, ModelMaker",
                    "RowTotalDependent": null,
                    "PutCalculationOnReport": false,
                    "CalculateOnThisReport": null,
                    "PivotTableLink": null,
                    "NumberFormatOverride": null,
                    "HasOpeningBalanceFlag": false,
                    "OpeningBalanceFlagAppliedName": "",
                    "ToolTip": "\n Is on Inputs.Debt=360 (day)",
                    "Deletable": true,
                    "Comment": "",
                    "HasSwitchSignLine": false,
                    "SwitchSignForReport": false,
                    "MultipleInputValues": null,
                    "NonPrimaryInput": false,
                    "Max": "NaN",
                    "Min": "NaN",
                    "IsBalanceButNotCorkscrew": false,
                    "IsEditable": true,
                    "IsConstant": true,
                    "UniqueID": "5653c272-152c-4e38-9405-596d372e0dab",
                    "Dimensions": {
                      "$type": "ModelMakerEngine.MMDimensions, ModelMakerEngine",
                      "$values": []
                    },
                    "EquationOBXInternal": "360",
                    "NameOfGroup": "Inputs.Debt",
                    "EquationToParse": "360",
                    "MostRecentExpectedUnitErrors": null,
                    "Units": {
                      "$id": "265",
                      "$type": "ModelMaker.Unit, ModelMaker",
                      "NumberFormatOverride": null,
                      "MatchAnything": false,
                      "ExternalRepresentation": "day",
                      "ItemsOnTop": {
                        "$type": "System.Collections.Generic.List`1[[System.String, mscorlib]], mscorlib",
                        "$values": [
                          "DAY"
                        ]
                      },
                      "ItemsOnBottom": {
                        "$type": "System.Collections.Generic.List`1[[System.String, mscorlib]], mscorlib",
                        "$values": []
                      },
                      "IsCurrency": false,
                      "ContainsSMU": false,
                      "IsDimensionless": false,
                      "InsertRowTotal": true,
                      "IgnoreWhenDeterminingExpectedUnits": false
                    },
                    "Name": "debt day count convention",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"266",
                    "$type": "ModelMaker.GroupNode, ModelMaker",
                    "TabOrHeaderColour": "",
                    "Comment": "",
                    "NameOfGroup": "Inputs.Debt",
                    "YPosition": 2,
                    "Folded": true,
                    "Font": null,
                    "Children": {
                      "$type": "ModelMaker.GroupNodeChildCollection, ModelMaker",
                      "$values": [
                        {
                          "$id": "267",
                          "$type": "ModelMaker.VariableNode, ModelMaker",
                          "RowTotalDependent": null,
                          "PutCalculationOnReport": false,
                          "CalculateOnThisReport": null,
                          "PivotTableLink": null,
                          "NumberFormatOverride": null,
                          "HasOpeningBalanceFlag": false,
                          "OpeningBalanceFlagAppliedName": "",
                          "ToolTip": "\n Is on Inputs.Debt.Invoice Finance",
                          "Deletable": true,
                          "Comment": "",
                          "HasSwitchSignLine": false,
                          "SwitchSignForReport": false,
                          "MultipleInputValues": null,
                          "NonPrimaryInput": false,
                          "Max": "NaN",
                          "Min": "NaN",
                          "IsBalanceButNotCorkscrew": false,
                          "IsEditable": true,
                          "IsConstant": true,
                          "UniqueID": "9e82f8f6-ed5d-4138-9fd0-d454f9ab2fe9",
                          "Dimensions": {
                            "$type": "ModelMakerEngine.MMDimensions, ModelMakerEngine",
                            "$values": []
                          },
                          "EquationOBXInternal": null,
                          "NameOfGroup": "Inputs.Debt.Invoice finance",
                          "EquationToParse": "",
                          "MostRecentExpectedUnitErrors": null,
                          "Units": {
                            "$id": "268",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"269",
                          "$type": "ModelMaker.VariableNode, ModelMaker",
                          "RowTotalDependent": null,
                          "PutCalculationOnReport": false,
                          "CalculateOnThisReport": null,
                          "PivotTableLink": null,
                          "NumberFormatOverride": null,
                          "HasOpeningBalanceFlag": false,
                          "OpeningBalanceFlagAppliedName": "",
                          "ToolTip": "\n Is on Inputs.Debt.Invoice Finance",
                          "Deletable": true,
                          "Comment": "",
                          "HasSwitchSignLine": false,
                          "SwitchSignForReport": false,
                          "MultipleInputValues": null,
                          "NonPrimaryInput": false,
                          "Max": "NaN",
                          "Min": "NaN",
                          "IsBalanceButNotCorkscrew": false,
                          "IsEditable": true,
                          "IsConstant": true,
                          "UniqueID": "de5cd72c-2c37-4e58-b4e8-5d51acca6e3a",
                          "Dimensions": {
                            "$type": "ModelMakerEngine.MMDimensions, ModelMakerEngine",
                            "$values": []
                          },
                          "EquationOBXInternal": null,
                          "NameOfGroup": "Inputs.Debt.Invoice finance",
                          "EquationToParse": "",
                          "MostRecentExpectedUnitErrors": null,
                          "Units": {
                            "$id": "270",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"Invoice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"271",
                          "$type": "ModelMaker.VariableNode, ModelMaker",
                          "RowTotalDependent": null,
                          "PutCalculationOnReport": false,
                          "CalculateOnThisReport": null,
                          "PivotTableLink": null,
                          "NumberFormatOverride": null,
                          "HasOpeningBalanceFlag": false,
                          "OpeningBalanceFlagAppliedName": "",
                          "ToolTip": "\n Is on Inputs.Debt.Invoice Finance=90% (%)",
                          "Deletable": true,
                          "Comment": "",
                          "HasSwitchSignLine": false,
                          "SwitchSignForReport": false,
                          "MultipleInputValues": null,
                          "NonPrimaryInput": false,
                          "Max": "NaN",
                          "Min": "NaN",
                          "IsBalanceButNotCorkscrew": false,
                          "IsEditable": true,
                          "IsConstant": true,
                          "UniqueID": "53139fde-0188-4726-94e7-1785e29c0cfc",
                          "Dimensions": {
                            "$type": "ModelMakerEngine.MMDimensions, ModelMakerEngine",
                            "$values": []
                          },
                          "EquationOBXInternal": "90%",
                          "NameOfGroup": "Inputs.Debt",
                          "EquationToParse": "90%",
                          "MostRecentExpectedUnitErrors": null,
                          "Units": {
                            "$id": "272",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"273",
                          "$type": "ModelMaker.VariableNode, ModelMaker",
                          "RowTotalDependent": null,
                          "PutCalculationOnReport": false,
                          "CalculateOnThisReport": null,
                          "PivotTableLink": null,
                          "NumberFormatOverride": null,
                          "HasOpeningBalanceFlag": false,
                          "OpeningBalanceFlagAppliedName": "",
                          "ToolTip": "\n Is on Inputs.Debt.Invoice Finance=10% (%)",
                          "Deletable": true,
                          "Comment": "",
                          "HasSwitchSignLine": false,
                          "SwitchSignForReport": false,
                          "MultipleInputValues": null,
                          "NonPrimaryInput": false,
                          "Max": "NaN",
                          "Min": "NaN",
                          "IsBalanceButNotCorkscrew": false,
                          "IsEditable": true,
                          "IsConstant": true,
                          "UniqueID": "606875b7-c792-4526-a07f-c28f5bc9e523",
                          "Dimensions": {
                            "$type": "ModelMakerEngine.MMDimensions, ModelMakerEngine",
                            "$values": []
                          },
                          "EquationOBXInternal": "10%",
                          "NameOfGroup": "Inputs.Debt",
                          "EquationToParse": "10%",
                          "MostRecentExpectedUnitErrors": null,
                          "Units": {
                            "$id": "274",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Invoice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"275",
                          "$type": "ModelMaker.VariableNode, ModelMaker",
                          "RowTotalDependent": null,
                          "PutCalculationOnReport": false,
                          "CalculateOnThisReport": null,
                          "PivotTableLink": null,
                          "NumberFormatOverride": null,
                          "HasOpeningBalanceFlag": false,
                          "OpeningBalanceFlagAppliedName": "",
                          "ToolTip": "\n Is on Inputs.Debt.Invoice Finance= (GBP)",
                          "Deletable": true,
                          "Comment": "",
                          "HasSwitchSignLine": false,
                          "SwitchSignForReport": false,
                          "MultipleInputValues": null,
                          "NonPrimaryInput": false,
                          "Max": "NaN",
                          "Min": "NaN",
                          "IsBalanceButNotCorkscrew": false,
                          "IsEditable": true,
                          "IsConstant": true,
                          "UniqueID": "fa1c5158-8761-4b3e-b0b5-318757ceeee6",
                          "Dimensions": {
                            "$type": "ModelMakerEngine.MMDimensions, ModelMakerEngine",
                            "$values": []
                          },
                          "EquationOBXInternal": null,
                          "NameOfGroup": "Invoice finance",
                          "EquationToParse": "",
                          "MostRecentExpectedUnitErrors": null,
                          "Units": {
                            "$ref": "2"
                          },
                          "Name": "Opening Invoice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"Invoice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"276",
                    "$type": "ModelMaker.GroupNode, ModelMaker",
                    "TabOrHeaderColour": "",
                    "Comment": "",
                    "NameOfGroup": "Inputs.Debt",
                    "YPosition": 3,
                    "Folded": true,
                    "Font": null,
                    "Children": {
                      "$type": "ModelMaker.GroupNodeChildCollection, ModelMaker",
                      "$values": [
                        {
                          "$id": "277",
                          "$type": "ModelMaker.VariableNode, ModelMaker",
                          "RowTotalDependent": null,
                          "PutCalculationOnReport": false,
                          "CalculateOnThisReport": null,
                          "PivotTableLink": null,
                          "NumberFormatOverride": null,
                          "HasOpeningBalanceFlag": false,
                          "OpeningBalanceFlagAppliedName": "",
                          "ToolTip": "\n Is on Inputs.Debt.Supply Chain Finance",
                          "Deletable": true,
                          "Comment": "",
                          "HasSwitchSignLine": false,
                          "SwitchSignForReport": false,
                          "MultipleInputValues": null,
                          "NonPrimaryInput": false,
                          "Max": "NaN",
                          "Min": "NaN",
                          "IsBalanceButNotCorkscrew": false,
                          "IsEditable": true,
                          "IsConstant": true,
                          "UniqueID": "6b1bb333-a514-47db-a9c3-79d7d76e4c87",
                          "Dimensions": {
                            "$type": "ModelMakerEngine.MMDimensions, ModelMakerEngine",
                            "$values": []
                          },
                          "EquationOBXInternal": null,
                          "NameOfGroup": "Inputs.Debt.Trade Finance",
                          "EquationToParse": "",
                          "MostRecentExpectedUnitErrors": null,
                          "Units": {
                            "$id": "278",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"279",
                          "$type": "ModelMaker.VariableNode, ModelMaker",
                          "RowTotalDependent": null,
                          "PutCalculationOnReport": false,
                          "CalculateOnThisReport": null,
                          "PivotTableLink": null,
                          "NumberFormatOverride": null,
                          "HasOpeningBalanceFlag": false,
                          "OpeningBalanceFlagAppliedName": "",
                          "ToolTip": "\n Is on Inputs.Debt.Supply Chain Finance",
                          "Deletable": true,
                          "Comment": "",
                          "HasSwitchSignLine": false,
                          "SwitchSignForReport": false,
                          "MultipleInputValues": null,
                          "NonPrimaryInput": false,
                          "Max": "NaN",
                          "Min": "NaN",
                          "IsBalanceButNotCorkscrew": false,
                          "IsEditable": true,
                          "IsConstant": true,
                          "UniqueID": "792b18c1-34dd-40c1-b26a-159cf16791f9",
                          "Dimensions": {
                            "$type": "ModelMakerEngine.MMDimensions, ModelMakerEngine",
                            "$values": []
                          },
                          "EquationOBXInternal": null,
                          "NameOfGroup": "Inputs.Debt.Trade Finance",
                          "EquationToParse": "",
                          "MostRecentExpectedUnitErrors": null,
                          "Units": {
                            "$id": "280",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"Supply Chain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"281",
                          "$type": "ModelMaker.VariableNode, ModelMaker",
                          "RowTotalDependent": null,
                          "PutCalculationOnReport": false,
                          "CalculateOnThisReport": null,
                          "PivotTableLink": null,
                          "NumberFormatOverride": null,
                          "HasOpeningBalanceFlag": false,
                          "OpeningBalanceFlagAppliedName": "",
                          "ToolTip": "\n Is on Inputs.Debt.Supply Chain Finance=0 (GBP)",
                          "Deletable": true,
                          "Comment": "",
                          "HasSwitchSignLine": false,
                          "SwitchSignForReport": false,
                          "MultipleInputValues": null,
                          "NonPrimaryInput": false,
                          "Max": "NaN",
                          "Min": "NaN",
                          "IsBalanceButNotCorkscrew": false,
                          "IsEditable": true,
                          "IsConstant": true,
                          "UniqueID": "922905b0-5eb0-4e8e-aa9e-b3a16e0af5af",
                          "Dimensions": {
                            "$type": "ModelMakerEngine.MMDimensions, ModelMakerEngine",
                            "$values": []
                          },
                          "EquationOBXInternal": "0",
                          "NameOfGroup": "Inputs.Debt",
                          "EquationToParse": "0",
                          "MostRecentExpectedUnitErrors": null,
                          "Units": {
                            "$id": "282",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Supply Chain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"283",
                          "$type": "ModelMaker.VariableNode, ModelMaker",
                          "RowTotalDependent": null,
                          "PutCalculationOnReport": false,
                          "CalculateOnThisReport": null,
                          "PivotTableLink": null,
                          "NumberFormatOverride": null,
                          "HasOpeningBalanceFlag": false,
                          "OpeningBalanceFlagAppliedName": "",
                          "ToolTip": "\n Is on Inputs.Debt.Supply Chain Finance=8% (%)",
                          "Deletable": true,
                          "Comment": "",
                          "HasSwitchSignLine": false,
                          "SwitchSignForReport": false,
                          "MultipleInputValues": null,
                          "NonPrimaryInput": false,
                          "Max": "NaN",
                          "Min": "NaN",
                          "IsBalanceButNotCorkscrew": false,
                          "IsEditable": true,
                          "IsConstant": true,
                          "UniqueID": "919f5c1c-d9da-46b9-bc77-8a82c8c92e43",
                          "Dimensions": {
                            "$type": "ModelMakerEngine.MMDimensions, ModelMakerEngine",
                            "$values": []
                          },
                          "EquationOBXInternal": "8%",
                          "NameOfGroup": "Inputs.Debt",
                          "EquationToParse": "8%",
                          "MostRecentExpectedUnitErrors": null,
                          "Units": {
                            "$id": "284",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Supply Chain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"285",
                          "$type": "ModelMaker.VariableNode, ModelMaker",
                          "RowTotalDependent": null,
                          "PutCalculationOnReport": false,
                          "CalculateOnThisReport": null,
                          "PivotTableLink": null,
                          "NumberFormatOverride": null,
                          "HasOpeningBalanceFlag": false,
                          "OpeningBalanceFlagAppliedName": "",
                          "ToolTip": "\n Is on Inputs.Debt.Supply Chain Finance=80% (%)",
                          "Deletable": true,
                          "Comment": "",
                          "HasSwitchSignLine": false,
                          "SwitchSignForReport": false,
                          "MultipleInputValues": null,
                          "NonPrimaryInput": false,
                          "Max": "NaN",
                          "Min": "NaN",
                          "IsBalanceButNotCorkscrew": false,
                          "IsEditable": true,
                          "IsConstant": true,
                          "UniqueID": "7c11e2f9-5165-448e-9218-9e20726e9ab6",
                          "Dimensions": {
                            "$type": "ModelMakerEngine.MMDimensions, ModelMakerEngine",
                            "$values": []
                          },
                          "EquationOBXInternal": "80%",
                          "NameOfGroup": "Inputs.Debt",
                          "EquationToParse": "80%",
                          "MostRecentExpectedUnitErrors": null,
                          "Units": {
                            "$id": "286",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
                    "Name": "Supply Chain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"287",
                    "$type": "ModelMaker.GroupNode, ModelMaker",
                    "TabOrHeaderColour": "",
                    "Comment": "",
                    "NameOfGroup": "Inputs.Debt",
                    "YPosition": 4,
                    "Folded": true,
                    "Font": null,
                    "Children": {
                      "$type": "ModelMaker.GroupNodeChildCollection, ModelMaker",
                      "$values": [
                        {
                          "$id": "288",
                          "$type": "ModelMaker.VariableNode, ModelMaker",
                          "RowTotalDependent": null,
                          "PutCalculationOnReport": false,
                          "CalculateOnThisReport": null,
                          "PivotTableLink": null,
                          "NumberFormatOverride": null,
                          "HasOpeningBalanceFlag": false,
                          "OpeningBalanceFlagAppliedName": "",
                          "ToolTip": "\n Is on Inputs.Debt.Asset Finance{46873,,,,,,,}",
                          "Deletable": true,
                          "Comment": "",
                          "HasSwitchSignLine": false,
                          "SwitchSignForReport": false,
                          "MultipleInputValues": {
                            "$type": "System.Collections.Generic.List`1[[ModelMaker.DimensionedArrayValues, ModelMaker]], mscorlib",
                            "$values": [
                              {
                                "$id": "289",
                                "$type": "ModelMaker.DimensionedArrayValues, ModelMaker",
                                "Elements": {
                                  "$type": "ModelMakerEngine.MMElements, ModelMakerEngine",
                                  "$values": []
                                },
                                "Values": {
                                  "$type": "System.Collections.Generic.List`1[[System.Object, mscorlib]], mscorlib",
                                  "$values": [
                                    46873.0,
                                    null,
                                    null,
                                    null,
                                    null,
                                    null,
                                    null,
                                    null
                                  ]
                                }
                              }
                            ]
                          },
                          "NonPrimaryInput": false,
                          "Max": "NaN",
                          "Min": "NaN",
                          "IsBalanceButNotCorkscrew": false,
                          "IsEditable": true,
                          "IsConstant": true,
                          "UniqueID": "e1972ee4-c5f6-444b-afb1-075189913483",
                          "Dimensions": {
                            "$type": "ModelMakerEngine.MMDimensions, ModelMakerEngine",
                            "$values": []
                          },
                          "EquationOBXInternal": "{46873,,,,,,,}",
                          "NameOfGroup": "Time.Debts flags",
                          "EquationToParse": "{46873,,,,,,,}",
                          "MostRecentExpectedUnitErrors": null,
                          "Units": {
                            "$id": "290",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"291",
                          "$type": "ModelMaker.VariableNode, ModelMaker",
                          "RowTotalDependent": null,
                          "PutCalculationOnReport": false,
                          "CalculateOnThisReport": null,
                          "PivotTableLink": null,
                          "NumberFormatOverride": null,
                          "HasOpeningBalanceFlag": false,
                          "OpeningBalanceFlagAppliedName": "",
                          "ToolTip": "\n Is on Inputs.Debt.Asset Finance{45047,,,,,,,}",
                          "Deletable": true,
                          "Comment": "",
                          "HasSwitchSignLine": false,
                          "SwitchSignForReport": false,
                          "MultipleInputValues": {
                            "$type": "System.Collections.Generic.List`1[[ModelMaker.DimensionedArrayValues, ModelMaker]], mscorlib",
                            "$values": [
                              {
                                "$id": "292",
                                "$type": "ModelMaker.DimensionedArrayValues, ModelMaker",
                                "Elements": {
                                  "$type": "ModelMakerEngine.MMElements, ModelMakerEngine",
                                  "$values": []
                                },
                                "Values": {
                                  "$type": "System.Collections.Generic.List`1[[System.Object, mscorlib]], mscorlib",
                                  "$values": [
                                    45047.0,
                                    null,
                                    null,
                                    null,
                                    null,
                                    null,
                                    null,
                                    null
                                  ]
                                }
                              }
                            ]
                          },
                          "NonPrimaryInput": false,
                          "Max": "NaN",
                          "Min": "NaN",
                          "IsBalanceButNotCorkscrew": false,
                          "IsEditable": true,
                          "IsConstant": true,
                          "UniqueID": "78cdc2b6-5896-4521-98f4-9f208eb194ea",
                          "Dimensions": {
                            "$type": "ModelMakerEngine.MMDimensions, ModelMakerEngine",
                            "$values": []
                          },
                          "EquationOBXInternal": "{45047,,,,,,,}",
                          "NameOfGroup": "Time.Debts flags",
                          "EquationToParse": "{45047,,,,,,,}",
                          "MostRecentExpectedUnitErrors": null,
                          "Units": {
                            "$id": "293",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"Asset Finance Enabled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"294",
                          "$type": "ModelMaker.VariableNode, ModelMaker",
                          "RowTotalDependent": null,
                          "PutCalculationOnReport": false,
                          "CalculateOnThisReport": null,
                          "PivotTableLink": null,
                          "NumberFormatOverride": null,
                          "HasOpeningBalanceFlag": false,
                          "OpeningBalanceFlagAppliedName": "",
                          "ToolTip": "\n Is on Inputs.Debt.Asset Finance={0.08,,,,,,,} (%)",
                          "Deletable": true,
                          "Comment": "",
                          "HasSwitchSignLine": false,
                          "SwitchSignForReport": false,
                          "MultipleInputValues": {
                            "$type": "System.Collections.Generic.List`1[[ModelMaker.DimensionedArrayValues, ModelMaker]], mscorlib",
                            "$values": [
                              {
                                "$id": "295",
                                "$type": "ModelMaker.DimensionedArrayValues, ModelMaker",
                                "Elements": {
                                  "$type": "ModelMakerEngine.MMElements, ModelMakerEngine",
                                  "$values": []
                                },
                                "Values": {
                                  "$type": "System.Collections.Generic.List`1[[System.Object, mscorlib]], mscorlib",
                                  "$values": [
                                    0.08,
                                    null,
                                    null,
                                    null,
                                    null,
                                    null,
                                    null,
                                    null
                                  ]
                                }
                              }
                            ]
                          },
                          "NonPrimaryInput": false,
                          "Max": "NaN",
                          "Min": "NaN",
                          "IsBalanceButNotCorkscrew": false,
                          "IsEditable": true,
                          "IsConstant": true,
                          "UniqueID": "74ce54d6-e9d2-4afa-aa4e-b2b1b42457d2",
                          "Dimensions": {
                            "$type": "ModelMakerEngine.MMDimensions, ModelMakerEngine",
                            "$values": []
                          },
                          "EquationOBXInternal": "{0.08,,,,,,,}",
                          "NameOfGroup": "Asset Finance",
                          "EquationToParse": "{0.08,,,,,,,}",
                          "MostRecentExpectedUnitErrors": null,
                          "Units": {
                            "$id": "296",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"All in Trade finance annual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"297",
                          "$type": "ModelMaker.VariableNode, ModelMaker",
                          "RowTotalDependent": null,
                          "PutCalculationOnReport": false,
                          "CalculateOnThisReport": null,
                          "PivotTableLink": null,
                          "NumberFormatOverride": null,
                          "HasOpeningBalanceFlag": false,
                          "OpeningBalanceFlagAppliedName": "",
                          "ToolTip": "\n Is on Inputs.Debt.Asset Finance={24,,,,,,,} (Months)",
                          "Deletable": true,
                          "Comment": "",
                          "HasSwitchSignLine": false,
                          "SwitchSignForReport": false,
                          "MultipleInputValues": {
                            "$type": "System.Collections.Generic.List`1[[ModelMaker.DimensionedArrayValues, ModelMaker]], mscorlib",
                            "$values": [
                              {
                                "$id": "298",
                                "$type": "ModelMaker.DimensionedArrayValues, ModelMaker",
                                "Elements": {
                                  "$type": "ModelMakerEngine.MMElements, ModelMakerEngine",
                                  "$values": []
                                },
                                "Values": {
                                  "$type": "System.Collections.Generic.List`1[[System.Object, mscorlib]], mscorlib",
                                  "$values": [
                                    24.0,
                                    null,
                                    null,
                                    null,
                                    null,
                                    null,
                                    null,
                                    null
                                  ]
                                }
                              }
                            ]
                          },
                          "NonPrimaryInput": false,
                          "Max": "NaN",
                          "Min": "NaN",
                          "IsBalanceButNotCorkscrew": false,
                          "IsEditable": true,
                          "IsConstant": true,
                          "UniqueID": "3b3aa24e-4bb2-4241-9b41-011b4bd8ba0e",
                          "Dimensions": {
                            "$type": "ModelMakerEngine.MMDimensions, ModelMakerEngine",
                            "$values": []
                          },
                          "EquationOBXInternal": "{24,,,,,,,}",
                          "NameOfGroup": "Asset Finance",
                          "EquationToParse": "{24,,,,,,,}",
                          "MostRecentExpectedUnitErrors": null,
                          "Units": {
                            "$id": "299",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"Asset Finance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"300",
                          "$type": "ModelMaker.VariableNode, ModelMaker",
                          "RowTotalDependent": null,
                          "PutCalculationOnReport": false,
                          "CalculateOnThisReport": null,
                          "PivotTableLink": null,
                          "NumberFormatOverride": null,
                          "HasOpeningBalanceFlag": false,
                          "OpeningBalanceFlagAppliedName": "",
                          "ToolTip": "\n Is on Inputs.Debt.Asset Finance={1,,,,,,,} (%)",
                          "Deletable": true,
                          "Comment": "",
                          "HasSwitchSignLine": false,
                          "SwitchSignForReport": false,
                          "MultipleInputValues": {
                            "$type": "System.Collections.Generic.List`1[[ModelMaker.DimensionedArrayValues, ModelMaker]], mscorlib",
                            "$values": [
                              {
                                "$id": "301",
                                "$type": "ModelMaker.DimensionedArrayValues, ModelMaker",
                                "Elements": {
                                  "$type": "ModelMakerEngine.MMElements, ModelMakerEngine",
                                  "$values": []
                                },
                                "Values": {
                                  "$type": "System.Collections.Generic.List`1[[System.Object, mscorlib]], mscorlib",
                                  "$values": [
                                    1.0,
                                    null,
                                    null,
                                    null,
                                    null,
                                    null,
                                    null,
                                    null
                                  ]
                                }
                              }
                            ]
                          },
                          "NonPrimaryInput": false,
                          "Max": "NaN",
                          "Min": "NaN",
                          "IsBalanceButNotCorkscrew": false,
                          "IsEditable": true,
                          "IsConstant": true,
                          "UniqueID": "f690b2a3-3b09-44ee-985a-2bcbe7bc8b64",
                          "Dimensions": {
                            "$type": "ModelMakerEngine.MMDimensions, ModelMakerEngine",
                            "$values": []
                          },
                          "EquationOBXInternal": "{1,,,,,,,}",
                          "NameOfGroup": "Asset Finance",
                          "EquationToParse": "{1,,,,,,,}",
                          "MostRecentExpectedUnitErrors": null,
                          "Units": {
                            "$id": "302",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Advance %",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"303",
                          "$type": "ModelMaker.VariableNode, ModelMaker",
                          "RowTotalDependent": null,
                          "PutCalculationOnReport": false,
                          "CalculateOnThisReport": null,
                          "PivotTableLink": null,
                          "NumberFormatOverride": null,
                          "HasOpeningBalanceFlag": false,
                          "OpeningBalanceFlagAppliedName": "",
                          "ToolTip": "\n Is on Inputs.Debt.Asset Finance={0,,,,,,,} (GBP)",
                          "Deletable": true,
                          "Comment": "",
                          "HasSwitchSignLine": false,
                          "SwitchSignForReport": false,
                          "MultipleInputValues": {
                            "$type": "System.Collections.Generic.List`1[[ModelMaker.DimensionedArrayValues, ModelMaker]], mscorlib",
                            "$values": [
                              {
                                "$id": "304",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"fcf9552d-9177-4433-bdb6-fc7fb35e0a92",
                          "Dimensions": {
                            "$type": "ModelMakerEngine.MMDimensions, ModelMakerEngine",
                            "$values": []
                          },
                          "EquationOBXInternal": "{0,,,,,,,}",
                          "NameOfGroup": "Asset Finance",
                          "EquationToParse": "{0,,,,,,,}",
                          "MostRecentExpectedUnitErrors": null,
                          "Units": {
                            "$ref": "2"
                          },
                          "Name": "Opening Asset Finance balance",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"Asset Finance",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"Debt",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"305",
              "$type": "ModelMaker.GroupNode, ModelMaker",
              "TabOrHeaderColour": "",
              "Comment": "",
              "NameOfGroup": "Inputs",
              "YPosition": 7,
              "Folded": true,
              "Font": null,
              "Children": {
                "$type": "ModelMaker.GroupNodeChildCollection, ModelMaker",
                "$values": [
                  {
                    "$id": "306",
                    "$type": "ModelMaker.VariableNode, ModelMaker",
                    "RowTotalDependent": null,
                    "PutCalculationOnReport": false,
                    "CalculateOnThisReport": null,
                    "PivotTableLink": null,
                    "NumberFormatOverride": null,
                    "HasOpeningBalanceFlag": false,
                    "OpeningBalanceFlagAppliedName": "",
                    "ToolTip": "\n Is on Inputs.VAT={3,3,3,3,3,3,3,} (Months)",
                    "Deletable": true,
                    "Comment": "",
                    "HasSwitchSignLine": false,
                    "SwitchSignForReport": false,
                    "MultipleInputValues": {
                      "$type": "System.Collections.Generic.List`1[[ModelMaker.DimensionedArrayValues, ModelMaker]], mscorlib",
                      "$values": [
                        {
                          "$id": "307",
                          "$type": "ModelMaker.DimensionedArrayValues, ModelMaker",
                          "Elements": {
                            "$type": "ModelMakerEngine.MMElements, ModelMakerEngine",
                            "$values": []
                          },
                          "Values": {
                            "$type": "System.Collections.Generic.List`1[[System.Object, mscorlib]], mscorlib",
                            "$values": [
                              3.0,
                              3.0,
                              3.0,
                              3.0,
                              3.0,
                              3.0,
                              3.0,
                              null
                            ]
                          }
                        }
                      ]
                    },
                    "NonPrimaryInput": false,
                    "Max": "NaN",
                    "Min": "NaN",
                    "IsBalanceButNotCorkscrew": false,
                    "IsEditable": true,
                    "IsConstant": true,
                    "UniqueID": "848c2cc5-9502-4dfc-93f9-66148396156c",
                    "Dimensions": {
                      "$type": "ModelMakerEngine.MMDimensions, ModelMakerEngine",
                      "$values": []
                    },
                    "EquationOBXInternal": "{3,3,3,3,3,3,3,}",
                    "NameOfGroup": "Time.VAT return this period flag",
                    "EquationToParse": "{3,3,3,3,3,3,3,}",
                    "MostRecentExpectedUnitErrors": null,
                    "Units": {
                      "$id": "308",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return this period every x periods",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"309",
                    "$type": "ModelMaker.VariableNode, ModelMaker",
                    "RowTotalDependent": null,
                    "PutCalculationOnReport": false,
                    "CalculateOnThisReport": null,
                    "PivotTableLink": null,
                    "NumberFormatOverride": null,
                    "HasOpeningBalanceFlag": false,
                    "OpeningBalanceFlagAppliedName": "",
                    "ToolTip": "\n Is on Inputs.VAT{45078,,,,,,,}",
                    "Deletable": true,
                    "Comment": "",
                    "HasSwitchSignLine": false,
                    "SwitchSignForReport": false,
                    "MultipleInputValues": {
                      "$type": "System.Collections.Generic.List`1[[ModelMaker.DimensionedArrayValues, ModelMaker]], mscorlib",
                      "$values": [
                        {
                          "$id": "310",
                          "$type": "ModelMaker.DimensionedArrayValues, ModelMaker",
                          "Elements": {
                            "$type": "ModelMakerEngine.MMElements, ModelMakerEngine",
                            "$values": []
                          },
                          "Values": {
                            "$type": "System.Collections.Generic.List`1[[System.Object, mscorlib]], mscorlib",
                            "$values": [
                              45078.0,
                              null,
                              null,
                              null,
                              null,
                              null,
                              null,
                              null
                            ]
                          }
                        }
                      ]
                    },
                    "NonPrimaryInput": false,
                    "Max": "NaN",
                    "Min": "NaN",
                    "IsBalanceButNotCorkscrew": false,
                    "IsEditable": true,
                    "IsConstant": true,
                    "UniqueID": "30f68b8e-3244-4fd4-bb7d-0c337139a227",
                    "Dimensions": {
                      "$type": "ModelMakerEngine.MMDimensions, ModelMakerEngine",
                      "$values": []
                    },
                    "EquationOBXInternal": "{45078,,,,,,,}",
                    "NameOfGroup": "Time.VAT return this period flag",
                    "EquationToParse": "{45078,,,,,,,}",
                    "MostRecentExpectedUnitErrors": null,
                    "Units": {
                      "$id": "311",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"VAT return this period beginning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"312",
                    "$type": "ModelMaker.VariableNode, ModelMaker",
                    "RowTotalDependent": null,
                    "PutCalculationOnReport": false,
                    "CalculateOnThisReport": null,
                    "PivotTableLink": null,
                    "NumberFormatOverride": null,
                    "HasOpeningBalanceFlag": false,
                    "OpeningBalanceFlagAppliedName": "",
                    "ToolTip": "\n Is on Inputs.VAT=50% (%)",
                    "Deletable": true,
                    "Comment": "",
                    "HasSwitchSignLine": false,
                    "SwitchSignForReport": false,
                    "MultipleInputValues": null,
                    "NonPrimaryInput": false,
                    "Max": "NaN",
                    "Min": "NaN",
                    "IsBalanceButNotCorkscrew": false,
                    "IsEditable": true,
                    "IsConstant": true,
                    "UniqueID": "1154406f-4b63-4f8f-bf3d-5299f0c84153",
                    "Dimensions": {
                      "$type": "ModelMakerEngine.MMDimensions, ModelMakerEngine",
                      "$values": []
                    },
                    "EquationOBXInternal": "50%",
                    "NameOfGroup": "Inputs.VAT",
                    "EquationToParse": "50%",
                    "MostRecentExpectedUnitErrors": null,
                    "Units": {
                      "$id": "313",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"Percentage of expense subject to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"314",
                    "$type": "ModelMaker.VariableNode, ModelMaker",
                    "RowTotalDependent": null,
                    "PutCalculationOnReport": false,
                    "CalculateOnThisReport": null,
                    "PivotTableLink": null,
                    "NumberFormatOverride": null,
                    "HasOpeningBalanceFlag": false,
                    "OpeningBalanceFlagAppliedName": "",
                    "ToolTip": "\n Is on Inputs.VAT=20% (%)",
                    "Deletable": true,
                    "Comment": "",
                    "HasSwitchSignLine": false,
                    "SwitchSignForReport": false,
                    "MultipleInputValues": null,
                    "NonPrimaryInput": false,
                    "Max": "NaN",
                    "Min": "NaN",
                    "IsBalanceButNotCorkscrew": false,
                    "IsEditable": true,
                    "IsConstant": true,
                    "UniqueID": "3a7fa36a-80fd-4358-8080-2dde18daa3ef",
                    "Dimensions": {
                      "$type": "ModelMakerEngine.MMDimensions, ModelMakerEngine",
                      "$values": []
                    },
                    "EquationOBXInternal": "20%",
                    "NameOfGroup": "Inputs.VAT",
                    "EquationToParse": "20%",
                    "MostRecentExpectedUnitErrors": null,
                    "Units": {
                      "$id": "315",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"VAT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"316",
                    "$type": "ModelMaker.VariableNode, ModelMaker",
                    "RowTotalDependent": null,
                    "PutCalculationOnReport": false,
                    "CalculateOnThisReport": null,
                    "PivotTableLink": null,
                    "NumberFormatOverride": null,
                    "HasOpeningBalanceFlag": false,
                    "OpeningBalanceFlagAppliedName": "",
                    "ToolTip": "\n Is on Inputs.VAT=1 (Months)",
                    "Deletable": true,
                    "Comment": "",
                    "HasSwitchSignLine": false,
                    "SwitchSignForReport": false,
                    "MultipleInputValues": null,
                    "NonPrimaryInput": false,
                    "Max": "NaN",
                    "Min": "NaN",
                    "IsBalanceButNotCorkscrew": false,
                    "IsEditable": true,
                    "IsConstant": true,
                    "UniqueID": "98283db7-4595-4884-8284-6a80c424a637",
                    "Dimensions": {
                      "$type": "ModelMakerEngine.MMDimensions, ModelMakerEngine",
                      "$values": []
                    },
                    "EquationOBXInternal": "1",
                    "NameOfGroup": "Inputs.VAT",
                    "EquationToParse": "1",
                    "MostRecentExpectedUnitErrors": null,
                    "Units": {
                      "$id": "317",
                      "$type": "ModelMaker.Unit, ModelMaker",
                      "NumberFormatOverride": null,
                      "MatchAnything": false,
                      "ExternalRepresentation": "Months",
                      "ItemsOnTop": {
                        "$type": "System.Collections.Generic.List`1[[System.String, mscorlib]], mscorlib",
                        "$values": [
                          "MONTH"
                        ]
                      },
                      "ItemsOnBottom": {
                        "$type": "System.Collections.Generic.List`1[[System.String, mscorlib]], mscorlib",
                        "$values": []
                      },
                      "IsCurrency": false,
                      "ContainsSMU": false,
                      "IsDimensionless": false,
                      "InsertRowTotal": true,
                      "IgnoreWhenDeterminingExpectedUnits": false
                    },
                    "Name": "VAT payment delay in months",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"VAT",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"318",
              "$type": "ModelMaker.GroupNode, ModelMaker",
              "TabOrHeaderColour": "",
              "Comment": "",
              "NameOfGroup": "Inputs",
              "YPosition": 8,
              "Folded": false,
              "Font": null,
              "Children": {
                "$type": "ModelMaker.GroupNodeChildCollection, ModelMaker",
                "$values": [
                  {
                    "$id": "319",
                    "$type": "ModelMaker.VariableNode, ModelMaker",
                    "RowTotalDependent": null,
                    "PutCalculationOnReport": false,
                    "CalculateOnThisReport": null,
                    "PivotTableLink": null,
                    "NumberFormatOverride": null,
                    "HasOpeningBalanceFlag": false,
                    "OpeningBalanceFlagAppliedName": "",
                    "ToolTip": "\n Is on Inputs.Corporation Tax={0.2,,,,,,,} (%)",
                    "Deletable": true,
                    "Comment": "",
                    "HasSwitchSignLine": false,
                    "SwitchSignForReport": false,
                    "MultipleInputValues": {
                      "$type": "System.Collections.Generic.List`1[[ModelMaker.DimensionedArrayValues, ModelMaker]], mscorlib",
                      "$values": [
                        {
                          "$id": "320",
                          "$type": "ModelMaker.DimensionedArrayValues, ModelMaker",
                          "Elements": {
                            "$type": "ModelMakerEngine.MMElements, ModelMakerEngine",
                            "$values": []
                          },
                          "Values": {
                            "$type": "System.Collections.Generic.List`1[[System.Object, mscorlib]], mscorlib",
                            "$values": [
                              0.2,
                              null,
                              null,
                              null,
                              null,
                              null,
                              null,
                              null
                            ]
                          }
                        }
                      ]
                    },
                    "NonPrimaryInput": false,
                    "Max": "NaN",
                    "Min": "NaN",
                    "IsBalanceButNotCorkscrew": false,
                    "IsEditable": true,
                    "IsConstant": true,
                    "UniqueID": "c933df15-b6ce-4684-9863-9c0ebf0e01e0",
                    "Dimensions": {
                      "$type": "ModelMakerEngine.MMDimensions, ModelMakerEngine",
                      "$values": []
                    },
                    "EquationOBXInternal": "{0.2,,,,,,,}",
                    "NameOfGroup": "Corporation tax",
                    "EquationToParse": "{0.2,,,,,,,}",
                    "MostRecentExpectedUnitErrors": null,
                    "Units": {
                      "$id": "321",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"Corporation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"322",
                    "$type": "ModelMaker.VariableNode, ModelMaker",
                    "RowTotalDependent": null,
                    "PutCalculationOnReport": false,
                    "CalculateOnThisReport": null,
                    "PivotTableLink": null,
                    "NumberFormatOverride": null,
                    "HasOpeningBalanceFlag": false,
                    "OpeningBalanceFlagAppliedName": "",
                    "ToolTip": "\n Is on Inputs.Corporation Tax={0,,,,,,,} (GBP)",
                    "Deletable": true,
                    "Comment": "",
                    "HasSwitchSignLine": false,
                    "SwitchSignForReport": false,
                    "MultipleInputValues": {
                      "$type": "System.Collections.Generic.List`1[[ModelMaker.DimensionedArrayValues, ModelMaker]], mscorlib",
                      "$values": [
                        {
                          "$id": "323",
                          "$type": "ModelMaker.DimensionedArrayValues, ModelMaker",
                          "Elements": {
                            "$type": "ModelMakerEngine.MMElements, ModelMakerEngine",
                            "$values": []
                          },
                          "Values": {
                            "$type": "System.Collections.Generic.List`1[[System.Object, mscorlib]], mscorlib",
                            "$values": [
                              0.0,
                              null,
                              null,
                              null,
                              null,
                              null,
                              null,
                              null
                            ]
                          }
                        }
                      ]
                    },
                    "NonPrimaryInput": false,
                    "Max": "NaN",
                    "Min": "NaN",
                    "IsBalanceButNotCorkscrew": false,
                    "IsEditable": true,
                    "IsConstant": true,
                    "UniqueID": "c7684229-6b76-4008-b9e9-f97acca07b6a",
                    "Dimensions": {
                      "$type": "ModelMakerEngine.MMDimensions, ModelMakerEngine",
                      "$values": []
                    },
                    "EquationOBXInternal": "{0,,,,,,,}",
                    "NameOfGroup": "Corporation tax",
                    "EquationToParse": "{0,,,,,,,}",
                    "MostRecentExpectedUnitErrors": null,
                    "Units": {
                      "$id": "324",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carried forward - initial balance",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"325",
                    "$type": "ModelMaker.VariableNode, ModelMaker",
                    "RowTotalDependent": null,
                    "PutCalculationOnReport": false,
                    "CalculateOnThisReport": null,
                    "PivotTableLink": null,
                    "NumberFormatOverride": null,
                    "HasOpeningBalanceFlag": false,
                    "OpeningBalanceFlagAppliedName": "",
                    "ToolTip": "\n Is on Inputs.Corporation Tax={8,12,12,12,12,12,12,} ()",
                    "Deletable": true,
                    "Comment": "",
                    "HasSwitchSignLine": false,
                    "SwitchSignForReport": false,
                    "MultipleInputValues": {
                      "$type": "System.Collections.Generic.List`1[[ModelMaker.DimensionedArrayValues, ModelMaker]], mscorlib",
                      "$values": [
                        {
                          "$id": "326",
                          "$type": "ModelMaker.DimensionedArrayValues, ModelMaker",
                          "Elements": {
                            "$type": "ModelMakerEngine.MMElements, ModelMakerEngine",
                            "$values": []
                          },
                          "Values": {
                            "$type": "System.Collections.Generic.List`1[[System.Object, mscorlib]], mscorlib",
                            "$values": [
                              8.0,
                              12.0,
                              12.0,
                              12.0,
                              12.0,
                              12.0,
                              12.0,
                              null
                            ]
                          }
                        }
                      ]
                    },
                    "NonPrimaryInput": false,
                    "Max": "NaN",
                    "Min": "NaN",
                    "IsBalanceButNotCorkscrew": false,
                    "IsEditable": true,
                    "IsConstant": true,
                    "UniqueID": "d6c54433-f80c-44db-8eb9-bcd69e717a56",
                    "Dimensions": {
                      "$type": "ModelMakerEngine.MMDimensions, ModelMakerEngine",
                      "$values": []
                    },
                    "EquationOBXInternal": "{8,12,12,12,12,12,12,}",
                    "NameOfGroup": "Corporation tax",
                    "EquationToParse": "{8,12,12,12,12,12,12,}",
                    "MostRecentExpectedUnitErrors": null,
                    "Units": {
                      "$id": "327",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"Month corporation tax paid",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"328",
                    "$type": "ModelMaker.VariableNode, ModelMaker",
                    "RowTotalDependent": null,
                    "PutCalculationOnReport": false,
                    "CalculateOnThisReport": null,
                    "PivotTableLink": null,
                    "NumberFormatOverride": null,
                    "HasOpeningBalanceFlag": false,
                    "OpeningBalanceFlagAppliedName": "",
                    "ToolTip": "\n Is on Inputs.Corporation Tax={0,0,0,0,0,0,0,} (GBP)",
                    "Deletable": true,
                    "Comment": "",
                    "HasSwitchSignLine": false,
                    "SwitchSignForReport": false,
                    "MultipleInputValues": {
                      "$type": "System.Collections.Generic.List`1[[ModelMaker.DimensionedArrayValues, ModelMaker]], mscorlib",
                      "$values": [
                        {
                          "$id": "329",
                          "$type": "ModelMaker.DimensionedArrayValues, ModelMaker",
                          "Elements": {
                            "$type": "ModelMakerEngine.MMElements, ModelMakerEngine",
                            "$values": []
                          },
                          "Values": {
                            "$type": "System.Collections.Generic.List`1[[System.Object, mscorlib]], mscorlib",
                            "$values": [
                              0.0,
                              0.0,
                              0.0,
                              0.0,
                              0.0,
                              0.0,
                              0.0,
                              null
                            ]
                          }
                        }
                      ]
                    },
                    "NonPrimaryInput": false,
                    "Max": "NaN",
                    "Min": "NaN",
                    "IsBalanceButNotCorkscrew": false,
                    "IsEditable": true,
                    "IsConstant": true,
                    "UniqueID": "9911b512-c04b-457e-8481-a8b6566b77c4",
                    "Dimensions": {
                      "$type": "ModelMakerEngine.MMDimensions, ModelMakerEngine",
                      "$values": []
                    },
                    "EquationOBXInternal": "{0,0,0,0,0,0,0,}",
                    "NameOfGroup": "Inputs.Corporation Tax",
                    "EquationToParse": "{0,0,0,0,0,0,0,}",
                    "MostRecentExpectedUnitErrors": null,
                    "Units": {
                      "$id": "330",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"Opening Corporation tax creditor",
                    "ReportLines": {
                      "$type": "ModelMaker.UndoableCollection`1[[ModelMakerEngine.IReportLine, ModelMakerEngine]], ModelMaker.Undo",
                      "$values": []
                    },
                    "IsOpeningBalance": true,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"331",
              "$type": "ModelMaker.GroupNode, ModelMaker",
              "TabOrHeaderColour": "",
              "Comment": "",
              "NameOfGroup": "Inputs",
              "YPosition": 9,
              "Folded": true,
              "Font": null,
              "Children": {
                "$type": "ModelMaker.GroupNodeChildCollection, ModelMaker",
                "$values": [
                  {
                    "$ref": "56"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"332",
              "$type": "ModelMaker.GroupNode, ModelMaker",
              "TabOrHeaderColour": "",
              "Comment": "",
              "NameOfGroup": "Inputs",
              "YPosition": 10,
              "Folded": true,
              "Font": null,
              "Children": {
                "$type": "ModelMaker.GroupNodeChildCollection, ModelMaker",
                "$values": [
                  {
                    "$id": "333",
                    "$type": "ModelMaker.VariableNode, ModelMaker",
                    "RowTotalDependent": null,
                    "PutCalculationOnReport": false,
                    "CalculateOnThisReport": null,
                    "PivotTableLink": null,
                    "NumberFormatOverride": null,
                    "HasOpeningBalanceFlag": false,
                    "OpeningBalanceFlagAppliedName": "",
                    "ToolTip": "\n Is on Inputs.Short term forecast",
                    "Deletable": true,
                    "Comment": "",
                    "HasSwitchSignLine": false,
                    "SwitchSignForReport": false,
                    "MultipleInputValues": null,
                    "NonPrimaryInput": false,
                    "Max": "NaN",
                    "Min": "NaN",
                    "IsBalanceButNotCorkscrew": false,
                    "IsEditable": true,
                    "IsConstant": true,
                    "UniqueID": "5caded0e-fb9d-4e6c-b5e9-c16afae63075",
                    "Dimensions": {
                      "$type": "ModelMakerEngine.MMDimensions, ModelMakerEngine",
                      "$values": []
                    },
                    "EquationOBXInternal": null,
                    "NameOfGroup": "Inputs.Short term forecast",
                    "EquationToParse": "",
                    "MostRecentExpectedUnitErrors": null,
                    "Units": {
                      "$id": "334",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"Use short term forecast flag end date",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"Short term forecast",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true,
        "IsFlag": false,
        "IsTimeAndFlagsGroup": false,
        "DimensionsAcross": {
          "$type": "ModelMakerEngine.MMDimensions, ModelMakerEngine",
          "$values": []
        },
        "TimeAxis": 0,
        "IndexInParent": 1,
        "Name": "Inputs",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"335",
        "$type": "ModelMaker.GroupNode, ModelMaker",
        "TabOrHeaderColour": "",
        "Comment": "",
        "NameOfGroup": null,
        "YPosition": 0,
        "Folded": false,
        "Font": null,
        "Children": {
          "$type": "ModelMaker.GroupNodeChildCollection, ModelMaker",
          "$values": [
            {
              "$id": "336",
              "$type": "ModelMaker.VariableNode, ModelMaker",
              "RowTotalDependent": null,
              "PutCalculationOnReport": false,
              "CalculateOnThisReport": null,
              "PivotTableLink": null,
              "NumberFormatOverride": null,
              "HasOpeningBalanceFlag": false,
              "OpeningBalanceFlagAppliedName": "",
              "ToolTip": "\n Is on TimeIF([Period number] = 1,[Start date],EDATE(PREVIOUSVALUE(), [Months per period]))",
              "Deletable": false,
              "Comment": "",
              "HasSwitchSignLine": false,
              "SwitchSignForReport": false,
              "MultipleInputValues": null,
              "NonPrimaryInput": false,
              "Max": "NaN",
              "Min": "NaN",
              "IsBalanceButNotCorkscrew": false,
              "IsEditable": true,
              "IsConstant": false,
              "UniqueID": "e3b7617f-1510-4e0c-98f7-3fe906fbf38f",
              "Dimensions": {
                "$type": "ModelMakerEngine.MMDimensions, ModelMakerEngine",
                "$values": []
              },
              "EquationOBXInternal": "IF([Period number] = 1,[Start date],EDATE(PREVIOUSVALUE(), [Months per period]))",
              "NameOfGroup": "Time",
              "EquationToParse": "IF([Period number] = 1,[Start date],EDATE(PREVIOUSVALUE(), [Months per period]))",
              "MostRecentExpectedUnitErrors": null,
              "Units": {
                "$id": "337",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start",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9,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"338",
              "$type": "ModelMaker.GroupNode, ModelMaker",
              "TabOrHeaderColour": "",
              "Comment": "",
              "NameOfGroup": "Time",
              "YPosition": 1,
              "Folded": true,
              "Font": null,
              "Children": {
                "$type": "ModelMaker.GroupNodeChildCollection, ModelMaker",
                "$values": [
                  {
                    "$id": "339",
                    "$type": "ModelMaker.VariableNode, ModelMaker",
                    "RowTotalDependent": null,
                    "PutCalculationOnReport": false,
                    "CalculateOnThisReport": null,
                    "PivotTableLink": null,
                    "NumberFormatOverride": null,
                    "HasOpeningBalanceFlag": false,
                    "OpeningBalanceFlagAppliedName": "",
                    "ToolTip": "\n Is on Time.HeadersEDATE([Model period start], [Months per period]) - 1",
                    "Deletable": false,
                    "Comment": "",
                    "HasSwitchSignLine": false,
                    "SwitchSignForReport": false,
                    "MultipleInputValues": null,
                    "NonPrimaryInput": false,
                    "Max": "NaN",
                    "Min": "NaN",
                    "IsBalanceButNotCorkscrew": false,
                    "IsEditable": true,
                    "IsConstant": false,
                    "UniqueID": "688c9aab-8c62-44d5-87fb-952b09b796f9",
                    "Dimensions": {
                      "$type": "ModelMakerEngine.MMDimensions, ModelMakerEngine",
                      "$values": []
                    },
                    "EquationOBXInternal": "EDATE([Model period start], [Months per period]) - 1",
                    "NameOfGroup": "Time.Headers",
                    "EquationToParse": "EDATE([Model period start], [Months per period]) - 1",
                    "MostRecentExpectedUnitErrors": null,
                    "Units": {
                      "$id": "340",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"Model period end",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10,
                    "IsStandardNode": true,
                    "WarnMessage": null,
                    "StandardDescription": null,
                    "HasStandardDescription": false,
                    "HasStandardName": true,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"341",
                    "$type": "ModelMaker.VariableNode, ModelMaker",
                    "RowTotalDependent": null,
                    "PutCalculationOnReport": false,
                    "CalculateOnThisReport": null,
                    "PivotTableLink": null,
                    "NumberFormatOverride": null,
                    "HasOpeningBalanceFlag": false,
                    "OpeningBalanceFlagAppliedName": "",
                    "ToolTip": "\n Is on Time.Headers=\"Month\" & [Period number] (GBP)",
                    "Deletable": true,
                    "Comment": "",
                    "HasSwitchSignLine": false,
                    "SwitchSignForReport": false,
                    "MultipleInputValues": null,
                    "NonPrimaryInput": false,
                    "Max": "NaN",
                    "Min": "NaN",
                    "IsBalanceButNotCorkscrew": false,
                    "IsEditable": true,
                    "IsConstant": false,
                    "UniqueID": "f4c9c9b8-1cd8-4533-8d95-6538b68af1fc",
                    "Dimensions": {
                      "$type": "ModelMakerEngine.MMDimensions, ModelMakerEngine",
                      "$values": []
                    },
                    "EquationOBXInternal": "\"Month\" & [Period number]",
                    "NameOfGroup": "Time.Headers",
                    "EquationToParse": "\"Month\" & [Period number]",
                    "MostRecentExpectedUnitErrors": null,
                    "Units": {
                      "$ref": "2"
                    },
                    "Name": "Timeline label",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"342",
                    "$type": "ModelMaker.VariableNode, ModelMaker",
                    "RowTotalDependent": null,
                    "PutCalculationOnReport": false,
                    "CalculateOnThisReport": null,
                    "PivotTableLink": null,
                    "NumberFormatOverride": null,
                    "HasOpeningBalanceFlag": false,
                    "OpeningBalanceFlagAppliedName": "",
                    "ToolTip": "\n Is on Time.Headers",
                    "Deletable": true,
                    "Comment": "",
                    "HasSwitchSignLine": false,
                    "SwitchSignForReport": false,
                    "MultipleInputValues": null,
                    "NonPrimaryInput": false,
                    "Max": "NaN",
                    "Min": "NaN",
                    "IsBalanceButNotCorkscrew": false,
                    "IsEditable": true,
                    "IsConstant": false,
                    "UniqueID": "eda4877c-d28e-40d6-9e00-2b055ef84664",
                    "Dimensions": {
                      "$type": "ModelMakerEngine.MMDimensions, ModelMakerEngine",
                      "$values": []
                    },
                    "EquationOBXInternal": null,
                    "NameOfGroup": "Time.Headers",
                    "EquationToParse": "",
                    "MostRecentExpectedUnitErrors": null,
                    "Units": {
                      "$id": "343",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"Contract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"344",
                    "$type": "ModelMaker.VariableNode, ModelMaker",
                    "RowTotalDependent": null,
                    "PutCalculationOnReport": false,
                    "CalculateOnThisReport": null,
                    "PivotTableLink": null,
                    "NumberFormatOverride": null,
                    "HasOpeningBalanceFlag": false,
                    "OpeningBalanceFlagAppliedName": "",
                    "ToolTip": "\n Is on Time.Headers=PREVIOUSVALUE()+1 (Counter)",
                    "Deletable": false,
                    "Comment": "",
                    "HasSwitchSignLine": false,
                    "SwitchSignForReport": false,
                    "MultipleInputValues": null,
                    "NonPrimaryInput": false,
                    "Max": "NaN",
                    "Min": "NaN",
                    "IsBalanceButNotCorkscrew": false,
                    "IsEditable": true,
                    "IsConstant": false,
                    "UniqueID": "2515ad65-40be-467f-ba77-389445ec8fcf",
                    "Dimensions": {
                      "$type": "ModelMakerEngine.MMDimensions, ModelMakerEngine",
                      "$values": []
                    },
                    "EquationOBXInternal": "PREVIOUSVALUE()+1",
                    "NameOfGroup": "Time.Headers",
                    "EquationToParse": "PREVIOUSVALUE()+1",
                    "MostRecentExpectedUnitErrors": null,
                    "Units": {
                      "$id": "345",
                      "$type": "ModelMaker.Unit, ModelMaker",
                      "NumberFormatOverride": null,
                      "MatchAnything": false,
                      "ExternalRepresentation": "Counter",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8,
                    "IsStandardNode": true,
                    "WarnMessage": null,
                    "StandardDescription": null,
                    "HasStandardDescription": false,
                    "HasStandardName": true,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"Headers",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"346",
              "$type": "ModelMaker.GroupNode, ModelMaker",
              "TabOrHeaderColour": "",
              "Comment": "",
              "NameOfGroup": "Time",
              "YPosition": 2,
              "Folded": true,
              "Font": null,
              "Children": {
                "$type": "ModelMaker.GroupNodeChildCollection, ModelMaker",
                "$values": [
                  {
                    "$id": "347",
                    "$type": "ModelMaker.VariableNode, ModelMaker",
                    "RowTotalDependent": null,
                    "PutCalculationOnReport": false,
                    "CalculateOnThisReport": null,
                    "PivotTableLink": null,
                    "NumberFormatOverride": null,
                    "HasOpeningBalanceFlag": false,
                    "OpeningBalanceFlagAppliedName": "",
                    "ToolTip": "\n Is on Time.Customer Order Growth index=IF([Start date]<[Model period end],1,0) (flag)",
                    "Deletable": true,
                    "Comment": "",
                    "HasSwitchSignLine": false,
                    "SwitchSignForReport": false,
                    "MultipleInputValues": null,
                    "NonPrimaryInput": false,
                    "Max": "NaN",
                    "Min": "NaN",
                    "IsBalanceButNotCorkscrew": false,
                    "IsEditable": true,
                    "IsConstant": false,
                    "UniqueID": "5202b65d-66bc-425d-98ac-6d5cbf256710",
                    "Dimensions": {
                      "$type": "ModelMakerEngine.MMDimensions, ModelMakerEngine",
                      "$values": []
                    },
                    "EquationOBXInternal": "IF([Start date]<[Model period end],1,0)",
                    "NameOfGroup": "Time.Customer Order Growth index",
                    "EquationToParse": "IF([Start date]<[Model period end],1,0)",
                    "MostRecentExpectedUnitErrors": null,
                    "Units": {
                      "$id": "348",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49",
                    "$type": "ModelMaker.VariableNode, ModelMaker",
                    "RowTotalDependent": null,
                    "PutCalculationOnReport": false,
                    "CalculateOnThisReport": null,
                    "PivotTableLink": null,
                    "NumberFormatOverride": null,
                    "HasOpeningBalanceFlag": false,
                    "OpeningBalanceFlagAppliedName": "",
                    "ToolTip": "\n Is on Time.Customer Order Growth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7e090a4f-9d6e-41f6-a86e-ce1400c98d92",
                    "Dimensions": {
                      "$type": "ModelMakerEngine.MMDimensions, ModelMakerEngine",
                      "$values": []
                    },
                    "EquationOBXInternal": "IF(AND([Model period end]>=[Start date],[Model period start]<=[Start date]),1,0)",
                    "NameOfGroup": "Time.Customer Order Growth index",
                    "EquationToParse": "IF(AND([Model period end]>=[Start date],[Model period start]<=[Start date]),1,0)",
                    "MostRecentExpectedUnitErrors": null,
                    "Units": {
                      "$id": "35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1",
                    "$type": "ModelMaker.VariableNode, ModelMaker",
                    "RowTotalDependent": null,
                    "PutCalculationOnReport": false,
                    "CalculateOnThisReport": null,
                    "PivotTableLink": null,
                    "NumberFormatOverride": null,
                    "HasOpeningBalanceFlag": false,
                    "OpeningBalanceFlagAppliedName": "",
                    "ToolTip": "\n Is on Time.Customer Order Growth index=[Period number]*[First Customer Order Growth escalation flag] ()",
                    "Deletable": true,
                    "Comment": "",
                    "HasSwitchSignLine": false,
                    "SwitchSignForReport": false,
                    "MultipleInputValues": null,
                    "NonPrimaryInput": false,
                    "Max": "NaN",
                    "Min": "NaN",
                    "IsBalanceButNotCorkscrew": false,
                    "IsEditable": true,
                    "IsConstant": false,
                    "UniqueID": "31bf255a-aa62-4bd5-844e-9378125755c3",
                    "Dimensions": {
                      "$type": "ModelMakerEngine.MMDimensions, ModelMakerEngine",
                      "$values": []
                    },
                    "EquationOBXInternal": "[Period number]*[First Customer Order Growth escalation flag]",
                    "NameOfGroup": "Time.Customer Order Growth index",
                    "EquationToParse": "[Period number]*[First Customer Order Growth escalation flag]",
                    "MostRecentExpectedUnitErrors": null,
                    "Units": {
                      "$id": "352",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Customer Order Growth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3",
                    "$type": "ModelMaker.VariableNode, ModelMaker",
                    "RowTotalDependent": null,
                    "PutCalculationOnReport": false,
                    "CalculateOnThisReport": null,
                    "PivotTableLink": null,
                    "NumberFormatOverride": null,
                    "HasOpeningBalanceFlag": false,
                    "OpeningBalanceFlagAppliedName": "",
                    "ToolTip": "\n Is on Time.Customer Order Growth index=SUM(ALLVALUES([First Customer Order Growth escalation period])) ()",
                    "Deletable": true,
                    "Comment": "",
                    "HasSwitchSignLine": false,
                    "SwitchSignForReport": false,
                    "MultipleInputValues": null,
                    "NonPrimaryInput": false,
                    "Max": "NaN",
                    "Min": "NaN",
                    "IsBalanceButNotCorkscrew": false,
                    "IsEditable": true,
                    "IsConstant": false,
                    "UniqueID": "4063435f-8d12-4f38-9142-db8905dd440f",
                    "Dimensions": {
                      "$type": "ModelMakerEngine.MMDimensions, ModelMakerEngine",
                      "$values": []
                    },
                    "EquationOBXInternal": "SUM(ALLVALUES([First Customer Order Growth escalation period]))",
                    "NameOfGroup": "Time.Customer Order Growth index",
                    "EquationToParse": "SUM(ALLVALUES([First Customer Order Growth escalation period]))",
                    "MostRecentExpectedUnitErrors": null,
                    "Units": {
                      "$id": "354",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Customer Order Growth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5",
                    "$type": "ModelMaker.VariableNode, ModelMaker",
                    "RowTotalDependent": null,
                    "PutCalculationOnReport": false,
                    "CalculateOnThisReport": null,
                    "PivotTableLink": null,
                    "NumberFormatOverride": null,
                    "HasOpeningBalanceFlag": false,
                    "OpeningBalanceFlagAppliedName": "",
                    "ToolTip": "\n Is on Time.Customer Order Growth index=IF(MOD([Period number]-[Period of first Customer Order Growth escalation],[Customer Order Growth escalation frequency]/[Months per period])=0,1,0)*[Customer Order Growth escalation duration flag] (flag)",
                    "Deletable": true,
                    "Comment": "",
                    "HasSwitchSignLine": false,
                    "SwitchSignForReport": false,
                    "MultipleInputValues": null,
                    "NonPrimaryInput": false,
                    "Max": "NaN",
                    "Min": "NaN",
                    "IsBalanceButNotCorkscrew": false,
                    "IsEditable": true,
                    "IsConstant": false,
                    "UniqueID": "d6a1fe7a-c21e-41b3-a578-954f469f20ee",
                    "Dimensions": {
                      "$type": "ModelMakerEngine.MMDimensions, ModelMakerEngine",
                      "$values": []
                    },
                    "EquationOBXInternal": "IF(MOD([Period number]-[Period of first Customer Order Growth escalation],[Customer Order Growth escalation frequency]/[Months per period])=0,1,0)*[Customer Order Growth escalation duration flag]",
                    "NameOfGroup": "Time.Customer Order Growth index",
                    "EquationToParse": "IF(MOD([Period number]-[Period of first Customer Order Growth escalation],[Customer Order Growth escalation frequency]/[Months per period])=0,1,0)*[Customer Order Growth escalation duration flag]",
                    "MostRecentExpectedUnitErrors": null,
                    "Units": {
                      "$id": "35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7",
                    "$type": "ModelMaker.VariableNode, ModelMaker",
                    "RowTotalDependent": null,
                    "PutCalculationOnReport": false,
                    "CalculateOnThisReport": null,
                    "PivotTableLink": null,
                    "NumberFormatOverride": null,
                    "HasOpeningBalanceFlag": false,
                    "OpeningBalanceFlagAppliedName": "",
                    "ToolTip": "\n Is on Time.Customer Order Growth indexDATE(YEAR([Model period end]),MONTH([Model period end]),DAY([Start date]))*[Customer Order Growth escalation step up frequency flag]",
                    "Deletable": true,
                    "Comment": "",
                    "HasSwitchSignLine": false,
                    "SwitchSignForReport": false,
                    "MultipleInputValues": null,
                    "NonPrimaryInput": false,
                    "Max": "NaN",
                    "Min": "NaN",
                    "IsBalanceButNotCorkscrew": false,
                    "IsEditable": true,
                    "IsConstant": false,
                    "UniqueID": "9b80a8dd-0999-4341-899b-9a8fc9c4cf13",
                    "Dimensions": {
                      "$type": "ModelMakerEngine.MMDimensions, ModelMakerEngine",
                      "$values": []
                    },
                    "EquationOBXInternal": "DATE(YEAR([Model period end]),MONTH([Model period end]),DAY([Start date]))*[Customer Order Growth escalation step up frequency flag]",
                    "NameOfGroup": "Time.Customer Order Growth index",
                    "EquationToParse": "DATE(YEAR([Model period end]),MONTH([Model period end]),DAY([Start date]))*[Customer Order Growth escalation step up frequency flag]",
                    "MostRecentExpectedUnitErrors": null,
                    "Units": {
                      "$id": "358",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Customer Order Growth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59",
                    "$type": "ModelMaker.VariableNode, ModelMaker",
                    "RowTotalDependent": null,
                    "PutCalculationOnReport": false,
                    "CalculateOnThisReport": null,
                    "PivotTableLink": null,
                    "NumberFormatOverride": null,
                    "HasOpeningBalanceFlag": false,
                    "OpeningBalanceFlagAppliedName": "",
                    "ToolTip": "\n Is on Time.Customer Order Growth index=YEARFRAC([Start date],[Day in period Customer Order Growth escalation occurs],1)*[Customer Order Growth escalation step up frequency flag] ()",
                    "Deletable": true,
                    "Comment": "",
                    "HasSwitchSignLine": false,
                    "SwitchSignForReport": false,
                    "MultipleInputValues": null,
                    "NonPrimaryInput": false,
                    "Max": "NaN",
                    "Min": "NaN",
                    "IsBalanceButNotCorkscrew": false,
                    "IsEditable": true,
                    "IsConstant": false,
                    "UniqueID": "8d06abb4-8511-4b5e-ba5f-d95ada247f3e",
                    "Dimensions": {
                      "$type": "ModelMakerEngine.MMDimensions, ModelMakerEngine",
                      "$values": []
                    },
                    "EquationOBXInternal": "YEARFRAC([Start date],[Day in period Customer Order Growth escalation occurs],1)*[Customer Order Growth escalation step up frequency flag]",
                    "NameOfGroup": "Time.Customer Order Growth index",
                    "EquationToParse": "YEARFRAC([Start date],[Day in period Customer Order Growth escalation occurs],1)*[Customer Order Growth escalation step up frequency flag]",
                    "MostRecentExpectedUnitErrors": null,
                    "Units": {
                      "$id": "360",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Customer Order Growth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1",
                    "$type": "ModelMaker.VariableNode, ModelMaker",
                    "RowTotalDependent": null,
                    "PutCalculationOnReport": false,
                    "CalculateOnThisReport": null,
                    "PivotTableLink": null,
                    "NumberFormatOverride": null,
                    "HasOpeningBalanceFlag": false,
                    "OpeningBalanceFlagAppliedName": "",
                    "ToolTip": "\n Is on Time.Customer Order Growth index=IF([Customer Order Growth escalation duration flag]=0,1,IF([Customer Order Growth escalation step up frequency flag]=1,(1+[Customer Order Growth annual start escalation rate])^[years since Customer Order Growth base date],PREVIOUSVALUE())) (index)",
                    "Deletable": true,
                    "Comment": "",
                    "HasSwitchSignLine": false,
                    "SwitchSignForReport": false,
                    "MultipleInputValues": null,
                    "NonPrimaryInput": false,
                    "Max": "NaN",
                    "Min": "NaN",
                    "IsBalanceButNotCorkscrew": false,
                    "IsEditable": true,
                    "IsConstant": false,
                    "UniqueID": "4177d9b2-252f-4eae-af87-2daef0ab833e",
                    "Dimensions": {
                      "$type": "ModelMakerEngine.MMDimensions, ModelMakerEngine",
                      "$values": []
                    },
                    "EquationOBXInternal": "IF([Customer Order Growth escalation duration flag]=0,1,IF([Customer Order Growth escalation step up frequency flag]=1,(1+[Customer Order Growth annual start escalation rate])^[years since Customer Order Growth base date],PREVIOUSVALUE()))",
                    "NameOfGroup": "Time.Customer Order Growth index",
                    "EquationToParse": "IF([Customer Order Growth escalation duration flag]=0,1,IF([Customer Order Growth escalation step up frequency flag]=1,(1+[Customer Order Growth annual start escalation rate])^[years since Customer Order Growth base date],PREVIOUSVALUE()))",
                    "MostRecentExpectedUnitErrors": null,
                    "Units": {
                      "$id": "362",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ustomer Order Growth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Customer Order Growth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63",
              "$type": "ModelMaker.GroupNode, ModelMaker",
              "TabOrHeaderColour": "",
              "Comment": "",
              "NameOfGroup": "Time",
              "YPosition": 3,
              "Folded": true,
              "Font": null,
              "Children": {
                "$type": "ModelMaker.GroupNodeChildCollection, ModelMaker",
                "$values": [
                  {
                    "$id": "36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Start date]<[Model period end],1,0) (flag)",
                    "Deletable": true,
                    "Comment": "",
                    "HasSwitchSignLine": false,
                    "SwitchSignForReport": false,
                    "MultipleInputValues": null,
                    "NonPrimaryInput": false,
                    "Max": "NaN",
                    "Min": "NaN",
                    "IsBalanceButNotCorkscrew": false,
                    "IsEditable": true,
                    "IsConstant": false,
                    "UniqueID": "be2d06a0-617d-48cf-ac25-8dcc88967ad1",
                    "Dimensions": {
                      "$type": "ModelMakerEngine.MMDimensions, ModelMakerEngine",
                      "$values": []
                    },
                    "EquationOBXInternal": "IF([Start date]<[Model period end],1,0)",
                    "NameOfGroup": "Time.Fixed Operating Cost Growth Rate index",
                    "EquationToParse": "IF([Start date]<[Model period end],1,0)",
                    "MostRecentExpectedUnitErrors": null,
                    "Units": {
                      "$id": "365",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dur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AND([Model period end]>=[Start date],[Model period start]<=[Start date]),1,0) (flag)",
                    "Deletable": true,
                    "Comment": "",
                    "HasSwitchSignLine": false,
                    "SwitchSignForReport": false,
                    "MultipleInputValues": null,
                    "NonPrimaryInput": false,
                    "Max": "NaN",
                    "Min": "NaN",
                    "IsBalanceButNotCorkscrew": false,
                    "IsEditable": true,
                    "IsConstant": false,
                    "UniqueID": "f1e799ed-0dd7-4c1a-b3bd-cf2901c1ba73",
                    "Dimensions": {
                      "$type": "ModelMakerEngine.MMDimensions, ModelMakerEngine",
                      "$values": []
                    },
                    "EquationOBXInternal": "IF(AND([Model period end]>=[Start date],[Model period start]<=[Start date]),1,0)",
                    "NameOfGroup": "Time.Fixed Operating Cost Growth Rate index",
                    "EquationToParse": "IF(AND([Model period end]>=[Start date],[Model period start]<=[Start date]),1,0)",
                    "MostRecentExpectedUnitErrors": null,
                    "Units": {
                      "$id": "36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6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Period number]*[First Fixed Operating Cost Growth Rate escalation flag] ()",
                    "Deletable": true,
                    "Comment": "",
                    "HasSwitchSignLine": false,
                    "SwitchSignForReport": false,
                    "MultipleInputValues": null,
                    "NonPrimaryInput": false,
                    "Max": "NaN",
                    "Min": "NaN",
                    "IsBalanceButNotCorkscrew": false,
                    "IsEditable": true,
                    "IsConstant": false,
                    "UniqueID": "2e8f257c-2a74-45f1-9ca1-2c650c70631e",
                    "Dimensions": {
                      "$type": "ModelMakerEngine.MMDimensions, ModelMakerEngine",
                      "$values": []
                    },
                    "EquationOBXInternal": "[Period number]*[First Fixed Operating Cost Growth Rate escalation flag]",
                    "NameOfGroup": "Time.Fixed Operating Cost Growth Rate index",
                    "EquationToParse": "[Period number]*[First Fixed Operating Cost Growth Rate escalation flag]",
                    "MostRecentExpectedUnitErrors": null,
                    "Units": {
                      "$id": "36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rst Fixed Operating Cost Growth Rate escalation period",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0",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SUM(ALLVALUES([First Fixed Operating Cost Growth Rate escalation period])) ()",
                    "Deletable": true,
                    "Comment": "",
                    "HasSwitchSignLine": false,
                    "SwitchSignForReport": false,
                    "MultipleInputValues": null,
                    "NonPrimaryInput": false,
                    "Max": "NaN",
                    "Min": "NaN",
                    "IsBalanceButNotCorkscrew": false,
                    "IsEditable": true,
                    "IsConstant": false,
                    "UniqueID": "10142995-f5dc-44f6-936b-de7da11370a9",
                    "Dimensions": {
                      "$type": "ModelMakerEngine.MMDimensions, ModelMakerEngine",
                      "$values": []
                    },
                    "EquationOBXInternal": "SUM(ALLVALUES([First Fixed Operating Cost Growth Rate escalation period]))",
                    "NameOfGroup": "Time.Fixed Operating Cost Growth Rate index",
                    "EquationToParse": "SUM(ALLVALUES([First Fixed Operating Cost Growth Rate escalation period]))",
                    "MostRecentExpectedUnitErrors": null,
                    "Units": {
                      "$id": "37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Period of first Fixed Operating Cost Growth Rate escalation",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2",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MOD([Period number]-[Period of first Fixed Operating Cost Growth Rate escalation],[Fixed Operating Cost Growth Rate escalation frequency]/[Months per period])=0,1,0)*[Fixed Operating Cost Growth Rate escalation duration flag] (flag)",
                    "Deletable": true,
                    "Comment": "",
                    "HasSwitchSignLine": false,
                    "SwitchSignForReport": false,
                    "MultipleInputValues": null,
                    "NonPrimaryInput": false,
                    "Max": "NaN",
                    "Min": "NaN",
                    "IsBalanceButNotCorkscrew": false,
                    "IsEditable": true,
                    "IsConstant": false,
                    "UniqueID": "e07524d9-49e3-440e-99e4-1c24889617a9",
                    "Dimensions": {
                      "$type": "ModelMakerEngine.MMDimensions, ModelMakerEngine",
                      "$values": []
                    },
                    "EquationOBXInternal": "IF(MOD([Period number]-[Period of first Fixed Operating Cost Growth Rate escalation],[Fixed Operating Cost Growth Rate escalation frequency]/[Months per period])=0,1,0)*[Fixed Operating Cost Growth Rate escalation duration flag]",
                    "NameOfGroup": "Time.Fixed Operating Cost Growth Rate index",
                    "EquationToParse": "IF(MOD([Period number]-[Period of first Fixed Operating Cost Growth Rate escalation],[Fixed Operating Cost Growth Rate escalation frequency]/[Months per period])=0,1,0)*[Fixed Operating Cost Growth Rate escalation duration flag]",
                    "MostRecentExpectedUnitErrors": null,
                    "Units": {
                      "$id": "373",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step up frequency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4",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DATE(YEAR([Model period end]),MONTH([Model period end]),DAY([Start date]))*[Fixed Operating Cost Growth Rate escalation step up frequency flag]",
                    "Deletable": true,
                    "Comment": "",
                    "HasSwitchSignLine": false,
                    "SwitchSignForReport": false,
                    "MultipleInputValues": null,
                    "NonPrimaryInput": false,
                    "Max": "NaN",
                    "Min": "NaN",
                    "IsBalanceButNotCorkscrew": false,
                    "IsEditable": true,
                    "IsConstant": false,
                    "UniqueID": "a8492eb4-c7e3-4528-9a85-6b7a7c716c7a",
                    "Dimensions": {
                      "$type": "ModelMakerEngine.MMDimensions, ModelMakerEngine",
                      "$values": []
                    },
                    "EquationOBXInternal": "DATE(YEAR([Model period end]),MONTH([Model period end]),DAY([Start date]))*[Fixed Operating Cost Growth Rate escalation step up frequency flag]",
                    "NameOfGroup": "Time.Fixed Operating Cost Growth Rate index",
                    "EquationToParse": "DATE(YEAR([Model period end]),MONTH([Model period end]),DAY([Start date]))*[Fixed Operating Cost Growth Rate escalation step up frequency flag]",
                    "MostRecentExpectedUnitErrors": null,
                    "Units": {
                      "$id": "375",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y in period Fixed Operating Cost Growth Rate escalation occur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6",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YEARFRAC([Start date],[Day in period Fixed Operating Cost Growth Rate escalation occurs],1)*[Fixed Operating Cost Growth Rate escalation step up frequency flag] ()",
                    "Deletable": true,
                    "Comment": "",
                    "HasSwitchSignLine": false,
                    "SwitchSignForReport": false,
                    "MultipleInputValues": null,
                    "NonPrimaryInput": false,
                    "Max": "NaN",
                    "Min": "NaN",
                    "IsBalanceButNotCorkscrew": false,
                    "IsEditable": true,
                    "IsConstant": false,
                    "UniqueID": "672744bf-b3e4-44a2-bd3a-f2dcd8cead9a",
                    "Dimensions": {
                      "$type": "ModelMakerEngine.MMDimensions, ModelMakerEngine",
                      "$values": []
                    },
                    "EquationOBXInternal": "YEARFRAC([Start date],[Day in period Fixed Operating Cost Growth Rate escalation occurs],1)*[Fixed Operating Cost Growth Rate escalation step up frequency flag]",
                    "NameOfGroup": "Time.Fixed Operating Cost Growth Rate index",
                    "EquationToParse": "YEARFRAC([Start date],[Day in period Fixed Operating Cost Growth Rate escalation occurs],1)*[Fixed Operating Cost Growth Rate escalation step up frequency flag]",
                    "MostRecentExpectedUnitErrors": null,
                    "Units": {
                      "$id": "377",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years since Fixed Operating Cost Growth Rate base date",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78",
                    "$type": "ModelMaker.VariableNode, ModelMaker",
                    "RowTotalDependent": null,
                    "PutCalculationOnReport": false,
                    "CalculateOnThisReport": null,
                    "PivotTableLink": null,
                    "NumberFormatOverride": null,
                    "HasOpeningBalanceFlag": false,
                    "OpeningBalanceFlagAppliedName": "",
                    "ToolTip": "\n Is on Time.Fixed Operating Cost Growth Rate index=IF([Fixed Operating Cost Growth Rate escalation duration flag]=0,1,IF([Fixed Operating Cost Growth Rate escalation step up frequency flag]=1,(1+[Fixed Operating Cost Growth Rate annual start escalation rate])^[years since Fixed Operating Cost Growth Rate base date],PREVIOUSVALUE())) (index)",
                    "Deletable": true,
                    "Comment": "",
                    "HasSwitchSignLine": false,
                    "SwitchSignForReport": false,
                    "MultipleInputValues": null,
                    "NonPrimaryInput": false,
                    "Max": "NaN",
                    "Min": "NaN",
                    "IsBalanceButNotCorkscrew": false,
                    "IsEditable": true,
                    "IsConstant": false,
                    "UniqueID": "4c46453b-f2a0-4aa2-b747-52773df3e870",
                    "Dimensions": {
                      "$type": "ModelMakerEngine.MMDimensions, ModelMakerEngine",
                      "$values": []
                    },
                    "EquationOBXInternal": "IF([Fixed Operating Cost Growth Rate escalation duration flag]=0,1,IF([Fixed Operating Cost Growth Rate escalation step up frequency flag]=1,(1+[Fixed Operating Cost Growth Rate annual start escalation rate])^[years since Fixed Operating Cost Growth Rate base date],PREVIOUSVALUE()))",
                    "NameOfGroup": "Time.Fixed Operating Cost Growth Rate index",
                    "EquationToParse": "IF([Fixed Operating Cost Growth Rate escalation duration flag]=0,1,IF([Fixed Operating Cost Growth Rate escalation step up frequency flag]=1,(1+[Fixed Operating Cost Growth Rate annual start escalation rate])^[years since Fixed Operating Cost Growth Rate base date],PREVIOUSVALUE()))",
                    "MostRecentExpectedUnitErrors": null,
                    "Units": {
                      "$id": "379",
                      "$type": "ModelMaker.Unit, ModelMaker",
                      "NumberFormatOverride": null,
                      "MatchAnything": false,
                      "ExternalRepresentation": "index",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Fixed Operating Cost Growth Rate escalation indexation facto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Fixed Operating Cost Growth Rate inde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0",
              "$type": "ModelMaker.GroupNode, ModelMaker",
              "TabOrHeaderColour": "",
              "Comment": "",
              "NameOfGroup": "Time",
              "YPosition": 4,
              "Folded": true,
              "Font": null,
              "Children": {
                "$type": "ModelMaker.GroupNodeChildCollection, ModelMaker",
                "$values": [
                  {
                    "$id": "381",
                    "$type": "ModelMaker.VariableNode, ModelMaker",
                    "RowTotalDependent": null,
                    "PutCalculationOnReport": false,
                    "CalculateOnThisReport": null,
                    "PivotTableLink": null,
                    "NumberFormatOverride": null,
                    "HasOpeningBalanceFlag": false,
                    "OpeningBalanceFlagAppliedName": "",
                    "ToolTip": "\n Is on Time.Debts flags=IF(AND([Model period end]>=[Supply Chain Finance enabled beginning date],[Model period start]<=[Supply Chain Finance enabled end date]),1,0) (flag)",
                    "Deletable": true,
                    "Comment": "",
                    "HasSwitchSignLine": false,
                    "SwitchSignForReport": false,
                    "MultipleInputValues": null,
                    "NonPrimaryInput": false,
                    "Max": "NaN",
                    "Min": "NaN",
                    "IsBalanceButNotCorkscrew": false,
                    "IsEditable": true,
                    "IsConstant": false,
                    "UniqueID": "79e5f9e8-7b65-4eef-b283-fc2eb5a8ec5b",
                    "Dimensions": {
                      "$type": "ModelMakerEngine.MMDimensions, ModelMakerEngine",
                      "$values": []
                    },
                    "EquationOBXInternal": "IF(AND([Model period end]>=[Supply Chain Finance enabled beginning date],[Model period start]<=[Supply Chain Finance enabled end date]),1,0)",
                    "NameOfGroup": "Time.Trade finance enabled flag",
                    "EquationToParse": "IF(AND([Model period end]>=[Supply Chain Finance enabled beginning date],[Model period start]<=[Supply Chain Finance enabled end date]),1,0)",
                    "MostRecentExpectedUnitErrors": null,
                    "Units": {
                      "$id": "382",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Supply Chain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3",
                    "$type": "ModelMaker.VariableNode, ModelMaker",
                    "RowTotalDependent": null,
                    "PutCalculationOnReport": false,
                    "CalculateOnThisReport": null,
                    "PivotTableLink": null,
                    "NumberFormatOverride": null,
                    "HasOpeningBalanceFlag": false,
                    "OpeningBalanceFlagAppliedName": "",
                    "ToolTip": "\n Is on Time.Debts flags=IF(AND([Model period end]>=[Invoice Finance Enabled beginning date],[Model period start]<=[Invoice Finance Enabled end date]),1,0) (flag)",
                    "Deletable": true,
                    "Comment": "",
                    "HasSwitchSignLine": false,
                    "SwitchSignForReport": false,
                    "MultipleInputValues": null,
                    "NonPrimaryInput": false,
                    "Max": "NaN",
                    "Min": "NaN",
                    "IsBalanceButNotCorkscrew": false,
                    "IsEditable": true,
                    "IsConstant": false,
                    "UniqueID": "cf92d113-9dc8-44fd-be38-6e7119264329",
                    "Dimensions": {
                      "$type": "ModelMakerEngine.MMDimensions, ModelMakerEngine",
                      "$values": []
                    },
                    "EquationOBXInternal": "IF(AND([Model period end]>=[Invoice Finance Enabled beginning date],[Model period start]<=[Invoice Finance Enabled end date]),1,0)",
                    "NameOfGroup": "Time.Invoice Finance Enabled flag",
                    "EquationToParse": "IF(AND([Model period end]>=[Invoice Finance Enabled beginning date],[Model period start]<=[Invoice Finance Enabled end date]),1,0)",
                    "MostRecentExpectedUnitErrors": null,
                    "Units": {
                      "$id": "384",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Invoice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85",
                    "$type": "ModelMaker.VariableNode, ModelMaker",
                    "RowTotalDependent": null,
                    "PutCalculationOnReport": false,
                    "CalculateOnThisReport": null,
                    "PivotTableLink": null,
                    "NumberFormatOverride": null,
                    "HasOpeningBalanceFlag": false,
                    "OpeningBalanceFlagAppliedName": "",
                    "ToolTip": "\n Is on Time.Debts flags=IF(AND([Model period end]>=[Asset Finance Enabled beginning date],[Model period start]<=[Asset Finance Enabled end date]),1,0) (flag)",
                    "Deletable": true,
                    "Comment": "",
                    "HasSwitchSignLine": false,
                    "SwitchSignForReport": false,
                    "MultipleInputValues": null,
                    "NonPrimaryInput": false,
                    "Max": "NaN",
                    "Min": "NaN",
                    "IsBalanceButNotCorkscrew": false,
                    "IsEditable": true,
                    "IsConstant": false,
                    "UniqueID": "44b23a41-9051-46ed-a4b6-2294888c7216",
                    "Dimensions": {
                      "$type": "ModelMakerEngine.MMDimensions, ModelMakerEngine",
                      "$values": []
                    },
                    "EquationOBXInternal": "IF(AND([Model period end]>=[Asset Finance Enabled beginning date],[Model period start]<=[Asset Finance Enabled end date]),1,0)",
                    "NameOfGroup": "Time.Debts flags",
                    "EquationToParse": "IF(AND([Model period end]>=[Asset Finance Enabled beginning date],[Model period start]<=[Asset Finance Enabled end date]),1,0)",
                    "MostRecentExpectedUnitErrors": null,
                    "Units": {
                      "$id": "38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Asset Finance Enable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Debts flag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87",
              "$type": "ModelMaker.GroupNode, ModelMaker",
              "TabOrHeaderColour": "",
              "Comment": "",
              "NameOfGroup": "Time",
              "YPosition": 5,
              "Folded": true,
              "Font": null,
              "Children": {
                "$type": "ModelMaker.GroupNodeChildCollection, ModelMaker",
                "$values": [
                  {
                    "$id": "388",
                    "$type": "ModelMaker.VariableNode, ModelMaker",
                    "RowTotalDependent": null,
                    "PutCalculationOnReport": false,
                    "CalculateOnThisReport": null,
                    "PivotTableLink": null,
                    "NumberFormatOverride": null,
                    "HasOpeningBalanceFlag": false,
                    "OpeningBalanceFlagAppliedName": "",
                    "ToolTip": "\n Is on Time.VAT return this period flag=IF(AND([Period number]>=[VAT return this period first period number constant],MOD([Period number],[VAT return this period every x periods])=[VAT return this period mod of period number]),1,0) (flag)",
                    "Deletable": true,
                    "Comment": "",
                    "HasSwitchSignLine": false,
                    "SwitchSignForReport": false,
                    "MultipleInputValues": null,
                    "NonPrimaryInput": false,
                    "Max": "NaN",
                    "Min": "NaN",
                    "IsBalanceButNotCorkscrew": false,
                    "IsEditable": true,
                    "IsConstant": false,
                    "UniqueID": "2e0de64c-c799-452e-b92c-0fd424f4d6e1",
                    "Dimensions": {
                      "$type": "ModelMakerEngine.MMDimensions, ModelMakerEngine",
                      "$values": []
                    },
                    "EquationOBXInternal": "IF(AND([Period number]>=[VAT return this period first period number constant],MOD([Period number],[VAT return this period every x periods])=[VAT return this period mod of period number]),1,0)",
                    "NameOfGroup": "Time.VAT return this period flag",
                    "EquationToParse": "IF(AND([Period number]>=[VAT return this period first period number constant],MOD([Period number],[VAT return this period every x periods])=[VAT return this period mod of period number]),1,0)",
                    "MostRecentExpectedUnitErrors": null,
                    "Units": {
                      "$id": "389",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"390",
                    "$type": "ModelMaker.VariableNode, ModelMaker",
                    "RowTotalDependent": null,
                    "PutCalculationOnReport": false,
                    "CalculateOnThisReport": null,
                    "PivotTableLink": null,
                    "NumberFormatOverride": null,
                    "HasOpeningBalanceFlag": false,
                    "OpeningBalanceFlagAppliedName": "",
                    "ToolTip": "\n Is on Time.VAT return this period flag=MOD([VAT return this period first period number constant],[VAT return this period every x periods]) ()",
                    "Deletable": true,
                    "Comment": "",
                    "HasSwitchSignLine": false,
                    "SwitchSignForReport": false,
                    "MultipleInputValues": null,
                    "NonPrimaryInput": false,
                    "Max": "NaN",
                    "Min": "NaN",
                    "IsBalanceButNotCorkscrew": false,
                    "IsEditable": true,
                    "IsConstant": false,
                    "UniqueID": "4ae8b18a-8716-4cd8-bb39-6f8f93bbdf65",
                    "Dimensions": {
                      "$type": "ModelMakerEngine.MMDimensions, ModelMakerEngine",
                      "$values": []
                    },
                    "EquationOBXInternal": "MOD([VAT return this period first period number constant],[VAT return this period every x periods])",
                    "NameOfGroup": "Time.VAT return this period flag",
                    "EquationToParse": "MOD([VAT return this period first period number constant],[VAT return this period every x periods])",
                    "MostRecentExpectedUnitErrors": null,
                    "Units": {
                      "$id": "391",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mod of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"392",
                    "$type": "ModelMaker.VariableNode, ModelMaker",
                    "RowTotalDependent": null,
                    "PutCalculationOnReport": false,
                    "CalculateOnThisReport": null,
                    "PivotTableLink": null,
                    "NumberFormatOverride": null,
                    "HasOpeningBalanceFlag": false,
                    "OpeningBalanceFlagAppliedName": "",
                    "ToolTip": "\n Is on Time.VAT return this period flag=SUM(ALLVALUES([VAT return this period first period number])) ()",
                    "Deletable": true,
                    "Comment": "",
                    "HasSwitchSignLine": false,
                    "SwitchSignForReport": false,
                    "MultipleInputValues": null,
                    "NonPrimaryInput": false,
                    "Max": "NaN",
                    "Min": "NaN",
                    "IsBalanceButNotCorkscrew": false,
                    "IsEditable": true,
                    "IsConstant": false,
                    "UniqueID": "e8ff41d1-56cf-47db-b784-d463b7857919",
                    "Dimensions": {
                      "$type": "ModelMakerEngine.MMDimensions, ModelMakerEngine",
                      "$values": []
                    },
                    "EquationOBXInternal": "SUM(ALLVALUES([VAT return this period first period number]))",
                    "NameOfGroup": "Time.VAT return this period flag",
                    "EquationToParse": "SUM(ALLVALUES([VAT return this period first period number]))",
                    "MostRecentExpectedUnitErrors": null,
                    "Units": {
                      "$id": "393",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constant",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"394",
                    "$type": "ModelMaker.VariableNode, ModelMaker",
                    "RowTotalDependent": null,
                    "PutCalculationOnReport": false,
                    "CalculateOnThisReport": null,
                    "PivotTableLink": null,
                    "NumberFormatOverride": null,
                    "HasOpeningBalanceFlag": false,
                    "OpeningBalanceFlagAppliedName": "",
                    "ToolTip": "\n Is on Time.VAT return this period flag=[Period number]*[VAT return this period first period flag] ()",
                    "Deletable": true,
                    "Comment": "",
                    "HasSwitchSignLine": false,
                    "SwitchSignForReport": false,
                    "MultipleInputValues": null,
                    "NonPrimaryInput": false,
                    "Max": "NaN",
                    "Min": "NaN",
                    "IsBalanceButNotCorkscrew": false,
                    "IsEditable": true,
                    "IsConstant": false,
                    "UniqueID": "0a7578ce-f250-4eee-8057-5cfc9f381e7e",
                    "Dimensions": {
                      "$type": "ModelMakerEngine.MMDimensions, ModelMakerEngine",
                      "$values": []
                    },
                    "EquationOBXInternal": "[Period number]*[VAT return this period first period flag]",
                    "NameOfGroup": "Time.VAT return this period flag",
                    "EquationToParse": "[Period number]*[VAT return this period first period flag]",
                    "MostRecentExpectedUnitErrors": null,
                    "Units": {
                      "$id": "395",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number",
                    "ReportLines": {
                      "$type": "ModelMaker.UndoableCollection`1[[ModelMakerEngine.IReportLine, ModelMakerEngine]], ModelMaker.Undo",
                      "$values": []
                    },
                    "IsOpeningBalance": false,
                    "ExternalLinks": {
                      "$type": "UINext.Collections.DeepObservableCollection`1[[ExternalLinks.IExternalDataLink, ExternalLinks]], UINext",
                      "$values": []
                    },
                    "HasUnits": false,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3,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"396",
                    "$type": "ModelMaker.VariableNode, ModelMaker",
                    "RowTotalDependent": null,
                    "PutCalculationOnReport": false,
                    "CalculateOnThisReport": null,
                    "PivotTableLink": null,
                    "NumberFormatOverride": null,
                    "HasOpeningBalanceFlag": false,
                    "OpeningBalanceFlagAppliedName": "",
                    "ToolTip": "\n Is on Time.VAT return this period flag=IF(AND([Model period end]>=[VAT return this period beginning date],[Model period start]<=[VAT return this period beginning date]),1,0) (flag)",
                    "Deletable": true,
                    "Comment": "",
                    "HasSwitchSignLine": false,
                    "SwitchSignForReport": false,
                    "MultipleInputValues": null,
                    "NonPrimaryInput": false,
                    "Max": "NaN",
                    "Min": "NaN",
                    "IsBalanceButNotCorkscrew": false,
                    "IsEditable": true,
                    "IsConstant": false,
                    "UniqueID": "90dd42fa-ae90-4489-981a-4e744efba348",
                    "Dimensions": {
                      "$type": "ModelMakerEngine.MMDimensions, ModelMakerEngine",
                      "$values": []
                    },
                    "EquationOBXInternal": "IF(AND([Model period end]>=[VAT return this period beginning date],[Model period start]<=[VAT return this period beginning date]),1,0)",
                    "NameOfGroup": "Time.VAT return this period flag",
                    "EquationToParse": "IF(AND([Model period end]>=[VAT return this period beginning date],[Model period start]<=[VAT return this period beginning date]),1,0)",
                    "MostRecentExpectedUnitErrors": null,
                    "Units": {
                      "$id": "397",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VAT return this period first period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true,
              "IsTimeAndFlagsGroup": false,
              "DimensionsAcross": {
                "$type": "ModelMakerEngine.MMDimensions, ModelMakerEngine",
                "$values": []
              },
              "TimeAxis": 0,
              "IndexInParent": -1,
              "Name": "VAT return this period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398",
              "$type": "ModelMaker.GroupNode, ModelMaker",
              "TabOrHeaderColour": "",
              "Comment": "",
              "NameOfGroup": "Time",
              "YPosition": 6,
              "Folded": true,
              "Font": null,
              "Children": {
                "$type": "ModelMaker.GroupNodeChildCollection, ModelMaker",
                "$values": [
                  {
                    "$id": "399",
                    "$type": "ModelMaker.VariableNode, ModelMaker",
                    "RowTotalDependent": null,
                    "PutCalculationOnReport": false,
                    "CalculateOnThisReport": null,
                    "PivotTableLink": null,
                    "NumberFormatOverride": null,
                    "HasOpeningBalanceFlag": false,
                    "OpeningBalanceFlagAppliedName": "",
                    "ToolTip": "\n Is on Time.Use short term forecast flag=IF([Model period start]>=[Use short term forecast flag end date],0,1) (flag)",
                    "Deletable": true,
                    "Comment": "",
                    "HasSwitchSignLine": false,
                    "SwitchSignForReport": false,
                    "MultipleInputValues": null,
                    "NonPrimaryInput": false,
                    "Max": "NaN",
                    "Min": "NaN",
                    "IsBalanceButNotCorkscrew": false,
                    "IsEditable": true,
                    "IsConstant": false,
                    "UniqueID": "d9f8cc89-fd49-4d11-bb39-af07c9510f4c",
                    "Dimensions": {
                      "$type": "ModelMakerEngine.MMDimensions, ModelMakerEngine",
                      "$values": []
                    },
                    "EquationOBXInternal": "IF([Model period start]>=[Use short term forecast flag end date],0,1)",
                    "NameOfGroup": "Time.Use short term forecast flag",
                    "EquationToParse": "IF([Model period start]>=[Use short term forecast flag end date],0,1)",
                    "MostRecentExpectedUnitErrors": null,
                    "Units": {
                      "$id": "400",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"Use short term forecast flag",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true,
              "IsChecksGroup": false,
              "IsAlertsGroup": false,
              "IsChecksAndAlertsGroup": false,
              "IsUnallocatedGroup": false,
              "IsInputsGroup": false,
              "IsFlag": true,
              "IsTimeAndFlagsGroup": false,
              "DimensionsAcross": {
                "$type": "ModelMakerEngine.MMDimensions, ModelMakerEngine",
                "$values": []
              },
              "TimeAxis": 0,
              "IndexInParent": -1,
              "Name": "Use short term forecast flag",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"AllowAddChildren": true,
        "AllowRemoveChildren": true,
        "IsImported": false,
        "IsChecksGroup": false,
        "IsAlertsGroup": false,
        "IsChecksAndAlertsGroup": false,
        "IsUnallocatedGroup": false,
        "IsInputsGroup": false,
        "IsFlag": false,
        "IsTimeAndFlagsGroup": true,
        "DimensionsAcross": {
          "$type": "ModelMakerEngine.MMDimensions, ModelMakerEngine",
          "$values": []
        },
        "TimeAxis": 0,
        "IndexInParent": 2,
        "Name": "Time",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"401",
        "$type": "ModelMaker.GroupNode, ModelMaker",
        "TabOrHeaderColour": "",
        "Comment": "",
        "NameOfGroup": "Model Checks and Alerts",
        "YPosition": 0,
        "Folded": true,
        "Font": null,
        "Children": {
          "$type": "ModelMaker.GroupNodeChildCollection, ModelMaker",
          "$values": [
            {
              "$id": "402",
              "$type": "ModelMaker.VariableNode, ModelMaker",
              "RowTotalDependent": null,
              "PutCalculationOnReport": false,
              "CalculateOnThisReport": null,
              "PivotTableLink": null,
              "NumberFormatOverride": null,
              "HasOpeningBalanceFlag": false,
              "OpeningBalanceFlagAppliedName": "",
              "ToolTip": "\n Is on Model Checks and Alerts.Model Checks=IF(ROUND(ABS([Net Assets] - [Shareholder Equity]),6)=0,0,1) (Check)",
              "Deletable": true,
              "Comment": "",
              "HasSwitchSignLine": false,
              "SwitchSignForReport": false,
              "MultipleInputValues": null,
              "NonPrimaryInput": false,
              "Max": "NaN",
              "Min": "NaN",
              "IsBalanceButNotCorkscrew": false,
              "IsEditable": true,
              "IsConstant": false,
              "UniqueID": "9235f281-7ed6-4fc5-a876-f98cd37fd055",
              "Dimensions": {
                "$type": "ModelMakerEngine.MMDimensions, ModelMakerEngine",
                "$values": []
              },
              "EquationOBXInternal": "IF(ROUND(ABS([Net Assets] - [Shareholder Equity]),6)=0,0,1)",
              "NameOfGroup": "Model Checks and Alerts.Model Checks",
              "EquationToParse": "IF(ROUND(ABS([Net Assets] - [Shareholder Equity]),6)=0,0,1)",
              "MostRecentExpectedUnitErrors": null,
              "Units": {
                "$id": "403",
                "$type": "ModelMaker.Unit, ModelMaker",
                "NumberFormatOverride": null,
                "MatchAnything": true,
                "ExternalRepresentation": "Check",
                "ItemsOnTop": {
                  "$type": "System.Collections.Generic.List`1[[System.String, mscorlib]], mscorlib",
                  "$values": [
                    "CHECK"
                  ]
                },
                "ItemsOnBottom": {
                  "$type": "System.Collections.Generic.List`1[[System.String, mscorlib]], mscorlib",
                  "$values": []
                },
                "IsCurrency": false,
                "ContainsSMU": false,
                "IsDimensionless": false,
                "InsertRowTotal": true,
                "IgnoreWhenDeterminingExpectedUnits": false
              },
              "Name": "Balance Sheet Balances",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"404",
        "$type": "ModelMaker.GroupNode, ModelMaker",
        "TabOrHeaderColour": "",
        "Comment": "",
        "NameOfGroup": "Model Checks and Alerts",
        "YPosition": 1,
        "Folded": true,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"405",
        "$type": "ModelMaker.GroupNode, ModelMaker",
        "TabOrHeaderColour": "",
        "Comment": "",
        "NameOfGroup": null,
        "YPosition": 0,
        "Folded": false,
        "Font": null,
        "Children": {
          "$type": "ModelMaker.GroupNodeChildCollection, ModelMaker",
          "$values": [
            {
              "$ref": "401"
            },
            {
              "$ref": "404"
            }
          ]
        },
        "AllowAddChildren": true,
        "AllowRemoveChildren": true,
        "IsImported": false,
        "IsChecksGroup": false,
        "IsAlertsGroup": false,
        "IsChecksAndAlertsGroup": true,
        "IsUnallocatedGroup": false,
        "IsInputsGroup": false,
        "IsFlag": false,
        "IsTimeAndFlagsGroup": false,
        "DimensionsAcross": {
          "$type": "ModelMakerEngine.MMDimensions, ModelMakerEngine",
          "$values": []
        },
        "TimeAxis": 0,
        "IndexInParent": 17,
        "Name": "Model Checks and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"195"
      },
      {
        "$ref": "338"
      },
      {
        "$ref": "344"
      },
      {
        "$ref": "191"
      },
      {
        "$ref": "336"
      },
      {
        "$ref": "339"
      },
      {
        "$ref": "193"
      },
      {
        "$ref": "341"
      },
      {
        "$ref": "235"
      },
      {
        "$ref": "209"
      },
      {
        "$ref": "238"
      },
      {
        "$id": "406",
        "$type": "ModelMaker.GroupNode, ModelMaker",
        "TabOrHeaderColour": "",
        "Comment": "",
        "NameOfGroup": null,
        "YPosition": 0,
        "Folded": false,
        "Font": null,
        "Children": {
          "$type": "ModelMaker.GroupNodeChildCollection, ModelMaker",
          "$values": [
            {
              "$ref": "150"
            },
            {
              "$ref": "116"
            },
            {
              "$ref": "94"
            },
            {
              "$ref": "111"
            },
            {
              "$ref": "110"
            },
            {
              "$ref": "120"
            },
            {
              "$ref": "119"
            },
            {
              "$ref": "128"
            },
            {
              "$ref": "123"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7,
        "Name": "Inventory",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"128"
      },
      {
        "$ref": "228"
      },
      {
        "$ref": "110"
      },
      {
        "$ref": "119"
      },
      {
        "$ref": "94"
      },
      {
        "$ref": "111"
      },
      {
        "$ref": "116"
      },
      {
        "$ref": "123"
      },
      {
        "$ref": "120"
      },
      {
        "$id": "407",
        "$type": "ModelMaker.GroupNode, ModelMaker",
        "TabOrHeaderColour": "",
        "Comment": "",
        "NameOfGroup": null,
        "YPosition": 0,
        "Folded": false,
        "Font": null,
        "Children": {
          "$type": "ModelMaker.GroupNodeChildCollection, ModelMaker",
          "$values": [
            {
              "$ref": "99"
            },
            {
              "$ref": "105"
            },
            {
              "$ref": "106"
            },
            {
              "$ref": "102"
            },
            {
              "$id": "408",
              "$type": "ModelMaker.VariableNode, ModelMaker",
              "RowTotalDependent": null,
              "PutCalculationOnReport": false,
              "CalculateOnThisReport": null,
              "PivotTableLink": null,
              "NumberFormatOverride": null,
              "HasOpeningBalanceFlag": false,
              "OpeningBalanceFlagAppliedName": "",
              "ToolTip": "\n Is on Customers=([New customers orders]+[Renewing Customer Orders]) * [Sales Price Unit] * [Contract Length] (GBP)",
              "Deletable": true,
              "Comment": "",
              "HasSwitchSignLine": false,
              "SwitchSignForReport": false,
              "MultipleInputValues": null,
              "NonPrimaryInput": false,
              "Max": "NaN",
              "Min": "NaN",
              "IsBalanceButNotCorkscrew": false,
              "IsEditable": true,
              "IsConstant": false,
              "UniqueID": "00a3e7a4-cedb-4151-a30f-fff72a6062f1",
              "Dimensions": {
                "$type": "ModelMakerEngine.MMDimensions, ModelMakerEngine",
                "$values": []
              },
              "EquationOBXInternal": "([New customers orders]+[Renewing Customer Orders]) * [Sales Price Unit] * [Contract Length]",
              "NameOfGroup": "Customers",
              "EquationToParse": "([New customers orders]+[Renewing Customer Orders]) * [Sales Price Unit] * [Contract Length]",
              "MostRecentExpectedUnitErrors": null,
              "Units": {
                "$id": "409",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"Sales",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5,
        "Name": "Customers",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"105"
      },
      {
        "$ref": "207"
      },
      {
        "$ref": "197"
      },
      {
        "$ref": "240"
      },
      {
        "$id": "410",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18,
        "Name": "Optimisation",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"249"
      },
      {
        "$ref": "247"
      },
      {
        "$ref": "248"
      },
      {
        "$ref": "99"
      },
      {
        "$ref": "106"
      },
      {
        "$ref": "212"
      },
      {
        "$ref": "214"
      },
      {
        "$ref": "61"
      },
      {
        "$id": "411",
        "$type": "ModelMaker.GroupNode, ModelMaker",
        "TabOrHeaderColour": "",
        "Comment": "",
        "NameOfGroup": null,
        "YPosition": 0,
        "Folded": false,
        "Font": null,
        "Children": {
          "$type": "ModelMaker.GroupNodeChildCollection, ModelMaker",
          "$values": []
        },
        "AllowAddChildren": true,
        "AllowRemoveChildren": true,
        "IsImported": false,
        "IsChecksGroup": true,
        "IsAlertsGroup": false,
        "IsChecksAndAlertsGroup": false,
        "IsUnallocatedGroup": false,
        "IsInputsGroup": false,
        "IsFlag": false,
        "IsTimeAndFlagsGroup": false,
        "DimensionsAcross": {
          "$type": "ModelMakerEngine.MMDimensions, ModelMakerEngine",
          "$values": []
        },
        "TimeAxis": 0,
        "IndexInParent": -1,
        "Name": "Model Checks",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"$id": "412",
        "$type": "ModelMaker.GroupNode, ModelMaker",
        "TabOrHeaderColour": "",
        "Comment": "",
        "NameOfGroup": null,
        "YPosition": 0,
        "Folded": false,
        "Font": null,
        "Children": {
          "$type": "ModelMaker.GroupNodeChildCollection, ModelMaker",
          "$values": []
        },
        "AllowAddChildren": true,
        "AllowRemoveChildren": true,
        "IsImported": false,
        "IsChecksGroup": false,
        "IsAlertsGroup": true,
        "IsChecksAndAlertsGroup": false,
        "IsUnallocatedGroup": false,
        "IsInputsGroup": false,
        "IsFlag": false,
        "IsTimeAndFlagsGroup": false,
        "DimensionsAcross": {
          "$type": "ModelMakerEngine.MMDimensions, ModelMakerEngine",
          "$values": []
        },
        "TimeAxis": 0,
        "IndexInParent": -1,
        "Name": "Model Alerts",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false,
        "Issues": null
      },
      {
        "$ref": "182"
      },
      {
        "$ref": "260"
      },
      {
        "$ref": "142"
      },
      {
        "$ref": "8"
      },
      {
        "$ref": "22"
      },
      {
        "$ref": "93"
      },
      {
        "$ref": "257"
      },
      {
        "$id": "413",
        "$type": "ModelMaker.GroupNode, ModelMaker",
        "TabOrHeaderColour": "",
        "Comment": "",
        "NameOfGroup": null,
        "YPosition": 0,
        "Folded": false,
        "Font": null,
        "Children": {
          "$type": "ModelMaker.GroupNodeChildCollection, ModelMaker",
          "$values": [
            {
              "$ref": "142"
            },
            {
              "$ref": "148"
            },
            {
              "$ref": "179"
            },
            {
              "$ref": "186"
            },
            {
              "$ref": "182"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4,
        "Name": "Financials",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"232"
      },
      {
        "$ref": "188"
      },
      {
        "$ref": "4"
      },
      {
        "$ref": "144"
      },
      {
        "$ref": "256"
      },
      {
        "$ref": "179"
      },
      {
        "$ref": "135"
      },
      {
        "$ref": "258"
      },
      {
        "$ref": "147"
      },
      {
        "$ref": "259"
      },
      {
        "$ref": "402"
      },
      {
        "$ref": "136"
      },
      {
        "$ref": "148"
      },
      {
        "$ref": "250"
      },
      {
        "$ref": "347"
      },
      {
        "$ref": "203"
      },
      {
        "$ref": "349"
      },
      {
        "$ref": "351"
      },
      {
        "$ref": "205"
      },
      {
        "$ref": "353"
      },
      {
        "$ref": "355"
      },
      {
        "$ref": "357"
      },
      {
        "$ref": "359"
      },
      {
        "$ref": "361"
      },
      {
        "$ref": "346"
      },
      {
        "$ref": "200"
      },
      {
        "$ref": "229"
      },
      {
        "$ref": "217"
      },
      {
        "$id": "414",
        "$type": "ModelMaker.GroupNode, ModelMaker",
        "TabOrHeaderColour": "",
        "Comment": "",
        "NameOfGroup": null,
        "YPosition": 0,
        "Folded": false,
        "Font": null,
        "Children": {
          "$type": "ModelMaker.GroupNodeChildCollection, ModelMaker",
          "$values": [
            {
              "$ref": "22"
            },
            {
              "$ref": "8"
            },
            {
              "$ref": "147"
            },
            {
              "$ref": "135"
            },
            {
              "$ref": "11"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10,
        "Name": "Working Capital",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"415",
        "$type": "ModelMaker.GroupNode, ModelMaker",
        "TabOrHeaderColour": "",
        "Comment": "",
        "NameOfGroup": null,
        "YPosition": 0,
        "Folded": false,
        "Font": null,
        "Children": {
          "$type": "ModelMaker.GroupNodeChildCollection, ModelMaker",
          "$values": [
            {
              "$ref": "136"
            },
            {
              "$ref": "61"
            },
            {
              "$ref": "144"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6,
        "Name": "Income",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"416",
        "$type": "ModelMaker.GroupNode, ModelMaker",
        "TabOrHeaderColour": "",
        "Comment": "",
        "NameOfGroup": null,
        "YPosition": 0,
        "Folded": false,
        "Font": null,
        "Children": {
          "$type": "ModelMaker.GroupNodeChildCollection, ModelMaker",
          "$values": [
            {
              "$ref": "151"
            },
            {
              "$ref": "66"
            },
            {
              "$ref": "64"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9,
        "Name": "Expense",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"66"
      },
      {
        "$ref": "102"
      },
      {
        "$ref": "64"
      },
      {
        "$ref": "408"
      },
      {
        "$ref": "226"
      },
      {
        "$ref": "219"
      },
      {
        "$ref": "364"
      },
      {
        "$ref": "222"
      },
      {
        "$ref": "366"
      },
      {
        "$ref": "368"
      },
      {
        "$ref": "224"
      },
      {
        "$ref": "370"
      },
      {
        "$ref": "372"
      },
      {
        "$ref": "374"
      },
      {
        "$ref": "376"
      },
      {
        "$ref": "378"
      },
      {
        "$ref": "363"
      },
      {
        "$ref": "11"
      },
      {
        "$ref": "243"
      },
      {
        "$ref": "220"
      },
      {
        "$ref": "198"
      },
      {
        "$ref": "262"
      },
      {
        "$ref": "264"
      },
      {
        "$ref": "283"
      },
      {
        "$ref": "281"
      },
      {
        "$ref": "154"
      },
      {
        "$ref": "27"
      },
      {
        "$ref": "30"
      },
      {
        "$ref": "155"
      },
      {
        "$ref": "74"
      },
      {
        "$ref": "45"
      },
      {
        "$id": "417",
        "$type": "ModelMaker.VariableNode, ModelMaker",
        "RowTotalDependent": null,
        "PutCalculationOnReport": false,
        "CalculateOnThisReport": null,
        "PivotTableLink": null,
        "NumberFormatOverride": null,
        "HasOpeningBalanceFlag": false,
        "OpeningBalanceFlagAppliedName": "",
        "ToolTip": "\n Is on Supply Chain finance=[All in Supply Chain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"8bce1f4a-f3e1-469e-96df-73eabd95858f",
        "Dimensions": {
          "$type": "ModelMakerEngine.MMDimensions, ModelMakerEngine",
          "$values": []
        },
        "EquationOBXInternal": "[All in Supply Chain Finance annual interest rate]/[debt day count convention]*[Days in period]",
        "NameOfGroup": "Trade Finance",
        "EquationToParse": "[All in Supply Chain Finance annual interest rate]/[debt day count convention]*[Days in period]",
        "MostRecentExpectedUnitErrors": null,
        "Units": {
          "$id": "418",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"Supply Chain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"419",
        "$type": "ModelMaker.GroupNode, ModelMaker",
        "TabOrHeaderColour": "",
        "Comment": "",
        "NameOfGroup": null,
        "YPosition": 0,
        "Folded": false,
        "Font": null,
        "Children": {
          "$type": "ModelMaker.GroupNodeChildCollection, ModelMaker",
          "$values": [
            {
              "$ref": "154"
            },
            {
              "$ref": "27"
            },
            {
              "$ref": "30"
            },
            {
              "$ref": "155"
            },
            {
              "$ref": "74"
            },
            {
              "$ref": "45"
            },
            {
              "$ref": "417"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12,
        "Name": "Supply Chain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"261"
      },
      {
        "$ref": "285"
      },
      {
        "$ref": "255"
      },
      {
        "$ref": "159"
      },
      {
        "$ref": "33"
      },
      {
        "$ref": "36"
      },
      {
        "$ref": "160"
      },
      {
        "$ref": "77"
      },
      {
        "$ref": "48"
      },
      {
        "$id": "420",
        "$type": "ModelMaker.VariableNode, ModelMaker",
        "RowTotalDependent": null,
        "PutCalculationOnReport": false,
        "CalculateOnThisReport": null,
        "PivotTableLink": null,
        "NumberFormatOverride": null,
        "HasOpeningBalanceFlag": false,
        "OpeningBalanceFlagAppliedName": "",
        "ToolTip": "\n Is on Invoice finance=[All in Invoice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"a6a7f864-7c73-4f84-a70b-1492f2d046eb",
        "Dimensions": {
          "$type": "ModelMakerEngine.MMDimensions, ModelMakerEngine",
          "$values": []
        },
        "EquationOBXInternal": "[All in Invoice Finance annual interest rate]/[debt day count convention]*[Days in period]",
        "NameOfGroup": "Invoice finance",
        "EquationToParse": "[All in Invoice Finance annual interest rate]/[debt day count convention]*[Days in period]",
        "MostRecentExpectedUnitErrors": null,
        "Units": {
          "$id": "421",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"Invoice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"422",
        "$type": "ModelMaker.GroupNode, ModelMaker",
        "TabOrHeaderColour": "",
        "Comment": "",
        "NameOfGroup": null,
        "YPosition": 0,
        "Folded": false,
        "Font": null,
        "Children": {
          "$type": "ModelMaker.GroupNodeChildCollection, ModelMaker",
          "$values": [
            {
              "$ref": "159"
            },
            {
              "$ref": "33"
            },
            {
              "$ref": "36"
            },
            {
              "$ref": "160"
            },
            {
              "$ref": "77"
            },
            {
              "$ref": "48"
            },
            {
              "$ref": "420"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11,
        "Name": "Invoice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"271"
      },
      {
        "$ref": "273"
      },
      {
        "$ref": "275"
      },
      {
        "$ref": "276"
      },
      {
        "$ref": "266"
      },
      {
        "$ref": "20"
      },
      {
        "$ref": "25"
      },
      {
        "$ref": "54"
      },
      {
        "$id": "423",
        "$type": "ModelMaker.VariableNode, ModelMaker",
        "RowTotalDependent": null,
        "PutCalculationOnReport": false,
        "CalculateOnThisReport": null,
        "PivotTableLink": null,
        "NumberFormatOverride": null,
        "HasOpeningBalanceFlag": false,
        "OpeningBalanceFlagAppliedName": "",
        "ToolTip": "\n Is on Metrics=MIN( ALLVALUES([Cash])) (GBP)",
        "Deletable": true,
        "Comment": "",
        "HasSwitchSignLine": false,
        "SwitchSignForReport": false,
        "MultipleInputValues": null,
        "NonPrimaryInput": false,
        "Max": "NaN",
        "Min": "NaN",
        "IsBalanceButNotCorkscrew": false,
        "IsEditable": true,
        "IsConstant": false,
        "UniqueID": "3e8cb464-a09d-42a4-a817-e04c57c09114",
        "Dimensions": {
          "$type": "ModelMakerEngine.MMDimensions, ModelMakerEngine",
          "$values": []
        },
        "EquationOBXInternal": "MIN( ALLVALUES([Cash]))",
        "NameOfGroup": "Unallocated",
        "EquationToParse": "MIN( ALLVALUES([Cash]))",
        "MostRecentExpectedUnitErrors": null,
        "Units": {
          "$ref": "2"
        },
        "Name": "Cash Low",
        "ReportLines": {
          "$type": "ModelMaker.UndoableCollection`1[[ModelMakerEngine.IReportLine, ModelMakerEngine]], ModelMaker.Undo",
          "$values": [
            {
              "$id": "424",
              "$type": "ModelMaker.ReportLine, ModelMaker",
              "ActualsItemName": null,
              "ActualsInput": null,
              "AssociatedSchematicNode": {
                "$ref": "423"
              },
              "OpeningBalanceFlagAppliedName": "",
              "SumOfAboveIncludesPreviousTotal": false,
              "LastNameUsed": null,
              "SwitchSignForReport": false,
              "IsSumOfAbove": false,
              "ParentReport": {
                "$id": "425",
                "$type": "ModelMaker.Report, ModelMaker",
                "TimeStep": 8,
                "YearEndBasis": 1002,
                "YearEndMonth": 0,
                "AllowTitleChange": true,
                "IsDuplicate": false,
                "ReportLinesCalculated": {
                  "$type": "System.Collections.Generic.List`1[[ModelMakerEngine.IReportLine, ModelMakerEngine]], mscorlib",
                  "$values": []
                },
                "ReportLines": {
                  "$type": "ModelMaker.UndoableCollection`1[[ModelMakerEngine.IReportLine, ModelMakerEngine]], ModelMaker.Undo",
                  "$values": [
                    {
                      "$ref": "424"
                    }
                  ]
                },
                "YPosition": -1,
                "Name": "Metrics Report",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"HeadingLevel": 0,
              "ReportFormatName": null,
              "NameOfGroup": "Unallocated",
              "UDFCode": null,
              "AssociatedOptimisationNodes": null,
              "IsUnused": false,
              "CustomNamedRange": null,
              "RowTotalDependent": null,
              "IsRowTotal": false,
              "YPosition": -1,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"426",
        "$type": "ModelMaker.GroupNode, ModelMaker",
        "TabOrHeaderColour": "",
        "Comment": "",
        "NameOfGroup": null,
        "YPosition": 0,
        "Folded": false,
        "Font": null,
        "Children": {
          "$type": "ModelMaker.GroupNodeChildCollection, ModelMaker",
          "$values": [
            {
              "$ref": "423"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3,
        "Name": "Metrics",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"$id": "427",
        "$type": "ModelMaker.GroupNode, ModelMaker",
        "TabOrHeaderColour": "",
        "Comment": "",
        "NameOfGroup": null,
        "YPosition": 0,
        "Folded": false,
        "Font": null,
        "Children": {
          "$type": "ModelMaker.GroupNodeChildCollection, ModelMaker",
          "$values": [
            {
              "$ref": "184"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16,
        "Name": "Equity",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"184"
      },
      {
        "$ref": "254"
      },
      {
        "$ref": "56"
      },
      {
        "$ref": "186"
      },
      {
        "$ref": "331"
      },
      {
        "$ref": "267"
      },
      {
        "$ref": "269"
      },
      {
        "$ref": "383"
      },
      {
        "$ref": "380"
      },
      {
        "$ref": "279"
      },
      {
        "$ref": "277"
      },
      {
        "$ref": "381"
      },
      {
        "$ref": "57"
      },
      {
        "$ref": "89"
      },
      {
        "$ref": "177"
      },
      {
        "$ref": "72"
      },
      {
        "$id": "428",
        "$type": "ModelMaker.TimeNode, ModelMaker",
        "ForceUpdate": 1,
        "Axis": 0,
        "EndDate": "2028-04-30T00:00:00",
        "MonthsPerPeriod": 1,
        "StartDate": "2023-05-01T00:00:00",
        "NumberOfPeriods": 60,
        "TimeStep": 5,
        "YearEndBasis": 0,
        "YearEndMonth": 0,
        "YPosition": -1,
        "Parent": {
          "$ref": "1"
        },
        "Visible": false,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"342"
      },
      {
        "$id": "429",
        "$type": "ModelMaker.GroupNode, ModelMaker",
        "TabOrHeaderColour": "",
        "Comment": "",
        "NameOfGroup": null,
        "YPosition": 0,
        "Folded": false,
        "Font": null,
        "Children": {
          "$type": "ModelMaker.GroupNodeChildCollection, ModelMaker",
          "$values": [
            {
              "$ref": "70"
            },
            {
              "$ref": "93"
            },
            {
              "$ref": "132"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8,
        "Name": "Assets",
        "Parent": {
          "$ref": "1"
        },
        "Visible": true,
        "ToolTip": "",
        "OpeningBalanceFlagAppliedName": "",
        "AllowIncomingLinks": false,
        "AllowOutgoingLinks": false,
        "IncomingLinks": {
          "$type": "System.Collections.ObjectModel.Collection`1[[ModelMaker.MMLink, ModelMaker]], mscorlib",
          "$values": []
        },
        "OutgoingLinks": {
          "$type": "System.Collections.ObjectModel.Collection`1[[ModelMaker.MMLink, ModelMaker]], mscorlib",
          "$values": []
        },
        "Deletable": true,
        "Issues": null
      },
      {
        "$ref": "132"
      },
      {
        "$ref": "253"
      },
      {
        "$ref": "244"
      },
      {
        "$ref": "70"
      },
      {
        "$ref": "164"
      },
      {
        "$ref": "39"
      },
      {
        "$ref": "42"
      },
      {
        "$ref": "165"
      },
      {
        "$ref": "80"
      },
      {
        "$ref": "51"
      },
      {
        "$id": "430",
        "$type": "ModelMaker.VariableNode, ModelMaker",
        "RowTotalDependent": null,
        "PutCalculationOnReport": false,
        "CalculateOnThisReport": null,
        "PivotTableLink": null,
        "NumberFormatOverride": null,
        "HasOpeningBalanceFlag": false,
        "OpeningBalanceFlagAppliedName": "",
        "ToolTip": "\n Is on Asset Finance=[All in Trade finance annual interest rate]/[debt day count convention]*[Days in period] (%)",
        "Deletable": true,
        "Comment": "",
        "HasSwitchSignLine": false,
        "SwitchSignForReport": false,
        "MultipleInputValues": null,
        "NonPrimaryInput": false,
        "Max": "NaN",
        "Min": "NaN",
        "IsBalanceButNotCorkscrew": false,
        "IsEditable": true,
        "IsConstant": false,
        "UniqueID": "f7f936bd-eb0d-409b-b2d0-a11db74001bf",
        "Dimensions": {
          "$type": "ModelMakerEngine.MMDimensions, ModelMakerEngine",
          "$values": []
        },
        "EquationOBXInternal": "[All in Trade finance annual interest rate]/[debt day count convention]*[Days in period]",
        "NameOfGroup": "Trade Finance",
        "EquationToParse": "[All in Trade finance annual interest rate]/[debt day count convention]*[Days in period]",
        "MostRecentExpectedUnitErrors": null,
        "Units": {
          "$id": "431",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"Asset Finance period interest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true,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"432",
        "$type": "ModelMaker.GroupNode, ModelMaker",
        "TabOrHeaderColour": "",
        "Comment": "",
        "NameOfGroup": null,
        "YPosition": 0,
        "Folded": false,
        "Font": null,
        "Children": {
          "$type": "ModelMaker.GroupNodeChildCollection, ModelMaker",
          "$values": [
            {
              "$ref": "164"
            },
            {
              "$ref": "39"
            },
            {
              "$ref": "42"
            },
            {
              "$ref": "165"
            },
            {
              "$ref": "80"
            },
            {
              "$ref": "51"
            },
            {
              "$ref": "430"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13,
        "Name": "Asset Finance",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"385"
      },
      {
        "$ref": "303"
      },
      {
        "$ref": "300"
      },
      {
        "$ref": "297"
      },
      {
        "$ref": "294"
      },
      {
        "$ref": "291"
      },
      {
        "$ref": "288"
      },
      {
        "$ref": "287"
      },
      {
        "$ref": "68"
      },
      {
        "$ref": "387"
      },
      {
        "$ref": "388"
      },
      {
        "$ref": "390"
      },
      {
        "$ref": "306"
      },
      {
        "$ref": "392"
      },
      {
        "$ref": "309"
      },
      {
        "$ref": "394"
      },
      {
        "$ref": "396"
      },
      {
        "$id": "433",
        "$type": "ModelMaker.VariableNode, ModelMaker",
        "RowTotalDependent": null,
        "PutCalculationOnReport": false,
        "CalculateOnThisReport": null,
        "PivotTableLink": null,
        "NumberFormatOverride": null,
        "HasOpeningBalanceFlag": false,
        "OpeningBalanceFlagAppliedName": "",
        "ToolTip": "\n Is on VAT=[VAT on inventory] + [VAT on operating expense] (GBP)",
        "Deletable": true,
        "Comment": "",
        "HasSwitchSignLine": false,
        "SwitchSignForReport": false,
        "MultipleInputValues": null,
        "NonPrimaryInput": false,
        "Max": "NaN",
        "Min": "NaN",
        "IsBalanceButNotCorkscrew": false,
        "IsEditable": true,
        "IsConstant": false,
        "UniqueID": "84c11e57-3beb-43b9-b1d1-c9d3c5c33200",
        "Dimensions": {
          "$type": "ModelMakerEngine.MMDimensions, ModelMakerEngine",
          "$values": []
        },
        "EquationOBXInternal": "[VAT on inventory] + [VAT on operating expense]",
        "NameOfGroup": "VAT",
        "EquationToParse": "[VAT on inventory] + [VAT on operating expense]",
        "MostRecentExpectedUnitErrors": null,
        "Units": {
          "$id": "434",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"Input VAT",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"138"
      },
      {
        "$ref": "170"
      },
      {
        "$ref": "169"
      },
      {
        "$ref": "251"
      },
      {
        "$ref": "316"
      },
      {
        "$ref": "13"
      },
      {
        "$id": "435",
        "$type": "ModelMaker.VariableNode, ModelMaker",
        "RowTotalDependent": null,
        "PutCalculationOnReport": false,
        "CalculateOnThisReport": null,
        "PivotTableLink": null,
        "NumberFormatOverride": null,
        "HasOpeningBalanceFlag": false,
        "OpeningBalanceFlagAppliedName": "",
        "ToolTip": "\n Is on VAT=INT([VAT payment delay in months]/[Months per period]) (period)",
        "Deletable": true,
        "Comment": "",
        "HasSwitchSignLine": false,
        "SwitchSignForReport": false,
        "MultipleInputValues": null,
        "NonPrimaryInput": false,
        "Max": "NaN",
        "Min": "NaN",
        "IsBalanceButNotCorkscrew": false,
        "IsEditable": true,
        "IsConstant": true,
        "UniqueID": "ad0664e5-fb68-47a2-8b11-532ca115b52e",
        "Dimensions": {
          "$type": "ModelMakerEngine.MMDimensions, ModelMakerEngine",
          "$values": []
        },
        "EquationOBXInternal": "INT([VAT payment delay in months]/[Months per period])",
        "NameOfGroup": "VAT",
        "EquationToParse": "INT([VAT payment delay in months]/[Months per period])",
        "MostRecentExpectedUnitErrors": null,
        "Units": {
          "$id": "436",
          "$type": "ModelMaker.Unit, ModelMaker",
          "NumberFormatOverride": null,
          "MatchAnything": false,
          "ExternalRepresentation": "period",
          "ItemsOnTop": {
            "$type": "System.Collections.Generic.List`1[[System.String, mscorlib]], mscorlib",
            "$values": [
              "PERIOD"
            ]
          },
          "ItemsOnBottom": {
            "$type": "System.Collections.Generic.List`1[[System.String, mscorlib]], mscorlib",
            "$values": []
          },
          "IsCurrency": false,
          "ContainsSMU": false,
          "IsDimensionless": false,
          "InsertRowTotal": true,
          "IgnoreWhenDeterminingExpectedUnits": false
        },
        "Name": "VAT payment delay",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5,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"437",
        "$type": "ModelMaker.VariableNode, ModelMaker",
        "RowTotalDependent": null,
        "PutCalculationOnReport": false,
        "CalculateOnThisReport": null,
        "PivotTableLink": null,
        "NumberFormatOverride": null,
        "HasOpeningBalanceFlag": false,
        "OpeningBalanceFlagAppliedName": "",
        "ToolTip": "\n Is on VAT=[VAT return this period flag]* (BEG([VAT balance])+[VAT due]) (GBP)",
        "Deletable": true,
        "Comment": "",
        "HasSwitchSignLine": false,
        "SwitchSignForReport": false,
        "MultipleInputValues": null,
        "NonPrimaryInput": false,
        "Max": "NaN",
        "Min": "NaN",
        "IsBalanceButNotCorkscrew": false,
        "IsEditable": true,
        "IsConstant": false,
        "UniqueID": "fad27676-1b61-402e-b629-f70c2775d740",
        "Dimensions": {
          "$type": "ModelMakerEngine.MMDimensions, ModelMakerEngine",
          "$values": []
        },
        "EquationOBXInternal": "[VAT return this period flag]* (BEG([VAT balance])+[VAT due])",
        "NameOfGroup": "VAT",
        "EquationToParse": "[VAT return this period flag]* ([VAT balance!!BEG]+[VAT due])",
        "MostRecentExpectedUnitErrors": null,
        "Units": {
          "$id": "438",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"VAT quarterly return",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6,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"439",
        "$type": "ModelMaker.GroupNode, ModelMaker",
        "TabOrHeaderColour": "",
        "Comment": "",
        "NameOfGroup": null,
        "YPosition": 0,
        "Folded": false,
        "Font": null,
        "Children": {
          "$type": "ModelMaker.GroupNodeChildCollection, ModelMaker",
          "$values": [
            {
              "$ref": "433"
            },
            {
              "$ref": "138"
            },
            {
              "$ref": "170"
            },
            {
              "$ref": "169"
            },
            {
              "$ref": "13"
            },
            {
              "$ref": "435"
            },
            {
              "$ref": "437"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14,
        "Name": "VAT",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"305"
      },
      {
        "$ref": "314"
      },
      {
        "$ref": "312"
      },
      {
        "$ref": "151"
      },
      {
        "$ref": "150"
      },
      {
        "$ref": "319"
      },
      {
        "$ref": "322"
      },
      {
        "$id": "440",
        "$type": "ModelMaker.VariableNode, ModelMaker",
        "RowTotalDependent": null,
        "PutCalculationOnReport": false,
        "CalculateOnThisReport": null,
        "PivotTableLink": null,
        "NumberFormatOverride": null,
        "HasOpeningBalanceFlag": false,
        "OpeningBalanceFlagAppliedName": "",
        "ToolTip": "\n Is on Corporation tax=[EBITDA] (GBP)",
        "Deletable": true,
        "Comment": "",
        "HasSwitchSignLine": false,
        "SwitchSignForReport": false,
        "MultipleInputValues": null,
        "NonPrimaryInput": false,
        "Max": "NaN",
        "Min": "NaN",
        "IsBalanceButNotCorkscrew": false,
        "IsEditable": true,
        "IsConstant": false,
        "UniqueID": "79f60a7b-a070-4f47-9e1f-befe97cc7cae",
        "Dimensions": {
          "$type": "ModelMakerEngine.MMDimensions, ModelMakerEngine",
          "$values": []
        },
        "EquationOBXInternal": "[EBITDA]",
        "NameOfGroup": "Corporation tax",
        "EquationToParse": "[EBITDA]",
        "MostRecentExpectedUnitErrors": null,
        "Units": {
          "$id": "441",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"442",
        "$type": "ModelMaker.VariableNode, ModelMaker",
        "RowTotalDependent": null,
        "PutCalculationOnReport": false,
        "CalculateOnThisReport": null,
        "PivotTableLink": null,
        "NumberFormatOverride": null,
        "HasOpeningBalanceFlag": false,
        "OpeningBalanceFlagAppliedName": "",
        "ToolTip": "\n Is on Corporation tax=MAX([Taxable income / (Tax losses arising)],0) (GBP)",
        "Deletable": true,
        "Comment": "",
        "HasSwitchSignLine": false,
        "SwitchSignForReport": false,
        "MultipleInputValues": null,
        "NonPrimaryInput": false,
        "Max": "NaN",
        "Min": "NaN",
        "IsBalanceButNotCorkscrew": false,
        "IsEditable": true,
        "IsConstant": false,
        "UniqueID": "129aaff2-279e-4559-b28b-95ebf100bd54",
        "Dimensions": {
          "$type": "ModelMakerEngine.MMDimensions, ModelMakerEngine",
          "$values": []
        },
        "EquationOBXInternal": "MAX([Taxable income / (Tax losses arising)],0)",
        "NameOfGroup": "Corporation tax",
        "EquationToParse": "MAX([Taxable income / (Tax losses arising)],0)",
        "MostRecentExpectedUnitErrors": null,
        "Units": {
          "$id": "443",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"444",
        "$type": "ModelMaker.GroupNode, ModelMaker",
        "TabOrHeaderColour": "",
        "Comment": "",
        "NameOfGroup": "Corporation tax",
        "YPosition": 3,
        "Folded": true,
        "Font": null,
        "Children": {
          "$type": "ModelMaker.GroupNodeChildCollection, ModelMaker",
          "$values": [
            {
              "$id": "445",
              "$type": "ModelMaker.VariableNode, ModelMaker",
              "RowTotalDependent": null,
              "PutCalculationOnReport": false,
              "CalculateOnThisReport": null,
              "PivotTableLink": null,
              "NumberFormatOverride": null,
              "HasOpeningBalanceFlag": false,
              "OpeningBalanceFlagAppliedName": "",
              "ToolTip": "\n Is on Corporation tax.Tax losses=0-1*MIN([Taxable income / (Tax losses arising)],0) (GBP)",
              "Deletable": true,
              "Comment": "",
              "HasSwitchSignLine": false,
              "SwitchSignForReport": false,
              "MultipleInputValues": null,
              "NonPrimaryInput": false,
              "Max": "NaN",
              "Min": "NaN",
              "IsBalanceButNotCorkscrew": false,
              "IsEditable": true,
              "IsConstant": false,
              "UniqueID": "b2216ff1-e165-475c-b6d9-078166d68358",
              "Dimensions": {
                "$type": "ModelMakerEngine.MMDimensions, ModelMakerEngine",
                "$values": []
              },
              "EquationOBXInternal": "0-1*MIN([Taxable income / (Tax losses arising)],0)",
              "NameOfGroup": "Corporation tax.Tax losses",
              "EquationToParse": "0-1*MIN([Taxable income / (Tax losses arising)],0)",
              "MostRecentExpectedUnitErrors": null,
              "Units": {
                "$id": "446",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arising",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"447",
              "$type": "ModelMaker.VariableNode, ModelMaker",
              "RowTotalDependent": null,
              "PutCalculationOnReport": false,
              "CalculateOnThisReport": null,
              "PivotTableLink": null,
              "NumberFormatOverride": null,
              "HasOpeningBalanceFlag": false,
              "OpeningBalanceFlagAppliedName": "",
              "ToolTip": "\n Is on Corporation tax.Tax losses=MIN([Taxable income],BEG([Tax losses carried forward balance])) (GBP)",
              "Deletable": true,
              "Comment": "",
              "HasSwitchSignLine": false,
              "SwitchSignForReport": false,
              "MultipleInputValues": null,
              "NonPrimaryInput": false,
              "Max": "NaN",
              "Min": "NaN",
              "IsBalanceButNotCorkscrew": false,
              "IsEditable": true,
              "IsConstant": false,
              "UniqueID": "2ec2e2c7-3272-44c1-b5fa-53d72778b323",
              "Dimensions": {
                "$type": "ModelMakerEngine.MMDimensions, ModelMakerEngine",
                "$values": []
              },
              "EquationOBXInternal": "MIN([Taxable income],BEG([Tax losses carried forward balance]))",
              "NameOfGroup": "Corporation tax.Tax losses",
              "EquationToParse": "MIN([Taxable income],[Tax losses carried forward balance!!BEG])",
              "MostRecentExpectedUnitErrors": null,
              "Units": {
                "$id": "448",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"449",
              "$type": "ModelMaker.StockNode, ModelMaker",
              "OpeningOrActualsName": "",
              "InFlows": {
                "$type": "System.Collections.Generic.List`1[[ModelMakerEngine.IEquationNode, ModelMakerEngine]], mscorlib",
                "$values": [
                  {
                    "$ref": "445"
                  }
                ]
              },
              "OutFlows": {
                "$type": "System.Collections.Generic.List`1[[ModelMakerEngine.IEquationNode, ModelMakerEngine]], mscorlib",
                "$values": [
                  {
                    "$ref": "447"
                  }
                ]
              },
              "FlagApplied": null,
              "ActualsFlag": null,
              "Name": "Tax losses carried forward balance",
              "HasDefaultEquation": false,
              "NonStandardBalanceFormula": false,
              "EquationOBXInternal": "IF([Period number]=1,[Tax losses carried forward - initial balance],BEG()+[Tax losses arising]-[Tax losses utilised])",
              "InitialOpeningVariable": null,
              "Units": {
                "$id": "450",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"Visible": true,
              "RowTotalDependent": null,
              "PutCalculationOnReport": false,
              "CalculateOnThisReport": null,
              "PivotTableLink": null,
              "NumberFormatOverride": null,
              "ToolTip": "\n Is on Corporation tax.Tax losses=IF([Period number]=1,[Tax losses carried forward - initial balance],BEG()+[Tax losses arising]-[Tax losses utilised]) (GBP)",
              "Deletable": true,
              "Comment": "",
              "HasSwitchSignLine": false,
              "SwitchSignForReport": false,
              "MultipleInputValues": null,
              "NonPrimaryInput": false,
              "Max": "NaN",
              "Min": "NaN",
              "IsBalanceButNotCorkscrew": false,
              "IsEditable": true,
              "IsConstant": false,
              "UniqueID": "60aae464-5022-4e6f-bcd8-0f9e4f62d013",
              "Dimensions": {
                "$type": "ModelMakerEngine.MMDimensions, ModelMakerEngine",
                "$values": []
              },
              "NameOfGroup": "Corporation tax.Tax losses",
              "EquationToParse": "IF([Period number]=1,[Tax losses carried forward - initial balance],BEG()+[Tax losses arising]-[Tax losses utilised])",
              "MostRecentExpectedUnitErrors": null,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2,
              "Parent": {
                "$ref": "1"
              },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"Tax losses",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"445"
      },
      {
        "$ref": "447"
      },
      {
        "$ref": "449"
      },
      {
        "$id": "451",
        "$type": "ModelMaker.VariableNode, ModelMaker",
        "RowTotalDependent": null,
        "PutCalculationOnReport": false,
        "CalculateOnThisReport": null,
        "PivotTableLink": null,
        "NumberFormatOverride": null,
        "HasOpeningBalanceFlag": false,
        "OpeningBalanceFlagAppliedName": "",
        "ToolTip": "\n Is on Corporation tax=[Taxable income]-[Tax losses utilised] (GBP)",
        "Deletable": true,
        "Comment": "",
        "HasSwitchSignLine": false,
        "SwitchSignForReport": false,
        "MultipleInputValues": null,
        "NonPrimaryInput": false,
        "Max": "NaN",
        "Min": "NaN",
        "IsBalanceButNotCorkscrew": false,
        "IsEditable": true,
        "IsConstant": false,
        "UniqueID": "2ba3434d-f630-4bc5-a554-49ade532cd99",
        "Dimensions": {
          "$type": "ModelMakerEngine.MMDimensions, ModelMakerEngine",
          "$values": []
        },
        "EquationOBXInternal": "[Taxable income]-[Tax losses utilised]",
        "NameOfGroup": "Corporation tax",
        "EquationToParse": "[Taxable income]-[Tax losses utilised]",
        "MostRecentExpectedUnitErrors": null,
        "Units": {
          "$id": "452",
          "$type": "ModelMaker.Unit, ModelMaker",
          "NumberFormatOverride": null,
          "MatchAnything": false,
          "ExternalRepresentation": "GBP",
          "ItemsOnTop": {
            "$type": "System.Collections.Generic.List`1[[System.String, mscorlib]], mscorlib",
            "$values": [
              "GBP"
            ]
          },
          "ItemsOnBottom": {
            "$type": "System.Collections.Generic.List`1[[System.String, mscorlib]], mscorlib",
            "$values": []
          },
          "IsCurrency": false,
          "ContainsSMU": false,
          "IsDimensionless": false,
          "InsertRowTotal": true,
          "IgnoreWhenDeterminingExpectedUnits": false
        },
        "Name": "Taxable income net of tax losses utilised",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4,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"$ref": "325"
      },
      {
        "$ref": "86"
      },
      {
        "$ref": "189"
      },
      {
        "$ref": "83"
      },
      {
        "$id": "453",
        "$type": "ModelMaker.VariableNode, ModelMaker",
        "RowTotalDependent": null,
        "PutCalculationOnReport": false,
        "CalculateOnThisReport": null,
        "PivotTableLink": null,
        "NumberFormatOverride": null,
        "HasOpeningBalanceFlag": false,
        "OpeningBalanceFlagAppliedName": "",
        "ToolTip": "\n Is on Corporation taxIF(MONTH([Model period start])>[Month corporation tax paid], DATE(YEAR([Model period start])+1, [Month corporation tax paid],1), DATE(YEAR([Model period start]), [Month corporation tax paid],1))",
        "Deletable": true,
        "Comment": "",
        "HasSwitchSignLine": false,
        "SwitchSignForReport": false,
        "MultipleInputValues": null,
        "NonPrimaryInput": false,
        "Max": "NaN",
        "Min": "NaN",
        "IsBalanceButNotCorkscrew": false,
        "IsEditable": true,
        "IsConstant": false,
        "UniqueID": "8db61de2-7867-467c-97c1-eb80225d9415",
        "Dimensions": {
          "$type": "ModelMakerEngine.MMDimensions, ModelMakerEngine",
          "$values": []
        },
        "EquationOBXInternal": "IF(MONTH([Model period start])>[Month corporation tax paid], DATE(YEAR([Model period start])+1, [Month corporation tax paid],1), DATE(YEAR([Model period start]), [Month corporation tax paid],1))",
        "NameOfGroup": "Corporation tax",
        "EquationToParse": "IF(MONTH([Model period start])>[Month corporation tax paid], DATE(YEAR([Model period start])+1, [Month corporation tax paid],1), DATE(YEAR([Model period start]), [Month corporation tax paid],1))",
        "MostRecentExpectedUnitErrors": null,
        "Units": {
          "$id": "454",
          "$type": "ModelMaker.Unit, ModelMaker",
          "NumberFormatOverride": null,
          "MatchAnything": false,
          "ExternalRepresentation": "date",
          "ItemsOnTop": {
            "$type": "System.Collections.Generic.List`1[[System.String, mscorlib]], mscorlib",
            "$values": [
              "DATE"
            ]
          },
          "ItemsOnBottom": {
            "$type": "System.Collections.Generic.List`1[[System.String, mscorlib]], mscorlib",
            "$values": []
          },
          "IsCurrency": false,
          "ContainsSMU": false,
          "IsDimensionless": false,
          "InsertRowTotal": true,
          "IgnoreWhenDeterminingExpectedUnits": false
        },
        "Name": "Date corporation tax paid this year",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7,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"455",
        "$type": "ModelMaker.VariableNode, ModelMaker",
        "RowTotalDependent": null,
        "PutCalculationOnReport": false,
        "CalculateOnThisReport": null,
        "PivotTableLink": null,
        "NumberFormatOverride": null,
        "HasOpeningBalanceFlag": false,
        "OpeningBalanceFlagAppliedName": "",
        "ToolTip": "\n Is on Corporation tax=IF(AND([Date corporation tax paid this year]>=[Model period start],[Date corporation tax paid this year]<=[Model period end]),1,0) (flag)",
        "Deletable": true,
        "Comment": "",
        "HasSwitchSignLine": false,
        "SwitchSignForReport": false,
        "MultipleInputValues": null,
        "NonPrimaryInput": false,
        "Max": "NaN",
        "Min": "NaN",
        "IsBalanceButNotCorkscrew": false,
        "IsEditable": true,
        "IsConstant": false,
        "UniqueID": "026ac305-30e6-4760-9466-850280574db8",
        "Dimensions": {
          "$type": "ModelMakerEngine.MMDimensions, ModelMakerEngine",
          "$values": []
        },
        "EquationOBXInternal": "IF(AND([Date corporation tax paid this year]>=[Model period start],[Date corporation tax paid this year]<=[Model period end]),1,0)",
        "NameOfGroup": "Corporation tax",
        "EquationToParse": "IF(AND([Date corporation tax paid this year]>=[Model period start],[Date corporation tax paid this year]<=[Model period end]),1,0)",
        "MostRecentExpectedUnitErrors": null,
        "Units": {
          "$id": "456",
          "$type": "ModelMaker.Unit, ModelMaker",
          "NumberFormatOverride": null,
          "MatchAnything": false,
          "ExternalRepresentation": "flag",
          "ItemsOnTop": {
            "$type": "System.Collections.Generic.List`1[[System.String, mscorlib]], mscorlib",
            "$values": []
          },
          "ItemsOnBottom": {
            "$type": "System.Collections.Generic.List`1[[System.String, mscorlib]], mscorlib",
            "$values": []
          },
          "IsCurrency": false,
          "ContainsSMU": false,
          "IsDimensionless": false,
          "InsertRowTotal": true,
          "IgnoreWhenDeterminingExpectedUnits": false
        },
        "Name": "Corporation tax paid this period",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8,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57",
        "$type": "ModelMaker.GroupNode, ModelMaker",
        "TabOrHeaderColour": "",
        "Comment": "",
        "NameOfGroup": "Corporation tax",
        "YPosition": 9,
        "Folded": true,
        "Font": null,
        "Children": {
          "$type": "ModelMaker.GroupNodeChildCollection, ModelMaker",
          "$values": [
            {
              "$ref": "16"
            },
            {
              "$ref": "174"
            }
          ]
        },
        "AllowAddChildren": true,
        "AllowRemoveChildren": true,
        "IsImported": false,
        "IsChecksGroup": false,
        "IsAlertsGroup": false,
        "IsChecksAndAlertsGroup": false,
        "IsUnallocatedGroup": false,
        "IsInputsGroup": false,
        "IsFlag": false,
        "IsTimeAndFlagsGroup": false,
        "DimensionsAcross": {
          "$type": "ModelMakerEngine.MMDimensions, ModelMakerEngine",
          "$values": []
        },
        "TimeAxis": 0,
        "IndexInParent": -1,
        "Name": "Corporation tax creditor",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16"
      },
      {
        "$ref": "328"
      },
      {
        "$ref": "174"
      },
      {
        "$id": "458",
        "$type": "ModelMaker.VariableNode, ModelMaker",
        "RowTotalDependent": null,
        "PutCalculationOnReport": false,
        "CalculateOnThisReport": null,
        "PivotTableLink": null,
        "NumberFormatOverride": null,
        "HasOpeningBalanceFlag": false,
        "OpeningBalanceFlagAppliedName": "",
        "ToolTip": "\n Is on Corporation tax=SUM(ALLVALUES([Corporation tax]))/SUM(ALLVALUES([Profit before tax])) (%)",
        "Deletable": true,
        "Comment": "",
        "HasSwitchSignLine": false,
        "SwitchSignForReport": false,
        "MultipleInputValues": null,
        "NonPrimaryInput": false,
        "Max": "NaN",
        "Min": "NaN",
        "IsBalanceButNotCorkscrew": false,
        "IsEditable": true,
        "IsConstant": true,
        "UniqueID": "263f011e-4ca1-47ce-b3a7-63b595cce866",
        "Dimensions": {
          "$type": "ModelMakerEngine.MMDimensions, ModelMakerEngine",
          "$values": []
        },
        "EquationOBXInternal": "SUM(ALLVALUES([Corporation tax]))/SUM(ALLVALUES([Profit before tax]))",
        "NameOfGroup": "Corporation tax",
        "EquationToParse": "SUM(ALLVALUES([Corporation tax]))/SUM(ALLVALUES([Profit before tax]))",
        "MostRecentExpectedUnitErrors": null,
        "Units": {
          "$id": "459",
          "$type": "ModelMaker.Unit, ModelMaker",
          "NumberFormatOverride": null,
          "MatchAnything": false,
          "ExternalRepresentation": "%",
          "ItemsOnTop": {
            "$type": "System.Collections.Generic.List`1[[System.String, mscorlib]], mscorlib",
            "$values": []
          },
          "ItemsOnBottom": {
            "$type": "System.Collections.Generic.List`1[[System.String, mscorlib]], mscorlib",
            "$values": []
          },
          "IsCurrency": false,
          "ContainsSMU": false,
          "IsDimensionless": true,
          "InsertRowTotal": true,
          "IgnoreWhenDeterminingExpectedUnits": false
        },
        "Name": "Effective tax rate",
        "ReportLines": {
          "$type": "ModelMaker.UndoableCollection`1[[ModelMakerEngine.IReportLine, ModelMakerEngine]], ModelMaker.Undo",
          "$values": []
        },
        "IsOpeningBalance": false,
        "ExternalLinks": {
          "$type": "UINext.Collections.DeepObservableCollection`1[[ExternalLinks.IExternalDataLink, ExternalLinks]], UINext",
          "$values": []
        },
        "HasUnits": true,
        "UnitsValid": true,
        "UnitsErrorMessage": "",
        "IgnoreUnitIssues": false,
        "IsPlaceholder": false,
        "StandardName": 0,
        "IsStandardNode": false,
        "WarnMessage": null,
        "StandardDescription": null,
        "HasStandardDescription": false,
        "HasStandardName": false,
        "OptimisationNodePair": null,
        "IsOptimisationNode": false,
        "Actuals": null,
        "UDFCode": null,
        "AssociatedOptimisationNodes": null,
        "CustomNamedRange": null,
        "IsRowTotal": false,
        "YPosition": 10,
        "Parent": {
          "$ref": "1"
        },
        "Visible": true,
        "Font": null,
        "AllowIncomingLinks": true,
        "AllowOutgoingLinks": true,
        "IncomingLinks": {
          "$type": "System.Collections.ObjectModel.Collection`1[[ModelMaker.MMLink, ModelMaker]], mscorlib",
          "$values": []
        },
        "OutgoingLinks": {
          "$type": "System.Collections.ObjectModel.Collection`1[[ModelMaker.MMLink, ModelMaker]], mscorlib",
          "$values": []
        },
        "Issues": null
      },
      {
        "$id": "460",
        "$type": "ModelMaker.GroupNode, ModelMaker",
        "TabOrHeaderColour": "",
        "Comment": "",
        "NameOfGroup": null,
        "YPosition": 0,
        "Folded": false,
        "Font": null,
        "Children": {
          "$type": "ModelMaker.GroupNodeChildCollection, ModelMaker",
          "$values": [
            {
              "$ref": "68"
            },
            {
              "$ref": "440"
            },
            {
              "$ref": "442"
            },
            {
              "$ref": "444"
            },
            {
              "$ref": "451"
            },
            {
              "$ref": "86"
            },
            {
              "$ref": "83"
            },
            {
              "$ref": "453"
            },
            {
              "$ref": "455"
            },
            {
              "$ref": "457"
            },
            {
              "$ref": "458"
            }
          ]
        },
        "AllowAddChildren": true,
        "AllowRemoveChildren": true,
        "IsImported": true,
        "IsChecksGroup": false,
        "IsAlertsGroup": false,
        "IsChecksAndAlertsGroup": false,
        "IsUnallocatedGroup": false,
        "IsInputsGroup": false,
        "IsFlag": false,
        "IsTimeAndFlagsGroup": false,
        "DimensionsAcross": {
          "$type": "ModelMakerEngine.MMDimensions, ModelMakerEngine",
          "$values": []
        },
        "TimeAxis": 0,
        "IndexInParent": 15,
        "Name": "Corporation tax",
        "Parent": {
          "$ref": "1"
        },
        "Visible": true,
        "ToolTip": "",
        "OpeningBalanceFlagAppliedName": "",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ref": "318"
      },
      {
        "$ref": "332"
      },
      {
        "$ref": "399"
      },
      {
        "$ref": "333"
      },
      {
        "$ref": "398"
      }
    ]
  },
  "Reports": {
    "$type": "ModelMaker.UndoableCollection`1[[ModelMakerEngine.IReport, ModelMakerEngine]], ModelMaker.Undo",
    "$values": [
      {
        "$ref": "59"
      },
      {
        "$ref": "91"
      },
      {
        "$ref": "6"
      },
      {
        "$ref": "97"
      },
      {
        "$ref": "425"
      },
      {
        "$id": "461",
        "$type": "ModelMaker.Report, ModelMaker",
        "TimeStep": 5,
        "YearEndBasis": 0,
        "YearEndMonth": 0,
        "AllowTitleChange": true,
        "IsDuplicate": true,
        "ReportLinesCalculated": {
          "$type": "System.Collections.Generic.List`1[[ModelMakerEngine.IReportLine, ModelMakerEngine]], mscorlib",
          "$values": [
            {
              "$ref": "60"
            },
            {
              "$ref": "63"
            },
            {
              "$ref": "65"
            },
            {
              "$ref": "67"
            },
            {
              "$ref": "69"
            },
            {
              "$ref": "71"
            },
            {
              "$ref": "73"
            },
            {
              "$ref": "76"
            },
            {
              "$ref": "79"
            },
            {
              "$ref": "82"
            },
            {
              "$ref": "85"
            },
            {
              "$ref": "58"
            }
          ]
        },
        "ReportLines": {
          "$type": "ModelMaker.UndoableCollection`1[[ModelMakerEngine.IReportLine, ModelMakerEngine]], ModelMaker.Undo",
          "$values": [
            {
              "$ref": "60"
            },
            {
              "$ref": "63"
            },
            {
              "$ref": "65"
            },
            {
              "$ref": "67"
            },
            {
              "$ref": "69"
            },
            {
              "$ref": "71"
            },
            {
              "$ref": "73"
            },
            {
              "$ref": "76"
            },
            {
              "$ref": "79"
            },
            {
              "$ref": "82"
            },
            {
              "$ref": "85"
            },
            {
              "$ref": "58"
            }
          ]
        },
        "YPosition": -1,
        "Name": "Income Statemen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2",
        "$type": "ModelMaker.Report, ModelMaker",
        "TimeStep": 6,
        "YearEndBasis": 0,
        "YearEndMonth": 0,
        "AllowTitleChange": true,
        "IsDuplicate": true,
        "ReportLinesCalculated": {
          "$type": "System.Collections.Generic.List`1[[ModelMakerEngine.IReportLine, ModelMakerEngine]], mscorlib",
          "$values": [
            {
              "$ref": "60"
            },
            {
              "$ref": "63"
            },
            {
              "$ref": "65"
            },
            {
              "$ref": "67"
            },
            {
              "$ref": "69"
            },
            {
              "$ref": "71"
            },
            {
              "$ref": "73"
            },
            {
              "$ref": "76"
            },
            {
              "$ref": "79"
            },
            {
              "$ref": "82"
            },
            {
              "$ref": "85"
            },
            {
              "$ref": "58"
            }
          ]
        },
        "ReportLines": {
          "$type": "ModelMaker.UndoableCollection`1[[ModelMakerEngine.IReportLine, ModelMakerEngine]], ModelMaker.Undo",
          "$values": [
            {
              "$ref": "60"
            },
            {
              "$ref": "63"
            },
            {
              "$ref": "65"
            },
            {
              "$ref": "67"
            },
            {
              "$ref": "69"
            },
            {
              "$ref": "71"
            },
            {
              "$ref": "73"
            },
            {
              "$ref": "76"
            },
            {
              "$ref": "79"
            },
            {
              "$ref": "82"
            },
            {
              "$ref": "85"
            },
            {
              "$ref": "58"
            }
          ]
        },
        "YPosition": -1,
        "Name": "Income Statemen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3",
        "$type": "ModelMaker.Report, ModelMaker",
        "TimeStep": 7,
        "YearEndBasis": 0,
        "YearEndMonth": 0,
        "AllowTitleChange": true,
        "IsDuplicate": true,
        "ReportLinesCalculated": {
          "$type": "System.Collections.Generic.List`1[[ModelMakerEngine.IReportLine, ModelMakerEngine]], mscorlib",
          "$values": [
            {
              "$ref": "60"
            },
            {
              "$ref": "63"
            },
            {
              "$ref": "65"
            },
            {
              "$ref": "67"
            },
            {
              "$ref": "69"
            },
            {
              "$ref": "71"
            },
            {
              "$ref": "73"
            },
            {
              "$ref": "76"
            },
            {
              "$ref": "79"
            },
            {
              "$ref": "82"
            },
            {
              "$ref": "85"
            },
            {
              "$ref": "58"
            }
          ]
        },
        "ReportLines": {
          "$type": "ModelMaker.UndoableCollection`1[[ModelMakerEngine.IReportLine, ModelMakerEngine]], ModelMaker.Undo",
          "$values": [
            {
              "$ref": "60"
            },
            {
              "$ref": "63"
            },
            {
              "$ref": "65"
            },
            {
              "$ref": "67"
            },
            {
              "$ref": "69"
            },
            {
              "$ref": "71"
            },
            {
              "$ref": "73"
            },
            {
              "$ref": "76"
            },
            {
              "$ref": "79"
            },
            {
              "$ref": "82"
            },
            {
              "$ref": "85"
            },
            {
              "$ref": "58"
            }
          ]
        },
        "YPosition": -1,
        "Name": "Income Statemen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4",
        "$type": "ModelMaker.Report, ModelMaker",
        "TimeStep": 5,
        "YearEndBasis": 0,
        "YearEndMonth": 0,
        "AllowTitleChange": true,
        "IsDuplicate": true,
        "ReportLinesCalculated": {
          "$type": "System.Collections.Generic.List`1[[ModelMakerEngine.IReportLine, ModelMakerEngine]], mscorlib",
          "$values": [
            {
              "$ref": "92"
            },
            {
              "$ref": "131"
            },
            {
              "$ref": "134"
            },
            {
              "$ref": "141"
            },
            {
              "$ref": "90"
            },
            {
              "$ref": "143"
            },
            {
              "$ref": "146"
            },
            {
              "$ref": "153"
            },
            {
              "$ref": "158"
            },
            {
              "$ref": "163"
            },
            {
              "$ref": "168"
            },
            {
              "$ref": "173"
            },
            {
              "$ref": "176"
            },
            {
              "$ref": "178"
            },
            {
              "$ref": "181"
            },
            {
              "$ref": "183"
            },
            {
              "$ref": "185"
            }
          ]
        },
        "ReportLines": {
          "$type": "ModelMaker.UndoableCollection`1[[ModelMakerEngine.IReportLine, ModelMakerEngine]], ModelMaker.Undo",
          "$values": [
            {
              "$ref": "92"
            },
            {
              "$ref": "131"
            },
            {
              "$ref": "134"
            },
            {
              "$ref": "141"
            },
            {
              "$ref": "90"
            },
            {
              "$ref": "143"
            },
            {
              "$ref": "146"
            },
            {
              "$ref": "153"
            },
            {
              "$ref": "158"
            },
            {
              "$ref": "163"
            },
            {
              "$ref": "168"
            },
            {
              "$ref": "173"
            },
            {
              "$ref": "176"
            },
            {
              "$ref": "178"
            },
            {
              "$ref": "181"
            },
            {
              "$ref": "183"
            },
            {
              "$ref": "185"
            }
          ]
        },
        "YPosition": -1,
        "Name": "Balance Shee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5",
        "$type": "ModelMaker.Report, ModelMaker",
        "TimeStep": 6,
        "YearEndBasis": 0,
        "YearEndMonth": 0,
        "AllowTitleChange": true,
        "IsDuplicate": true,
        "ReportLinesCalculated": {
          "$type": "System.Collections.Generic.List`1[[ModelMakerEngine.IReportLine, ModelMakerEngine]], mscorlib",
          "$values": [
            {
              "$ref": "92"
            },
            {
              "$ref": "131"
            },
            {
              "$ref": "134"
            },
            {
              "$ref": "141"
            },
            {
              "$ref": "90"
            },
            {
              "$ref": "143"
            },
            {
              "$ref": "146"
            },
            {
              "$ref": "153"
            },
            {
              "$ref": "158"
            },
            {
              "$ref": "163"
            },
            {
              "$ref": "168"
            },
            {
              "$ref": "173"
            },
            {
              "$ref": "176"
            },
            {
              "$ref": "178"
            },
            {
              "$ref": "181"
            },
            {
              "$ref": "183"
            },
            {
              "$ref": "185"
            }
          ]
        },
        "ReportLines": {
          "$type": "ModelMaker.UndoableCollection`1[[ModelMakerEngine.IReportLine, ModelMakerEngine]], ModelMaker.Undo",
          "$values": [
            {
              "$ref": "92"
            },
            {
              "$ref": "131"
            },
            {
              "$ref": "134"
            },
            {
              "$ref": "141"
            },
            {
              "$ref": "90"
            },
            {
              "$ref": "143"
            },
            {
              "$ref": "146"
            },
            {
              "$ref": "153"
            },
            {
              "$ref": "158"
            },
            {
              "$ref": "163"
            },
            {
              "$ref": "168"
            },
            {
              "$ref": "173"
            },
            {
              "$ref": "176"
            },
            {
              "$ref": "178"
            },
            {
              "$ref": "181"
            },
            {
              "$ref": "183"
            },
            {
              "$ref": "185"
            }
          ]
        },
        "YPosition": -1,
        "Name": "Balance Shee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6",
        "$type": "ModelMaker.Report, ModelMaker",
        "TimeStep": 7,
        "YearEndBasis": 0,
        "YearEndMonth": 0,
        "AllowTitleChange": true,
        "IsDuplicate": true,
        "ReportLinesCalculated": {
          "$type": "System.Collections.Generic.List`1[[ModelMakerEngine.IReportLine, ModelMakerEngine]], mscorlib",
          "$values": [
            {
              "$ref": "92"
            },
            {
              "$ref": "131"
            },
            {
              "$ref": "134"
            },
            {
              "$ref": "141"
            },
            {
              "$ref": "90"
            },
            {
              "$ref": "143"
            },
            {
              "$ref": "146"
            },
            {
              "$ref": "153"
            },
            {
              "$ref": "158"
            },
            {
              "$ref": "163"
            },
            {
              "$ref": "168"
            },
            {
              "$ref": "173"
            },
            {
              "$ref": "176"
            },
            {
              "$ref": "178"
            },
            {
              "$ref": "181"
            },
            {
              "$ref": "183"
            },
            {
              "$ref": "185"
            }
          ]
        },
        "ReportLines": {
          "$type": "ModelMaker.UndoableCollection`1[[ModelMakerEngine.IReportLine, ModelMakerEngine]], ModelMaker.Undo",
          "$values": [
            {
              "$ref": "92"
            },
            {
              "$ref": "131"
            },
            {
              "$ref": "134"
            },
            {
              "$ref": "141"
            },
            {
              "$ref": "90"
            },
            {
              "$ref": "143"
            },
            {
              "$ref": "146"
            },
            {
              "$ref": "153"
            },
            {
              "$ref": "158"
            },
            {
              "$ref": "163"
            },
            {
              "$ref": "168"
            },
            {
              "$ref": "173"
            },
            {
              "$ref": "176"
            },
            {
              "$ref": "178"
            },
            {
              "$ref": "181"
            },
            {
              "$ref": "183"
            },
            {
              "$ref": "185"
            }
          ]
        },
        "YPosition": -1,
        "Name": "Balance Shee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7",
        "$type": "ModelMaker.Report, ModelMaker",
        "TimeStep": 5,
        "YearEndBasis": 0,
        "YearEndMonth": 0,
        "AllowTitleChange": true,
        "IsDuplicate": true,
        "ReportLinesCalculated": {
          "$type": "System.Collections.Generic.List`1[[ModelMakerEngine.IReportLine, ModelMakerEngine]], mscorlib",
          "$values": [
            {
              "$ref": "7"
            },
            {
              "$ref": "10"
            },
            {
              "$ref": "12"
            },
            {
              "$ref": "15"
            },
            {
              "$ref": "19"
            },
            {
              "$ref": "21"
            },
            {
              "$ref": "24"
            },
            {
              "$ref": "26"
            },
            {
              "$ref": "29"
            },
            {
              "$ref": "32"
            },
            {
              "$ref": "35"
            },
            {
              "$ref": "38"
            },
            {
              "$ref": "41"
            },
            {
              "$ref": "44"
            },
            {
              "$ref": "47"
            },
            {
              "$ref": "50"
            },
            {
              "$ref": "53"
            },
            {
              "$ref": "55"
            },
            {
              "$ref": "5"
            }
          ]
        },
        "ReportLines": {
          "$type": "ModelMaker.UndoableCollection`1[[ModelMakerEngine.IReportLine, ModelMakerEngine]], ModelMaker.Undo",
          "$values": [
            {
              "$ref": "7"
            },
            {
              "$ref": "10"
            },
            {
              "$ref": "12"
            },
            {
              "$ref": "15"
            },
            {
              "$ref": "19"
            },
            {
              "$ref": "21"
            },
            {
              "$ref": "24"
            },
            {
              "$ref": "26"
            },
            {
              "$ref": "29"
            },
            {
              "$ref": "32"
            },
            {
              "$ref": "35"
            },
            {
              "$ref": "38"
            },
            {
              "$ref": "41"
            },
            {
              "$ref": "44"
            },
            {
              "$ref": "47"
            },
            {
              "$ref": "50"
            },
            {
              "$ref": "53"
            },
            {
              "$ref": "55"
            },
            {
              "$ref": "5"
            }
          ]
        },
        "YPosition": -1,
        "Name": "Cashflow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8",
        "$type": "ModelMaker.Report, ModelMaker",
        "TimeStep": 6,
        "YearEndBasis": 0,
        "YearEndMonth": 0,
        "AllowTitleChange": true,
        "IsDuplicate": true,
        "ReportLinesCalculated": {
          "$type": "System.Collections.Generic.List`1[[ModelMakerEngine.IReportLine, ModelMakerEngine]], mscorlib",
          "$values": [
            {
              "$ref": "7"
            },
            {
              "$ref": "10"
            },
            {
              "$ref": "12"
            },
            {
              "$ref": "15"
            },
            {
              "$ref": "19"
            },
            {
              "$ref": "21"
            },
            {
              "$ref": "24"
            },
            {
              "$ref": "26"
            },
            {
              "$ref": "29"
            },
            {
              "$ref": "32"
            },
            {
              "$ref": "35"
            },
            {
              "$ref": "38"
            },
            {
              "$ref": "41"
            },
            {
              "$ref": "44"
            },
            {
              "$ref": "47"
            },
            {
              "$ref": "50"
            },
            {
              "$ref": "53"
            },
            {
              "$ref": "55"
            },
            {
              "$ref": "5"
            }
          ]
        },
        "ReportLines": {
          "$type": "ModelMaker.UndoableCollection`1[[ModelMakerEngine.IReportLine, ModelMakerEngine]], ModelMaker.Undo",
          "$values": [
            {
              "$ref": "7"
            },
            {
              "$ref": "10"
            },
            {
              "$ref": "12"
            },
            {
              "$ref": "15"
            },
            {
              "$ref": "19"
            },
            {
              "$ref": "21"
            },
            {
              "$ref": "24"
            },
            {
              "$ref": "26"
            },
            {
              "$ref": "29"
            },
            {
              "$ref": "32"
            },
            {
              "$ref": "35"
            },
            {
              "$ref": "38"
            },
            {
              "$ref": "41"
            },
            {
              "$ref": "44"
            },
            {
              "$ref": "47"
            },
            {
              "$ref": "50"
            },
            {
              "$ref": "53"
            },
            {
              "$ref": "55"
            },
            {
              "$ref": "5"
            }
          ]
        },
        "YPosition": -1,
        "Name": "Cashflow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69",
        "$type": "ModelMaker.Report, ModelMaker",
        "TimeStep": 7,
        "YearEndBasis": 0,
        "YearEndMonth": 0,
        "AllowTitleChange": true,
        "IsDuplicate": true,
        "ReportLinesCalculated": {
          "$type": "System.Collections.Generic.List`1[[ModelMakerEngine.IReportLine, ModelMakerEngine]], mscorlib",
          "$values": [
            {
              "$ref": "7"
            },
            {
              "$ref": "10"
            },
            {
              "$ref": "12"
            },
            {
              "$ref": "15"
            },
            {
              "$ref": "19"
            },
            {
              "$ref": "21"
            },
            {
              "$ref": "24"
            },
            {
              "$ref": "26"
            },
            {
              "$ref": "29"
            },
            {
              "$ref": "32"
            },
            {
              "$ref": "35"
            },
            {
              "$ref": "38"
            },
            {
              "$ref": "41"
            },
            {
              "$ref": "44"
            },
            {
              "$ref": "47"
            },
            {
              "$ref": "50"
            },
            {
              "$ref": "53"
            },
            {
              "$ref": "55"
            },
            {
              "$ref": "5"
            }
          ]
        },
        "ReportLines": {
          "$type": "ModelMaker.UndoableCollection`1[[ModelMakerEngine.IReportLine, ModelMakerEngine]], ModelMaker.Undo",
          "$values": [
            {
              "$ref": "7"
            },
            {
              "$ref": "10"
            },
            {
              "$ref": "12"
            },
            {
              "$ref": "15"
            },
            {
              "$ref": "19"
            },
            {
              "$ref": "21"
            },
            {
              "$ref": "24"
            },
            {
              "$ref": "26"
            },
            {
              "$ref": "29"
            },
            {
              "$ref": "32"
            },
            {
              "$ref": "35"
            },
            {
              "$ref": "38"
            },
            {
              "$ref": "41"
            },
            {
              "$ref": "44"
            },
            {
              "$ref": "47"
            },
            {
              "$ref": "50"
            },
            {
              "$ref": "53"
            },
            {
              "$ref": "55"
            },
            {
              "$ref": "5"
            }
          ]
        },
        "YPosition": -1,
        "Name": "Cashflow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0",
        "$type": "ModelMaker.Report, ModelMaker",
        "TimeStep": 5,
        "YearEndBasis": 0,
        "YearEndMonth": 0,
        "AllowTitleChange": true,
        "IsDuplicate": true,
        "ReportLinesCalculated": {
          "$type": "System.Collections.Generic.List`1[[ModelMakerEngine.IReportLine, ModelMakerEngine]], mscorlib",
          "$values": [
            {
              "$ref": "98"
            },
            {
              "$ref": "101"
            },
            {
              "$ref": "104"
            },
            {
              "$ref": "96"
            },
            {
              "$ref": "109"
            },
            {
              "$ref": "113"
            },
            {
              "$ref": "115"
            },
            {
              "$ref": "118"
            },
            {
              "$ref": "122"
            },
            {
              "$ref": "127"
            },
            {
              "$ref": "125"
            }
          ]
        },
        "ReportLines": {
          "$type": "ModelMaker.UndoableCollection`1[[ModelMakerEngine.IReportLine, ModelMakerEngine]], ModelMaker.Undo",
          "$values": [
            {
              "$ref": "98"
            },
            {
              "$ref": "101"
            },
            {
              "$ref": "104"
            },
            {
              "$ref": "96"
            },
            {
              "$ref": "109"
            },
            {
              "$ref": "113"
            },
            {
              "$ref": "115"
            },
            {
              "$ref": "118"
            },
            {
              "$ref": "122"
            },
            {
              "$ref": "127"
            },
            {
              "$ref": "125"
            }
          ]
        },
        "YPosition": -1,
        "Name": "Inventory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1",
        "$type": "ModelMaker.Report, ModelMaker",
        "TimeStep": 6,
        "YearEndBasis": 0,
        "YearEndMonth": 0,
        "AllowTitleChange": true,
        "IsDuplicate": true,
        "ReportLinesCalculated": {
          "$type": "System.Collections.Generic.List`1[[ModelMakerEngine.IReportLine, ModelMakerEngine]], mscorlib",
          "$values": [
            {
              "$ref": "98"
            },
            {
              "$ref": "101"
            },
            {
              "$ref": "104"
            },
            {
              "$ref": "96"
            },
            {
              "$ref": "109"
            },
            {
              "$ref": "113"
            },
            {
              "$ref": "115"
            },
            {
              "$ref": "118"
            },
            {
              "$ref": "122"
            },
            {
              "$ref": "127"
            },
            {
              "$ref": "125"
            }
          ]
        },
        "ReportLines": {
          "$type": "ModelMaker.UndoableCollection`1[[ModelMakerEngine.IReportLine, ModelMakerEngine]], ModelMaker.Undo",
          "$values": [
            {
              "$ref": "98"
            },
            {
              "$ref": "101"
            },
            {
              "$ref": "104"
            },
            {
              "$ref": "96"
            },
            {
              "$ref": "109"
            },
            {
              "$ref": "113"
            },
            {
              "$ref": "115"
            },
            {
              "$ref": "118"
            },
            {
              "$ref": "122"
            },
            {
              "$ref": "127"
            },
            {
              "$ref": "125"
            }
          ]
        },
        "YPosition": -1,
        "Name": "Inventory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2",
        "$type": "ModelMaker.Report, ModelMaker",
        "TimeStep": 7,
        "YearEndBasis": 0,
        "YearEndMonth": 0,
        "AllowTitleChange": true,
        "IsDuplicate": true,
        "ReportLinesCalculated": {
          "$type": "System.Collections.Generic.List`1[[ModelMakerEngine.IReportLine, ModelMakerEngine]], mscorlib",
          "$values": [
            {
              "$ref": "98"
            },
            {
              "$ref": "101"
            },
            {
              "$ref": "104"
            },
            {
              "$ref": "96"
            },
            {
              "$ref": "109"
            },
            {
              "$ref": "113"
            },
            {
              "$ref": "115"
            },
            {
              "$ref": "118"
            },
            {
              "$ref": "122"
            },
            {
              "$ref": "127"
            },
            {
              "$ref": "125"
            }
          ]
        },
        "ReportLines": {
          "$type": "ModelMaker.UndoableCollection`1[[ModelMakerEngine.IReportLine, ModelMakerEngine]], ModelMaker.Undo",
          "$values": [
            {
              "$ref": "98"
            },
            {
              "$ref": "101"
            },
            {
              "$ref": "104"
            },
            {
              "$ref": "96"
            },
            {
              "$ref": "109"
            },
            {
              "$ref": "113"
            },
            {
              "$ref": "115"
            },
            {
              "$ref": "118"
            },
            {
              "$ref": "122"
            },
            {
              "$ref": "127"
            },
            {
              "$ref": "125"
            }
          ]
        },
        "YPosition": -1,
        "Name": "Inventory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3",
        "$type": "ModelMaker.Report, ModelMaker",
        "TimeStep": 5,
        "YearEndBasis": 0,
        "YearEndMonth": 0,
        "AllowTitleChange": true,
        "IsDuplicate": true,
        "ReportLinesCalculated": {
          "$type": "System.Collections.Generic.List`1[[ModelMakerEngine.IReportLine, ModelMakerEngine]], mscorlib",
          "$values": [
            {
              "$ref": "424"
            }
          ]
        },
        "ReportLines": {
          "$type": "ModelMaker.UndoableCollection`1[[ModelMakerEngine.IReportLine, ModelMakerEngine]], ModelMaker.Undo",
          "$values": [
            {
              "$ref": "424"
            }
          ]
        },
        "YPosition": -1,
        "Name": "Metrics Report base",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4",
        "$type": "ModelMaker.Report, ModelMaker",
        "TimeStep": 6,
        "YearEndBasis": 0,
        "YearEndMonth": 0,
        "AllowTitleChange": true,
        "IsDuplicate": true,
        "ReportLinesCalculated": {
          "$type": "System.Collections.Generic.List`1[[ModelMakerEngine.IReportLine, ModelMakerEngine]], mscorlib",
          "$values": [
            {
              "$ref": "424"
            }
          ]
        },
        "ReportLines": {
          "$type": "ModelMaker.UndoableCollection`1[[ModelMakerEngine.IReportLine, ModelMakerEngine]], ModelMaker.Undo",
          "$values": [
            {
              "$ref": "424"
            }
          ]
        },
        "YPosition": -1,
        "Name": "Metrics Report base 1",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id": "475",
        "$type": "ModelMaker.Report, ModelMaker",
        "TimeStep": 7,
        "YearEndBasis": 0,
        "YearEndMonth": 0,
        "AllowTitleChange": true,
        "IsDuplicate": true,
        "ReportLinesCalculated": {
          "$type": "System.Collections.Generic.List`1[[ModelMakerEngine.IReportLine, ModelMakerEngine]], mscorlib",
          "$values": [
            {
              "$ref": "424"
            }
          ]
        },
        "ReportLines": {
          "$type": "ModelMaker.UndoableCollection`1[[ModelMakerEngine.IReportLine, ModelMakerEngine]], ModelMaker.Undo",
          "$values": [
            {
              "$ref": "424"
            }
          ]
        },
        "YPosition": -1,
        "Name": "Metrics Report base 2",
        "Parent": {
          "$ref": "1"
        },
        "Visible": true,
        "ToolTip": "",
        "OpeningBalanceFlagAppliedName": "",
        "Font": null,
        "AllowIncomingLinks": true,
        "AllowOutgoingLinks": true,
        "IncomingLinks": {
          "$type": "System.Collections.ObjectModel.Collection`1[[ModelMaker.MMLink, ModelMaker]], mscorlib",
          "$values": []
        },
        "OutgoingLinks": {
          "$type": "System.Collections.ObjectModel.Collection`1[[ModelMaker.MMLink, ModelMaker]], mscorlib",
          "$values": []
        },
        "Deletable": true,
        "Issues": null
      }
    ]
  },
  "TopLevelNodes": {
    "$type": "ModelMaker.UndoableCollection`1[[ModelMakerEngine.INode, ModelMakerEngine]], ModelMaker.Undo",
    "$values": [
      {
        "$ref": "3"
      },
      {
        "$ref": "187"
      },
      {
        "$ref": "335"
      },
      {
        "$ref": "426"
      },
      {
        "$ref": "413"
      },
      {
        "$ref": "407"
      },
      {
        "$ref": "415"
      },
      {
        "$ref": "406"
      },
      {
        "$ref": "429"
      },
      {
        "$ref": "416"
      },
      {
        "$ref": "414"
      },
      {
        "$ref": "422"
      },
      {
        "$ref": "419"
      },
      {
        "$ref": "432"
      },
      {
        "$ref": "439"
      },
      {
        "$ref": "460"
      },
      {
        "$ref": "427"
      },
      {
        "$ref": "405"
      },
      {
        "$ref": "410"
      }
    ]
  },
  "OptimisationGroup": {
    "$ref": "410"
  },
  "NumberOfBuiltInGroups": 6,
  "Password": null,
  "ProtectBook": false,
  "Description": null,
  "ActualsHelper": null,
  "StandardNumberFormats": {
    "$id": "476",
    "$type": "System.Collections.Generic.Dictionary`2[[ModelMakerEngine.NamedNumberFormat, ModelMakerEngine],[System.String, mscorlib]], mscorlib"
  },
  "UseHybridTimeline": false,
  "MessageChoices": {
    "$id": "477",
    "$type": "System.Collections.Generic.Dictionary`2[[System.String, mscorlib],[System.Int32, mscorlib]], mscorlib",
    "UnusedItems": 2
  },
  "UnitNumberFormatMapping": {
    "$id": "478",
    "$type": "ModelMakerEngine.UnitNumberFormatMapping, ModelMakerEngine",
    "UnitNumberFormatting": {
      "$id": "479",
      "$type": "System.Collections.Generic.Dictionary`2[[System.String, mscorlib],[ModelMakerEngine.NamedNumberFormat, ModelMakerEngine]], mscorlib"
    },
    "UnitCustomNumberFormatting": {
      "$id": "480",
      "$type": "System.Collections.Generic.Dictionary`2[[System.String, mscorlib],[System.String, mscorlib]], mscorlib"
    }
  },
  "TableSections": {
    "$type": "System.Linq.Enumerable+WhereEnumerableIterator`1[[ModelMakerEngine.IGroupNode, ModelMakerEngine]], System.Core",
    "$values": []
  },
  "ScenarioNamesInModel": {
    "$type": "System.Collections.Generic.List`1[[System.String, mscorlib]], mscorlib",
    "$values": [
      " Base case 1 ",
      " Base case 2 ",
      " Base case 3 ",
      " Scenario 1 ",
      " Scenario 2 ",
      " Scenario 3 ",
      " Scenario 4 "
    ]
  }
}]]>  <Options>
    <TotalsColumn Value="8"/>
    <ConstantsColumn Value="6"/>
    <InputRow Value="7"/>
    <FirstTimeColumn Value="10"/>
    <UnitsColumn Value="7"/>
    <InputName Value="5"/>
    <OutputFileName Value="C:\Users\andyd\OneDrive\Documents\Financial Models\AQR\Aquarate.xlsx"/>
    <SpacingBetweenBlocks Value="1"/>
    <SpacingBetweenFormulas Value="0"/>
    <SpacingBetweenInputs Value="0"/>
    <SpacingRowsSmall Value="False"/>
    <SpacingRowsSize Value="4"/>
    <TimeRow Value="2"/>
    <InputLayout Value="ConstantsSeparate"/>
    <CalcsLayout Value="Group"/>
    <ExcelFormat Value="2"/>
    <SaveAsXLSB Value="False"/>
    <DimensionsInSeparateColumn Value="False"/>
    <GroupCalculationandResultBlocks Value="True"/>
    <GroupSections Value="True"/>
    <FlagNotAsPercent Value="True"/>
    <Formulanamesonallrows Value="True"/>
    <OpeningBalancesText Value=""/>
    <ClosingBalancetext Value=""/>
    <FreezeFrames Value="True"/>
    <EnforceOneFormula Value="False"/>
    <HideGridlines Value="True"/>
    <ResultsLayout Value="Group"/>
    <GroupBlocks Value="True"/>
    <FASTBlocks Value="True"/>
    <FASTImportColor Value="True"/>
    <FASTExportColor Value="True"/>
    <FASTSpacing Value="True"/>
    <FastColorCounterflows Value="False"/>
    <FASTTotalsColumn Value="8"/>
    <FASTLiveLabels Value="True"/>
    <FASTVBAScenarios Value="False"/>
    <FASTPyramidStructure Value="True"/>
    <FASTRowAnchorLinks Value="True"/>
    <ReviewColumn Value="False"/>
  </Options>
</ModelMaker>
</file>

<file path=customXml/itemProps1.xml><?xml version="1.0" encoding="utf-8"?>
<ds:datastoreItem xmlns:ds="http://schemas.openxmlformats.org/officeDocument/2006/customXml" ds:itemID="{547AF860-E76F-4F23-93D6-45E28C7EAA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273</vt:i4>
      </vt:variant>
    </vt:vector>
  </HeadingPairs>
  <TitlesOfParts>
    <vt:vector size="323" baseType="lpstr">
      <vt:lpstr>SQRNavigation</vt:lpstr>
      <vt:lpstr>SQRBindings</vt:lpstr>
      <vt:lpstr>SQRAnnual</vt:lpstr>
      <vt:lpstr>SQRMonthly</vt:lpstr>
      <vt:lpstr>Cover</vt:lpstr>
      <vt:lpstr>Contents</vt:lpstr>
      <vt:lpstr>InpC</vt:lpstr>
      <vt:lpstr>InpS</vt:lpstr>
      <vt:lpstr>InpT</vt:lpstr>
      <vt:lpstr>Time</vt:lpstr>
      <vt:lpstr>Unallocated</vt:lpstr>
      <vt:lpstr>Metrics</vt:lpstr>
      <vt:lpstr>Financials</vt:lpstr>
      <vt:lpstr>Customers</vt:lpstr>
      <vt:lpstr>Income</vt:lpstr>
      <vt:lpstr>Inventory</vt:lpstr>
      <vt:lpstr>Assets</vt:lpstr>
      <vt:lpstr>Expense</vt:lpstr>
      <vt:lpstr>Working Capital</vt:lpstr>
      <vt:lpstr>Invoice finance</vt:lpstr>
      <vt:lpstr>Supply Chain finance</vt:lpstr>
      <vt:lpstr>Asset Finance</vt:lpstr>
      <vt:lpstr>VAT</vt:lpstr>
      <vt:lpstr>Corporation tax</vt:lpstr>
      <vt:lpstr>Equity</vt:lpstr>
      <vt:lpstr>Model Checks and Alerts</vt:lpstr>
      <vt:lpstr>Income Statement Ann</vt:lpstr>
      <vt:lpstr>Balance Sheet Ann</vt:lpstr>
      <vt:lpstr>Cashflow Ann</vt:lpstr>
      <vt:lpstr>Inventory Report Ann</vt:lpstr>
      <vt:lpstr>Metrics Report Ann</vt:lpstr>
      <vt:lpstr>Income Statement</vt:lpstr>
      <vt:lpstr>Income Statement Qly</vt:lpstr>
      <vt:lpstr>Income Statement SemiAnnually</vt:lpstr>
      <vt:lpstr>Balance Sheet</vt:lpstr>
      <vt:lpstr>Balance Sheet Qly</vt:lpstr>
      <vt:lpstr>Balance Sheet SemiAnnually</vt:lpstr>
      <vt:lpstr>Cashflow</vt:lpstr>
      <vt:lpstr>Cashflow Qly</vt:lpstr>
      <vt:lpstr>Cashflow SemiAnnually</vt:lpstr>
      <vt:lpstr>Inventory Report</vt:lpstr>
      <vt:lpstr>Inventory Report Qly</vt:lpstr>
      <vt:lpstr>Inventory Report SemiAnnually</vt:lpstr>
      <vt:lpstr>Metrics Report</vt:lpstr>
      <vt:lpstr>Metrics Report Qly</vt:lpstr>
      <vt:lpstr>Metrics Report SemiAnnually</vt:lpstr>
      <vt:lpstr>Results Table</vt:lpstr>
      <vt:lpstr>Output</vt:lpstr>
      <vt:lpstr>Issues</vt:lpstr>
      <vt:lpstr>Styles</vt:lpstr>
      <vt:lpstr>Asset_Finance_balance</vt:lpstr>
      <vt:lpstr>Asset_Finance_balance.BEG</vt:lpstr>
      <vt:lpstr>Asset_Finance_balance.FLOW</vt:lpstr>
      <vt:lpstr>Asset_Finance_drawdown</vt:lpstr>
      <vt:lpstr>Asset_Finance_interest</vt:lpstr>
      <vt:lpstr>Asset_Finance_interest.NEG</vt:lpstr>
      <vt:lpstr>Asset_Finance_interest_paid</vt:lpstr>
      <vt:lpstr>Asset_Finance_interest_paid.NEG</vt:lpstr>
      <vt:lpstr>Asset_Finance_principal_repayment</vt:lpstr>
      <vt:lpstr>Asset_Finance_principal_repayment.NEG</vt:lpstr>
      <vt:lpstr>Assets</vt:lpstr>
      <vt:lpstr>CASE_ACTIVE</vt:lpstr>
      <vt:lpstr>CASE_COMPARISON</vt:lpstr>
      <vt:lpstr>Cash</vt:lpstr>
      <vt:lpstr>Cash.BEG</vt:lpstr>
      <vt:lpstr>Cash.FLOW</vt:lpstr>
      <vt:lpstr>Cash_in_from_Sales</vt:lpstr>
      <vt:lpstr>Cash_out_on_Inventory</vt:lpstr>
      <vt:lpstr>Cash_out_on_Inventory.NEG</vt:lpstr>
      <vt:lpstr>Cash_out_on_Operating_Expense</vt:lpstr>
      <vt:lpstr>Cash_out_on_Operating_Expense.NEG</vt:lpstr>
      <vt:lpstr>CF_after_capex</vt:lpstr>
      <vt:lpstr>CF_after_financing</vt:lpstr>
      <vt:lpstr>Constants</vt:lpstr>
      <vt:lpstr>Corporation_tax</vt:lpstr>
      <vt:lpstr>Corporation_tax.NEG</vt:lpstr>
      <vt:lpstr>Corporation_tax_creditor</vt:lpstr>
      <vt:lpstr>Corporation_tax_creditor.BEG</vt:lpstr>
      <vt:lpstr>Corporation_tax_creditor.FLOW</vt:lpstr>
      <vt:lpstr>Corporation_tax_paid</vt:lpstr>
      <vt:lpstr>Corporation_tax_paid.NEG</vt:lpstr>
      <vt:lpstr>Creditors</vt:lpstr>
      <vt:lpstr>Creditors.BEG</vt:lpstr>
      <vt:lpstr>Creditors.FLOW</vt:lpstr>
      <vt:lpstr>Customer_Orders_Awaiting_Fullfilment</vt:lpstr>
      <vt:lpstr>Customer_Orders_Awaiting_Fullfilment.BEG</vt:lpstr>
      <vt:lpstr>Customer_Orders_Awaiting_Fullfilment.FLOW</vt:lpstr>
      <vt:lpstr>Debtors</vt:lpstr>
      <vt:lpstr>Debtors.BEG</vt:lpstr>
      <vt:lpstr>Debtors.FLOW</vt:lpstr>
      <vt:lpstr>Deferred_Income</vt:lpstr>
      <vt:lpstr>Deferred_Income.BEG</vt:lpstr>
      <vt:lpstr>Deferred_Income.FLOW</vt:lpstr>
      <vt:lpstr>Deployed_units_returned</vt:lpstr>
      <vt:lpstr>Depreciation</vt:lpstr>
      <vt:lpstr>Depreciation.BEG</vt:lpstr>
      <vt:lpstr>Depreciation.FLOW</vt:lpstr>
      <vt:lpstr>Depreciation.NEG</vt:lpstr>
      <vt:lpstr>Depreciation_this_period</vt:lpstr>
      <vt:lpstr>Depreciation_this_period.NEG</vt:lpstr>
      <vt:lpstr>EBIT</vt:lpstr>
      <vt:lpstr>EBITDA</vt:lpstr>
      <vt:lpstr>ExampleInputRow</vt:lpstr>
      <vt:lpstr>InpC!FirstDifferenceCell</vt:lpstr>
      <vt:lpstr>InpC!FirstRow</vt:lpstr>
      <vt:lpstr>FirstRow</vt:lpstr>
      <vt:lpstr>FirstTime</vt:lpstr>
      <vt:lpstr>Fixed_operating_expense</vt:lpstr>
      <vt:lpstr>Fixed_operating_expense.NEG</vt:lpstr>
      <vt:lpstr>Headings</vt:lpstr>
      <vt:lpstr>Income</vt:lpstr>
      <vt:lpstr>InpC!InputChanges</vt:lpstr>
      <vt:lpstr>Inventory</vt:lpstr>
      <vt:lpstr>Inventory.BEG</vt:lpstr>
      <vt:lpstr>Inventory.FLOW</vt:lpstr>
      <vt:lpstr>Invoice_finance_balance</vt:lpstr>
      <vt:lpstr>Invoice_finance_balance.BEG</vt:lpstr>
      <vt:lpstr>Invoice_finance_balance.FLOW</vt:lpstr>
      <vt:lpstr>Invoice_finance_drawdown</vt:lpstr>
      <vt:lpstr>Invoice_finance_interest</vt:lpstr>
      <vt:lpstr>Invoice_finance_interest.NEG</vt:lpstr>
      <vt:lpstr>Invoice_finance_interest_paid</vt:lpstr>
      <vt:lpstr>Invoice_finance_interest_paid.NEG</vt:lpstr>
      <vt:lpstr>Invoice_finance_principal_repayment</vt:lpstr>
      <vt:lpstr>Invoice_finance_principal_repayment.NEG</vt:lpstr>
      <vt:lpstr>Label</vt:lpstr>
      <vt:lpstr>Liabilities</vt:lpstr>
      <vt:lpstr>'Asset Finance'!MasterALERT</vt:lpstr>
      <vt:lpstr>Assets!MasterALERT</vt:lpstr>
      <vt:lpstr>'Balance Sheet'!MasterALERT</vt:lpstr>
      <vt:lpstr>'Balance Sheet Ann'!MasterALERT</vt:lpstr>
      <vt:lpstr>'Balance Sheet Qly'!MasterALERT</vt:lpstr>
      <vt:lpstr>'Balance Sheet SemiAnnually'!MasterALERT</vt:lpstr>
      <vt:lpstr>Cashflow!MasterALERT</vt:lpstr>
      <vt:lpstr>'Cashflow Ann'!MasterALERT</vt:lpstr>
      <vt:lpstr>'Cashflow Qly'!MasterALERT</vt:lpstr>
      <vt:lpstr>'Cashflow SemiAnnually'!MasterALERT</vt:lpstr>
      <vt:lpstr>'Corporation tax'!MasterALERT</vt:lpstr>
      <vt:lpstr>Customers!MasterALERT</vt:lpstr>
      <vt:lpstr>Equity!MasterALERT</vt:lpstr>
      <vt:lpstr>Expense!MasterALERT</vt:lpstr>
      <vt:lpstr>Financials!MasterALERT</vt:lpstr>
      <vt:lpstr>Income!MasterALERT</vt:lpstr>
      <vt:lpstr>'Income Statement'!MasterALERT</vt:lpstr>
      <vt:lpstr>'Income Statement Ann'!MasterALERT</vt:lpstr>
      <vt:lpstr>'Income Statement Qly'!MasterALERT</vt:lpstr>
      <vt:lpstr>'Income Statement SemiAnnually'!MasterALERT</vt:lpstr>
      <vt:lpstr>InpS!MasterALERT</vt:lpstr>
      <vt:lpstr>InpT!MasterALERT</vt:lpstr>
      <vt:lpstr>Inventory!MasterALERT</vt:lpstr>
      <vt:lpstr>'Inventory Report'!MasterALERT</vt:lpstr>
      <vt:lpstr>'Inventory Report Ann'!MasterALERT</vt:lpstr>
      <vt:lpstr>'Inventory Report Qly'!MasterALERT</vt:lpstr>
      <vt:lpstr>'Inventory Report SemiAnnually'!MasterALERT</vt:lpstr>
      <vt:lpstr>'Invoice finance'!MasterALERT</vt:lpstr>
      <vt:lpstr>Metrics!MasterALERT</vt:lpstr>
      <vt:lpstr>'Metrics Report'!MasterALERT</vt:lpstr>
      <vt:lpstr>'Metrics Report Ann'!MasterALERT</vt:lpstr>
      <vt:lpstr>'Metrics Report Qly'!MasterALERT</vt:lpstr>
      <vt:lpstr>'Metrics Report SemiAnnually'!MasterALERT</vt:lpstr>
      <vt:lpstr>'Model Checks and Alerts'!MasterALERT</vt:lpstr>
      <vt:lpstr>'Results Table'!MasterALERT</vt:lpstr>
      <vt:lpstr>'Supply Chain finance'!MasterALERT</vt:lpstr>
      <vt:lpstr>Time!MasterALERT</vt:lpstr>
      <vt:lpstr>Unallocated!MasterALERT</vt:lpstr>
      <vt:lpstr>VAT!MasterALERT</vt:lpstr>
      <vt:lpstr>'Working Capital'!MasterALERT</vt:lpstr>
      <vt:lpstr>'Asset Finance'!MasterCHK</vt:lpstr>
      <vt:lpstr>Assets!MasterCHK</vt:lpstr>
      <vt:lpstr>'Balance Sheet'!MasterCHK</vt:lpstr>
      <vt:lpstr>'Balance Sheet Ann'!MasterCHK</vt:lpstr>
      <vt:lpstr>'Balance Sheet Qly'!MasterCHK</vt:lpstr>
      <vt:lpstr>'Balance Sheet SemiAnnually'!MasterCHK</vt:lpstr>
      <vt:lpstr>Cashflow!MasterCHK</vt:lpstr>
      <vt:lpstr>'Cashflow Ann'!MasterCHK</vt:lpstr>
      <vt:lpstr>'Cashflow Qly'!MasterCHK</vt:lpstr>
      <vt:lpstr>'Cashflow SemiAnnually'!MasterCHK</vt:lpstr>
      <vt:lpstr>'Corporation tax'!MasterCHK</vt:lpstr>
      <vt:lpstr>Customers!MasterCHK</vt:lpstr>
      <vt:lpstr>Equity!MasterCHK</vt:lpstr>
      <vt:lpstr>Expense!MasterCHK</vt:lpstr>
      <vt:lpstr>Financials!MasterCHK</vt:lpstr>
      <vt:lpstr>Income!MasterCHK</vt:lpstr>
      <vt:lpstr>'Income Statement'!MasterCHK</vt:lpstr>
      <vt:lpstr>'Income Statement Ann'!MasterCHK</vt:lpstr>
      <vt:lpstr>'Income Statement Qly'!MasterCHK</vt:lpstr>
      <vt:lpstr>'Income Statement SemiAnnually'!MasterCHK</vt:lpstr>
      <vt:lpstr>InpS!MasterCHK</vt:lpstr>
      <vt:lpstr>InpT!MasterCHK</vt:lpstr>
      <vt:lpstr>Inventory!MasterCHK</vt:lpstr>
      <vt:lpstr>'Inventory Report'!MasterCHK</vt:lpstr>
      <vt:lpstr>'Inventory Report Ann'!MasterCHK</vt:lpstr>
      <vt:lpstr>'Inventory Report Qly'!MasterCHK</vt:lpstr>
      <vt:lpstr>'Inventory Report SemiAnnually'!MasterCHK</vt:lpstr>
      <vt:lpstr>'Invoice finance'!MasterCHK</vt:lpstr>
      <vt:lpstr>Metrics!MasterCHK</vt:lpstr>
      <vt:lpstr>'Metrics Report'!MasterCHK</vt:lpstr>
      <vt:lpstr>'Metrics Report Ann'!MasterCHK</vt:lpstr>
      <vt:lpstr>'Metrics Report Qly'!MasterCHK</vt:lpstr>
      <vt:lpstr>'Metrics Report SemiAnnually'!MasterCHK</vt:lpstr>
      <vt:lpstr>'Model Checks and Alerts'!MasterCHK</vt:lpstr>
      <vt:lpstr>'Results Table'!MasterCHK</vt:lpstr>
      <vt:lpstr>'Supply Chain finance'!MasterCHK</vt:lpstr>
      <vt:lpstr>Time!MasterCHK</vt:lpstr>
      <vt:lpstr>Unallocated!MasterCHK</vt:lpstr>
      <vt:lpstr>VAT!MasterCHK</vt:lpstr>
      <vt:lpstr>'Working Capital'!MasterCHK</vt:lpstr>
      <vt:lpstr>Net_Assets</vt:lpstr>
      <vt:lpstr>Net_Cashflow</vt:lpstr>
      <vt:lpstr>New_customers_orders</vt:lpstr>
      <vt:lpstr>New_share_capital_issued</vt:lpstr>
      <vt:lpstr>obxIssuesLog</vt:lpstr>
      <vt:lpstr>Operating_Cashflow</vt:lpstr>
      <vt:lpstr>Profit_before_tax</vt:lpstr>
      <vt:lpstr>Renewing_Customer_Orders</vt:lpstr>
      <vt:lpstr>ReportBarFormat</vt:lpstr>
      <vt:lpstr>Retained_Earnings</vt:lpstr>
      <vt:lpstr>Retained_Earnings.BEG</vt:lpstr>
      <vt:lpstr>Retained_Earnings.FLOW</vt:lpstr>
      <vt:lpstr>Retained_Earnings_this_period</vt:lpstr>
      <vt:lpstr>scenario</vt:lpstr>
      <vt:lpstr>ScenarioPointer</vt:lpstr>
      <vt:lpstr>SensitivityInputs</vt:lpstr>
      <vt:lpstr>Share_Capital</vt:lpstr>
      <vt:lpstr>Share_Capital.BEG</vt:lpstr>
      <vt:lpstr>Share_Capital.FLOW</vt:lpstr>
      <vt:lpstr>Shareholder_Equity</vt:lpstr>
      <vt:lpstr>Supply_Chain_Finance_balance</vt:lpstr>
      <vt:lpstr>Supply_Chain_Finance_balance.BEG</vt:lpstr>
      <vt:lpstr>Supply_Chain_Finance_balance.FLOW</vt:lpstr>
      <vt:lpstr>Supply_Chain_Finance_drawdown</vt:lpstr>
      <vt:lpstr>Supply_Chain_Finance_interest</vt:lpstr>
      <vt:lpstr>Supply_Chain_Finance_interest.NEG</vt:lpstr>
      <vt:lpstr>Supply_Chain_Finance_interest_paid</vt:lpstr>
      <vt:lpstr>Supply_Chain_Finance_interest_paid.NEG</vt:lpstr>
      <vt:lpstr>Supply_Chain_Finance_principal_repayment</vt:lpstr>
      <vt:lpstr>Supply_Chain_Finance_principal_repayment.NEG</vt:lpstr>
      <vt:lpstr>TimeRow</vt:lpstr>
      <vt:lpstr>TOCFirstLine</vt:lpstr>
      <vt:lpstr>TOCobxAsset_Finance</vt:lpstr>
      <vt:lpstr>TOCobxAssets</vt:lpstr>
      <vt:lpstr>TOCobxCorporation_tax</vt:lpstr>
      <vt:lpstr>TOCobxCorporation_tax.Corporation_tax_creditor</vt:lpstr>
      <vt:lpstr>TOCobxCorporation_tax.Tax_losses</vt:lpstr>
      <vt:lpstr>TOCobxCustomers</vt:lpstr>
      <vt:lpstr>TOCobxEquity</vt:lpstr>
      <vt:lpstr>TOCobxExpense</vt:lpstr>
      <vt:lpstr>TOCobxFinancials</vt:lpstr>
      <vt:lpstr>TOCobxIncome</vt:lpstr>
      <vt:lpstr>TOCobxInputs</vt:lpstr>
      <vt:lpstr>TOCobxInputs.Corporation_Tax</vt:lpstr>
      <vt:lpstr>TOCobxInputs.Customer_Orders</vt:lpstr>
      <vt:lpstr>TOCobxInputs.Debt</vt:lpstr>
      <vt:lpstr>TOCobxInputs.Debt.Asset_Finance</vt:lpstr>
      <vt:lpstr>TOCobxInputs.Debt.Invoice_Finance</vt:lpstr>
      <vt:lpstr>TOCobxInputs.Debt.Supply_Chain_Finance</vt:lpstr>
      <vt:lpstr>TOCobxInputs.Equity</vt:lpstr>
      <vt:lpstr>TOCobxInputs.Expense</vt:lpstr>
      <vt:lpstr>TOCobxInputs.Inventory</vt:lpstr>
      <vt:lpstr>TOCobxInputs.Model_Constants</vt:lpstr>
      <vt:lpstr>TOCobxInputs.Opening_Balances</vt:lpstr>
      <vt:lpstr>TOCobxInputs.Short_term_forecast</vt:lpstr>
      <vt:lpstr>TOCobxInputs.Supplier_orders</vt:lpstr>
      <vt:lpstr>TOCobxInputs.VAT</vt:lpstr>
      <vt:lpstr>TOCobxInventory</vt:lpstr>
      <vt:lpstr>TOCobxInvoice_finance</vt:lpstr>
      <vt:lpstr>TOCobxMetrics</vt:lpstr>
      <vt:lpstr>TOCobxModel_Checks_and_Alerts</vt:lpstr>
      <vt:lpstr>TOCobxModel_Checks_and_Alerts.Model_Checks</vt:lpstr>
      <vt:lpstr>TOCobxSupply_Chain_finance</vt:lpstr>
      <vt:lpstr>TOCobxTime</vt:lpstr>
      <vt:lpstr>TOCobxTime.Customer_Order_Growth_index</vt:lpstr>
      <vt:lpstr>TOCobxTime.Debts_flags</vt:lpstr>
      <vt:lpstr>TOCobxTime.Fixed_Operating_Cost_Growth_Rate_index</vt:lpstr>
      <vt:lpstr>TOCobxTime.Headers</vt:lpstr>
      <vt:lpstr>TOCobxTime.Model_timelines</vt:lpstr>
      <vt:lpstr>TOCobxTime.Use_short_term_forecast_flag</vt:lpstr>
      <vt:lpstr>TOCobxTime.VAT_return_this_period_flag</vt:lpstr>
      <vt:lpstr>TOCobxUnallocated</vt:lpstr>
      <vt:lpstr>TOCobxVAT</vt:lpstr>
      <vt:lpstr>TOCobxWorking_Capital</vt:lpstr>
      <vt:lpstr>TOCrepobxBalance_Sheet_base_1_Quarter</vt:lpstr>
      <vt:lpstr>TOCrepobxBalance_Sheet_base_2_SemiAnnual</vt:lpstr>
      <vt:lpstr>TOCrepobxBalance_Sheet_base_Month</vt:lpstr>
      <vt:lpstr>TOCrepobxBalance_Sheet_Year</vt:lpstr>
      <vt:lpstr>TOCrepobxCashflow_base_1_Quarter</vt:lpstr>
      <vt:lpstr>TOCrepobxCashflow_base_2_SemiAnnual</vt:lpstr>
      <vt:lpstr>TOCrepobxCashflow_base_Month</vt:lpstr>
      <vt:lpstr>TOCrepobxCashflow_Year</vt:lpstr>
      <vt:lpstr>TOCrepobxIncome_Statement_base_1_Quarter</vt:lpstr>
      <vt:lpstr>TOCrepobxIncome_Statement_base_2_SemiAnnual</vt:lpstr>
      <vt:lpstr>TOCrepobxIncome_Statement_base_Month</vt:lpstr>
      <vt:lpstr>TOCrepobxIncome_Statement_Year</vt:lpstr>
      <vt:lpstr>TOCrepobxInventory_Report_base_1_Quarter</vt:lpstr>
      <vt:lpstr>TOCrepobxInventory_Report_base_2_SemiAnnual</vt:lpstr>
      <vt:lpstr>TOCrepobxInventory_Report_base_Month</vt:lpstr>
      <vt:lpstr>TOCrepobxInventory_Report_Year</vt:lpstr>
      <vt:lpstr>TOCrepobxMetrics_Report_base_1_Quarter</vt:lpstr>
      <vt:lpstr>TOCrepobxMetrics_Report_base_2_SemiAnnual</vt:lpstr>
      <vt:lpstr>TOCrepobxMetrics_Report_base_Month</vt:lpstr>
      <vt:lpstr>TOCrepobxMetrics_Report_Year</vt:lpstr>
      <vt:lpstr>Totals</vt:lpstr>
      <vt:lpstr>Units</vt:lpstr>
      <vt:lpstr>Units_delivered</vt:lpstr>
      <vt:lpstr>Units_deployed</vt:lpstr>
      <vt:lpstr>Units_in_stock</vt:lpstr>
      <vt:lpstr>Units_in_stock.BEG</vt:lpstr>
      <vt:lpstr>Units_in_stock.FLOW</vt:lpstr>
      <vt:lpstr>Units_in_use</vt:lpstr>
      <vt:lpstr>Units_in_use.BEG</vt:lpstr>
      <vt:lpstr>Units_in_use.FLOW</vt:lpstr>
      <vt:lpstr>Units_on_order</vt:lpstr>
      <vt:lpstr>Units_on_order.BEG</vt:lpstr>
      <vt:lpstr>Units_on_order.FLOW</vt:lpstr>
      <vt:lpstr>Units_ordered</vt:lpstr>
      <vt:lpstr>Units_retired</vt:lpstr>
      <vt:lpstr>Variable_Operating_expense</vt:lpstr>
      <vt:lpstr>Variable_Operating_expense.NEG</vt:lpstr>
      <vt:lpstr>VAT_balance</vt:lpstr>
      <vt:lpstr>VAT_balance.BEG</vt:lpstr>
      <vt:lpstr>VAT_balance.FLOW</vt:lpstr>
      <vt:lpstr>VAT_paid</vt:lpstr>
      <vt:lpstr>VAT_paid.NEG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Andy Davidson</cp:lastModifiedBy>
  <dcterms:modified xsi:type="dcterms:W3CDTF">2023-08-23T12:32:11Z</dcterms:modified>
</cp:coreProperties>
</file>